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Template\Export\"/>
    </mc:Choice>
  </mc:AlternateContent>
  <bookViews>
    <workbookView xWindow="0" yWindow="0" windowWidth="20490" windowHeight="8340"/>
  </bookViews>
  <sheets>
    <sheet name="Hoja1" sheetId="8" r:id="rId1"/>
    <sheet name="DV-IDENTITY-0" sheetId="9" state="veryHidden" r:id="rId2"/>
  </sheets>
  <definedNames>
    <definedName name="Influenza">#REF!</definedName>
  </definedNames>
  <calcPr calcId="152511"/>
</workbook>
</file>

<file path=xl/calcChain.xml><?xml version="1.0" encoding="utf-8"?>
<calcChain xmlns="http://schemas.openxmlformats.org/spreadsheetml/2006/main">
  <c r="P2" i="9" l="1"/>
  <c r="BI9" i="9"/>
  <c r="A9" i="9"/>
  <c r="B9" i="9"/>
  <c r="C9" i="9"/>
  <c r="D9" i="9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AB9" i="9"/>
  <c r="AC9" i="9"/>
  <c r="AD9" i="9"/>
  <c r="AE9" i="9"/>
  <c r="AF9" i="9"/>
  <c r="AG9" i="9"/>
  <c r="AH9" i="9"/>
  <c r="AI9" i="9"/>
  <c r="AJ9" i="9"/>
  <c r="AK9" i="9"/>
  <c r="AL9" i="9"/>
  <c r="AM9" i="9"/>
  <c r="AN9" i="9"/>
  <c r="AO9" i="9"/>
  <c r="AP9" i="9"/>
  <c r="AQ9" i="9"/>
  <c r="AR9" i="9"/>
  <c r="AS9" i="9"/>
  <c r="AT9" i="9"/>
  <c r="AU9" i="9"/>
  <c r="AV9" i="9"/>
  <c r="AW9" i="9"/>
  <c r="AX9" i="9"/>
  <c r="AY9" i="9"/>
  <c r="AZ9" i="9"/>
  <c r="BA9" i="9"/>
  <c r="BB9" i="9"/>
  <c r="BC9" i="9"/>
  <c r="BD9" i="9"/>
  <c r="BE9" i="9"/>
  <c r="BF9" i="9"/>
  <c r="BG9" i="9"/>
  <c r="BH9" i="9"/>
  <c r="BJ9" i="9"/>
  <c r="BK9" i="9"/>
  <c r="BL9" i="9"/>
  <c r="BM9" i="9"/>
  <c r="BN9" i="9"/>
  <c r="BO9" i="9"/>
  <c r="BP9" i="9"/>
  <c r="BQ9" i="9"/>
  <c r="BS9" i="9"/>
  <c r="A8" i="9"/>
  <c r="B8" i="9"/>
  <c r="C8" i="9"/>
  <c r="D8" i="9"/>
  <c r="E8" i="9"/>
  <c r="F8" i="9"/>
  <c r="G8" i="9"/>
  <c r="H8" i="9"/>
  <c r="I8" i="9"/>
  <c r="J8" i="9"/>
  <c r="K8" i="9"/>
  <c r="L8" i="9"/>
  <c r="M8" i="9"/>
  <c r="N8" i="9"/>
  <c r="O8" i="9"/>
  <c r="P8" i="9"/>
  <c r="Q8" i="9"/>
  <c r="R8" i="9"/>
  <c r="S8" i="9"/>
  <c r="T8" i="9"/>
  <c r="U8" i="9"/>
  <c r="V8" i="9"/>
  <c r="W8" i="9"/>
  <c r="X8" i="9"/>
  <c r="Y8" i="9"/>
  <c r="Z8" i="9"/>
  <c r="AA8" i="9"/>
  <c r="AB8" i="9"/>
  <c r="AC8" i="9"/>
  <c r="AD8" i="9"/>
  <c r="AE8" i="9"/>
  <c r="AF8" i="9"/>
  <c r="AG8" i="9"/>
  <c r="AH8" i="9"/>
  <c r="AI8" i="9"/>
  <c r="AJ8" i="9"/>
  <c r="AK8" i="9"/>
  <c r="AL8" i="9"/>
  <c r="AM8" i="9"/>
  <c r="AN8" i="9"/>
  <c r="AO8" i="9"/>
  <c r="AP8" i="9"/>
  <c r="AQ8" i="9"/>
  <c r="AR8" i="9"/>
  <c r="AS8" i="9"/>
  <c r="AT8" i="9"/>
  <c r="AU8" i="9"/>
  <c r="AV8" i="9"/>
  <c r="AW8" i="9"/>
  <c r="AX8" i="9"/>
  <c r="AY8" i="9"/>
  <c r="AZ8" i="9"/>
  <c r="BA8" i="9"/>
  <c r="BB8" i="9"/>
  <c r="BC8" i="9"/>
  <c r="BD8" i="9"/>
  <c r="BE8" i="9"/>
  <c r="BF8" i="9"/>
  <c r="BG8" i="9"/>
  <c r="BH8" i="9"/>
  <c r="BI8" i="9"/>
  <c r="BJ8" i="9"/>
  <c r="BK8" i="9"/>
  <c r="BL8" i="9"/>
  <c r="BM8" i="9"/>
  <c r="BN8" i="9"/>
  <c r="BO8" i="9"/>
  <c r="BP8" i="9"/>
  <c r="BQ8" i="9"/>
  <c r="BR8" i="9"/>
  <c r="BS8" i="9"/>
  <c r="BT8" i="9"/>
  <c r="BU8" i="9"/>
  <c r="BV8" i="9"/>
  <c r="BW8" i="9"/>
  <c r="BX8" i="9"/>
  <c r="BY8" i="9"/>
  <c r="BZ8" i="9"/>
  <c r="CA8" i="9"/>
  <c r="CB8" i="9"/>
  <c r="CC8" i="9"/>
  <c r="CD8" i="9"/>
  <c r="CE8" i="9"/>
  <c r="CF8" i="9"/>
  <c r="CG8" i="9"/>
  <c r="CH8" i="9"/>
  <c r="CI8" i="9"/>
  <c r="CJ8" i="9"/>
  <c r="CK8" i="9"/>
  <c r="CL8" i="9"/>
  <c r="CM8" i="9"/>
  <c r="CN8" i="9"/>
  <c r="CO8" i="9"/>
  <c r="CP8" i="9"/>
  <c r="CQ8" i="9"/>
  <c r="CR8" i="9"/>
  <c r="CS8" i="9"/>
  <c r="CT8" i="9"/>
  <c r="CU8" i="9"/>
  <c r="CV8" i="9"/>
  <c r="CW8" i="9"/>
  <c r="CX8" i="9"/>
  <c r="CY8" i="9"/>
  <c r="CZ8" i="9"/>
  <c r="DA8" i="9"/>
  <c r="DB8" i="9"/>
  <c r="DC8" i="9"/>
  <c r="DD8" i="9"/>
  <c r="DE8" i="9"/>
  <c r="DF8" i="9"/>
  <c r="DG8" i="9"/>
  <c r="DH8" i="9"/>
  <c r="DI8" i="9"/>
  <c r="DJ8" i="9"/>
  <c r="DK8" i="9"/>
  <c r="DL8" i="9"/>
  <c r="DM8" i="9"/>
  <c r="DN8" i="9"/>
  <c r="DO8" i="9"/>
  <c r="DP8" i="9"/>
  <c r="DQ8" i="9"/>
  <c r="DR8" i="9"/>
  <c r="DS8" i="9"/>
  <c r="DT8" i="9"/>
  <c r="DU8" i="9"/>
  <c r="DV8" i="9"/>
  <c r="DW8" i="9"/>
  <c r="DX8" i="9"/>
  <c r="DY8" i="9"/>
  <c r="DZ8" i="9"/>
  <c r="EA8" i="9"/>
  <c r="EB8" i="9"/>
  <c r="EC8" i="9"/>
  <c r="ED8" i="9"/>
  <c r="EE8" i="9"/>
  <c r="EF8" i="9"/>
  <c r="EG8" i="9"/>
  <c r="EH8" i="9"/>
  <c r="EI8" i="9"/>
  <c r="EJ8" i="9"/>
  <c r="EK8" i="9"/>
  <c r="EL8" i="9"/>
  <c r="EM8" i="9"/>
  <c r="EN8" i="9"/>
  <c r="EO8" i="9"/>
  <c r="EP8" i="9"/>
  <c r="EQ8" i="9"/>
  <c r="ER8" i="9"/>
  <c r="ES8" i="9"/>
  <c r="ET8" i="9"/>
  <c r="EU8" i="9"/>
  <c r="EV8" i="9"/>
  <c r="EW8" i="9"/>
  <c r="EX8" i="9"/>
  <c r="EY8" i="9"/>
  <c r="EZ8" i="9"/>
  <c r="FA8" i="9"/>
  <c r="FB8" i="9"/>
  <c r="FC8" i="9"/>
  <c r="FD8" i="9"/>
  <c r="FE8" i="9"/>
  <c r="FF8" i="9"/>
  <c r="FG8" i="9"/>
  <c r="FH8" i="9"/>
  <c r="FI8" i="9"/>
  <c r="FJ8" i="9"/>
  <c r="FK8" i="9"/>
  <c r="FL8" i="9"/>
  <c r="FM8" i="9"/>
  <c r="FN8" i="9"/>
  <c r="FO8" i="9"/>
  <c r="FP8" i="9"/>
  <c r="FQ8" i="9"/>
  <c r="FR8" i="9"/>
  <c r="FS8" i="9"/>
  <c r="FT8" i="9"/>
  <c r="FU8" i="9"/>
  <c r="FV8" i="9"/>
  <c r="FW8" i="9"/>
  <c r="FX8" i="9"/>
  <c r="FY8" i="9"/>
  <c r="FZ8" i="9"/>
  <c r="GA8" i="9"/>
  <c r="GB8" i="9"/>
  <c r="GC8" i="9"/>
  <c r="GD8" i="9"/>
  <c r="GE8" i="9"/>
  <c r="GF8" i="9"/>
  <c r="GG8" i="9"/>
  <c r="GH8" i="9"/>
  <c r="GI8" i="9"/>
  <c r="GJ8" i="9"/>
  <c r="GK8" i="9"/>
  <c r="GL8" i="9"/>
  <c r="GM8" i="9"/>
  <c r="GN8" i="9"/>
  <c r="GO8" i="9"/>
  <c r="GP8" i="9"/>
  <c r="GQ8" i="9"/>
  <c r="GR8" i="9"/>
  <c r="GS8" i="9"/>
  <c r="GT8" i="9"/>
  <c r="GU8" i="9"/>
  <c r="GV8" i="9"/>
  <c r="GW8" i="9"/>
  <c r="GX8" i="9"/>
  <c r="GY8" i="9"/>
  <c r="GZ8" i="9"/>
  <c r="HA8" i="9"/>
  <c r="HB8" i="9"/>
  <c r="HC8" i="9"/>
  <c r="HD8" i="9"/>
  <c r="HE8" i="9"/>
  <c r="HF8" i="9"/>
  <c r="HG8" i="9"/>
  <c r="HH8" i="9"/>
  <c r="HI8" i="9"/>
  <c r="HJ8" i="9"/>
  <c r="HK8" i="9"/>
  <c r="HL8" i="9"/>
  <c r="HM8" i="9"/>
  <c r="HN8" i="9"/>
  <c r="HO8" i="9"/>
  <c r="HP8" i="9"/>
  <c r="HQ8" i="9"/>
  <c r="HR8" i="9"/>
  <c r="HS8" i="9"/>
  <c r="HT8" i="9"/>
  <c r="HU8" i="9"/>
  <c r="HV8" i="9"/>
  <c r="HW8" i="9"/>
  <c r="HX8" i="9"/>
  <c r="HY8" i="9"/>
  <c r="HZ8" i="9"/>
  <c r="IA8" i="9"/>
  <c r="IB8" i="9"/>
  <c r="IC8" i="9"/>
  <c r="ID8" i="9"/>
  <c r="IE8" i="9"/>
  <c r="IF8" i="9"/>
  <c r="IG8" i="9"/>
  <c r="IH8" i="9"/>
  <c r="II8" i="9"/>
  <c r="IJ8" i="9"/>
  <c r="IK8" i="9"/>
  <c r="IL8" i="9"/>
  <c r="IM8" i="9"/>
  <c r="IN8" i="9"/>
  <c r="IO8" i="9"/>
  <c r="IP8" i="9"/>
  <c r="IQ8" i="9"/>
  <c r="IR8" i="9"/>
  <c r="IS8" i="9"/>
  <c r="IT8" i="9"/>
  <c r="IU8" i="9"/>
  <c r="IV8" i="9"/>
  <c r="A7" i="9"/>
  <c r="B7" i="9"/>
  <c r="C7" i="9"/>
  <c r="D7" i="9"/>
  <c r="E7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V7" i="9"/>
  <c r="W7" i="9"/>
  <c r="X7" i="9"/>
  <c r="Y7" i="9"/>
  <c r="Z7" i="9"/>
  <c r="AA7" i="9"/>
  <c r="AB7" i="9"/>
  <c r="AC7" i="9"/>
  <c r="AD7" i="9"/>
  <c r="AE7" i="9"/>
  <c r="AF7" i="9"/>
  <c r="AG7" i="9"/>
  <c r="AH7" i="9"/>
  <c r="AI7" i="9"/>
  <c r="AJ7" i="9"/>
  <c r="AK7" i="9"/>
  <c r="AL7" i="9"/>
  <c r="AM7" i="9"/>
  <c r="AN7" i="9"/>
  <c r="AO7" i="9"/>
  <c r="AP7" i="9"/>
  <c r="AQ7" i="9"/>
  <c r="AR7" i="9"/>
  <c r="AS7" i="9"/>
  <c r="AT7" i="9"/>
  <c r="AU7" i="9"/>
  <c r="AV7" i="9"/>
  <c r="AW7" i="9"/>
  <c r="AX7" i="9"/>
  <c r="AY7" i="9"/>
  <c r="AZ7" i="9"/>
  <c r="BA7" i="9"/>
  <c r="BB7" i="9"/>
  <c r="BC7" i="9"/>
  <c r="BD7" i="9"/>
  <c r="BE7" i="9"/>
  <c r="BF7" i="9"/>
  <c r="BG7" i="9"/>
  <c r="BH7" i="9"/>
  <c r="BI7" i="9"/>
  <c r="BJ7" i="9"/>
  <c r="BK7" i="9"/>
  <c r="BL7" i="9"/>
  <c r="BM7" i="9"/>
  <c r="BN7" i="9"/>
  <c r="BO7" i="9"/>
  <c r="BP7" i="9"/>
  <c r="BQ7" i="9"/>
  <c r="BR7" i="9"/>
  <c r="BS7" i="9"/>
  <c r="BT7" i="9"/>
  <c r="BU7" i="9"/>
  <c r="BV7" i="9"/>
  <c r="BW7" i="9"/>
  <c r="BX7" i="9"/>
  <c r="BY7" i="9"/>
  <c r="BZ7" i="9"/>
  <c r="CA7" i="9"/>
  <c r="CB7" i="9"/>
  <c r="CC7" i="9"/>
  <c r="CD7" i="9"/>
  <c r="CE7" i="9"/>
  <c r="CF7" i="9"/>
  <c r="CG7" i="9"/>
  <c r="CH7" i="9"/>
  <c r="CI7" i="9"/>
  <c r="CJ7" i="9"/>
  <c r="CK7" i="9"/>
  <c r="CL7" i="9"/>
  <c r="CM7" i="9"/>
  <c r="CN7" i="9"/>
  <c r="CO7" i="9"/>
  <c r="CP7" i="9"/>
  <c r="CQ7" i="9"/>
  <c r="CR7" i="9"/>
  <c r="CS7" i="9"/>
  <c r="CT7" i="9"/>
  <c r="CU7" i="9"/>
  <c r="CV7" i="9"/>
  <c r="CW7" i="9"/>
  <c r="CX7" i="9"/>
  <c r="CY7" i="9"/>
  <c r="CZ7" i="9"/>
  <c r="DA7" i="9"/>
  <c r="DB7" i="9"/>
  <c r="DC7" i="9"/>
  <c r="DD7" i="9"/>
  <c r="DE7" i="9"/>
  <c r="DF7" i="9"/>
  <c r="DG7" i="9"/>
  <c r="DH7" i="9"/>
  <c r="DI7" i="9"/>
  <c r="DJ7" i="9"/>
  <c r="DK7" i="9"/>
  <c r="DL7" i="9"/>
  <c r="DM7" i="9"/>
  <c r="DN7" i="9"/>
  <c r="DO7" i="9"/>
  <c r="DP7" i="9"/>
  <c r="DQ7" i="9"/>
  <c r="DR7" i="9"/>
  <c r="DS7" i="9"/>
  <c r="DT7" i="9"/>
  <c r="DU7" i="9"/>
  <c r="DV7" i="9"/>
  <c r="DW7" i="9"/>
  <c r="DX7" i="9"/>
  <c r="DY7" i="9"/>
  <c r="DZ7" i="9"/>
  <c r="EA7" i="9"/>
  <c r="EB7" i="9"/>
  <c r="EC7" i="9"/>
  <c r="ED7" i="9"/>
  <c r="EE7" i="9"/>
  <c r="EF7" i="9"/>
  <c r="EG7" i="9"/>
  <c r="EH7" i="9"/>
  <c r="EI7" i="9"/>
  <c r="EJ7" i="9"/>
  <c r="EK7" i="9"/>
  <c r="EL7" i="9"/>
  <c r="EM7" i="9"/>
  <c r="EN7" i="9"/>
  <c r="EO7" i="9"/>
  <c r="EP7" i="9"/>
  <c r="EQ7" i="9"/>
  <c r="ER7" i="9"/>
  <c r="ES7" i="9"/>
  <c r="ET7" i="9"/>
  <c r="EU7" i="9"/>
  <c r="EV7" i="9"/>
  <c r="EW7" i="9"/>
  <c r="EX7" i="9"/>
  <c r="EY7" i="9"/>
  <c r="EZ7" i="9"/>
  <c r="FA7" i="9"/>
  <c r="FB7" i="9"/>
  <c r="FC7" i="9"/>
  <c r="FD7" i="9"/>
  <c r="FE7" i="9"/>
  <c r="FF7" i="9"/>
  <c r="FG7" i="9"/>
  <c r="FH7" i="9"/>
  <c r="FI7" i="9"/>
  <c r="FJ7" i="9"/>
  <c r="FK7" i="9"/>
  <c r="FL7" i="9"/>
  <c r="FM7" i="9"/>
  <c r="FN7" i="9"/>
  <c r="FO7" i="9"/>
  <c r="FP7" i="9"/>
  <c r="FQ7" i="9"/>
  <c r="FR7" i="9"/>
  <c r="FS7" i="9"/>
  <c r="FT7" i="9"/>
  <c r="FU7" i="9"/>
  <c r="FV7" i="9"/>
  <c r="FW7" i="9"/>
  <c r="FX7" i="9"/>
  <c r="FY7" i="9"/>
  <c r="FZ7" i="9"/>
  <c r="GA7" i="9"/>
  <c r="GB7" i="9"/>
  <c r="GC7" i="9"/>
  <c r="GD7" i="9"/>
  <c r="GE7" i="9"/>
  <c r="GF7" i="9"/>
  <c r="GG7" i="9"/>
  <c r="GH7" i="9"/>
  <c r="GI7" i="9"/>
  <c r="GJ7" i="9"/>
  <c r="GK7" i="9"/>
  <c r="GL7" i="9"/>
  <c r="GM7" i="9"/>
  <c r="GN7" i="9"/>
  <c r="GO7" i="9"/>
  <c r="GP7" i="9"/>
  <c r="GQ7" i="9"/>
  <c r="GR7" i="9"/>
  <c r="GS7" i="9"/>
  <c r="GT7" i="9"/>
  <c r="GU7" i="9"/>
  <c r="GV7" i="9"/>
  <c r="GW7" i="9"/>
  <c r="GX7" i="9"/>
  <c r="GY7" i="9"/>
  <c r="GZ7" i="9"/>
  <c r="HA7" i="9"/>
  <c r="HB7" i="9"/>
  <c r="HC7" i="9"/>
  <c r="HD7" i="9"/>
  <c r="HE7" i="9"/>
  <c r="HF7" i="9"/>
  <c r="HG7" i="9"/>
  <c r="HH7" i="9"/>
  <c r="HI7" i="9"/>
  <c r="HJ7" i="9"/>
  <c r="HK7" i="9"/>
  <c r="HL7" i="9"/>
  <c r="HM7" i="9"/>
  <c r="HN7" i="9"/>
  <c r="HO7" i="9"/>
  <c r="HP7" i="9"/>
  <c r="HQ7" i="9"/>
  <c r="HR7" i="9"/>
  <c r="HS7" i="9"/>
  <c r="HT7" i="9"/>
  <c r="HU7" i="9"/>
  <c r="HV7" i="9"/>
  <c r="HW7" i="9"/>
  <c r="HX7" i="9"/>
  <c r="HY7" i="9"/>
  <c r="HZ7" i="9"/>
  <c r="IA7" i="9"/>
  <c r="IB7" i="9"/>
  <c r="IC7" i="9"/>
  <c r="ID7" i="9"/>
  <c r="IE7" i="9"/>
  <c r="IF7" i="9"/>
  <c r="IG7" i="9"/>
  <c r="IH7" i="9"/>
  <c r="II7" i="9"/>
  <c r="IJ7" i="9"/>
  <c r="IK7" i="9"/>
  <c r="IL7" i="9"/>
  <c r="IM7" i="9"/>
  <c r="IN7" i="9"/>
  <c r="IO7" i="9"/>
  <c r="IP7" i="9"/>
  <c r="IQ7" i="9"/>
  <c r="IR7" i="9"/>
  <c r="IS7" i="9"/>
  <c r="IT7" i="9"/>
  <c r="IU7" i="9"/>
  <c r="IV7" i="9"/>
  <c r="A6" i="9"/>
  <c r="B6" i="9"/>
  <c r="C6" i="9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Z6" i="9"/>
  <c r="AA6" i="9"/>
  <c r="AB6" i="9"/>
  <c r="AC6" i="9"/>
  <c r="AD6" i="9"/>
  <c r="AE6" i="9"/>
  <c r="AF6" i="9"/>
  <c r="AG6" i="9"/>
  <c r="AH6" i="9"/>
  <c r="AI6" i="9"/>
  <c r="AJ6" i="9"/>
  <c r="AK6" i="9"/>
  <c r="AL6" i="9"/>
  <c r="AM6" i="9"/>
  <c r="AN6" i="9"/>
  <c r="AO6" i="9"/>
  <c r="AP6" i="9"/>
  <c r="AQ6" i="9"/>
  <c r="AR6" i="9"/>
  <c r="AS6" i="9"/>
  <c r="AT6" i="9"/>
  <c r="AU6" i="9"/>
  <c r="AV6" i="9"/>
  <c r="AW6" i="9"/>
  <c r="AX6" i="9"/>
  <c r="AY6" i="9"/>
  <c r="AZ6" i="9"/>
  <c r="BA6" i="9"/>
  <c r="BB6" i="9"/>
  <c r="BC6" i="9"/>
  <c r="BD6" i="9"/>
  <c r="BE6" i="9"/>
  <c r="BF6" i="9"/>
  <c r="BG6" i="9"/>
  <c r="BH6" i="9"/>
  <c r="BI6" i="9"/>
  <c r="BJ6" i="9"/>
  <c r="BK6" i="9"/>
  <c r="BL6" i="9"/>
  <c r="BM6" i="9"/>
  <c r="BN6" i="9"/>
  <c r="BO6" i="9"/>
  <c r="BP6" i="9"/>
  <c r="BQ6" i="9"/>
  <c r="BR6" i="9"/>
  <c r="BS6" i="9"/>
  <c r="BT6" i="9"/>
  <c r="BU6" i="9"/>
  <c r="BV6" i="9"/>
  <c r="BW6" i="9"/>
  <c r="BX6" i="9"/>
  <c r="BY6" i="9"/>
  <c r="BZ6" i="9"/>
  <c r="CA6" i="9"/>
  <c r="CB6" i="9"/>
  <c r="CC6" i="9"/>
  <c r="CD6" i="9"/>
  <c r="CE6" i="9"/>
  <c r="CF6" i="9"/>
  <c r="CG6" i="9"/>
  <c r="CH6" i="9"/>
  <c r="CI6" i="9"/>
  <c r="CJ6" i="9"/>
  <c r="CK6" i="9"/>
  <c r="CL6" i="9"/>
  <c r="CM6" i="9"/>
  <c r="CN6" i="9"/>
  <c r="CO6" i="9"/>
  <c r="CP6" i="9"/>
  <c r="CQ6" i="9"/>
  <c r="CR6" i="9"/>
  <c r="CS6" i="9"/>
  <c r="CT6" i="9"/>
  <c r="CU6" i="9"/>
  <c r="CV6" i="9"/>
  <c r="CW6" i="9"/>
  <c r="CX6" i="9"/>
  <c r="CY6" i="9"/>
  <c r="CZ6" i="9"/>
  <c r="DA6" i="9"/>
  <c r="DB6" i="9"/>
  <c r="DC6" i="9"/>
  <c r="DD6" i="9"/>
  <c r="DE6" i="9"/>
  <c r="DF6" i="9"/>
  <c r="DG6" i="9"/>
  <c r="DH6" i="9"/>
  <c r="DI6" i="9"/>
  <c r="DJ6" i="9"/>
  <c r="DK6" i="9"/>
  <c r="DL6" i="9"/>
  <c r="DM6" i="9"/>
  <c r="DN6" i="9"/>
  <c r="DO6" i="9"/>
  <c r="DP6" i="9"/>
  <c r="DQ6" i="9"/>
  <c r="DR6" i="9"/>
  <c r="DS6" i="9"/>
  <c r="DT6" i="9"/>
  <c r="DU6" i="9"/>
  <c r="DV6" i="9"/>
  <c r="DW6" i="9"/>
  <c r="DX6" i="9"/>
  <c r="DY6" i="9"/>
  <c r="DZ6" i="9"/>
  <c r="EA6" i="9"/>
  <c r="EB6" i="9"/>
  <c r="EC6" i="9"/>
  <c r="ED6" i="9"/>
  <c r="EE6" i="9"/>
  <c r="EF6" i="9"/>
  <c r="EG6" i="9"/>
  <c r="EH6" i="9"/>
  <c r="EI6" i="9"/>
  <c r="EJ6" i="9"/>
  <c r="EK6" i="9"/>
  <c r="EL6" i="9"/>
  <c r="EM6" i="9"/>
  <c r="EN6" i="9"/>
  <c r="EO6" i="9"/>
  <c r="EP6" i="9"/>
  <c r="EQ6" i="9"/>
  <c r="ER6" i="9"/>
  <c r="ES6" i="9"/>
  <c r="ET6" i="9"/>
  <c r="EU6" i="9"/>
  <c r="EV6" i="9"/>
  <c r="EW6" i="9"/>
  <c r="EX6" i="9"/>
  <c r="EY6" i="9"/>
  <c r="EZ6" i="9"/>
  <c r="FA6" i="9"/>
  <c r="FB6" i="9"/>
  <c r="FC6" i="9"/>
  <c r="FD6" i="9"/>
  <c r="FE6" i="9"/>
  <c r="FF6" i="9"/>
  <c r="FG6" i="9"/>
  <c r="FH6" i="9"/>
  <c r="FI6" i="9"/>
  <c r="FJ6" i="9"/>
  <c r="FK6" i="9"/>
  <c r="FL6" i="9"/>
  <c r="FM6" i="9"/>
  <c r="FN6" i="9"/>
  <c r="FO6" i="9"/>
  <c r="FP6" i="9"/>
  <c r="FQ6" i="9"/>
  <c r="FR6" i="9"/>
  <c r="FS6" i="9"/>
  <c r="FT6" i="9"/>
  <c r="FU6" i="9"/>
  <c r="FV6" i="9"/>
  <c r="FW6" i="9"/>
  <c r="FX6" i="9"/>
  <c r="FY6" i="9"/>
  <c r="FZ6" i="9"/>
  <c r="GA6" i="9"/>
  <c r="GB6" i="9"/>
  <c r="GC6" i="9"/>
  <c r="GD6" i="9"/>
  <c r="GE6" i="9"/>
  <c r="GF6" i="9"/>
  <c r="GG6" i="9"/>
  <c r="GH6" i="9"/>
  <c r="GI6" i="9"/>
  <c r="GJ6" i="9"/>
  <c r="GK6" i="9"/>
  <c r="GL6" i="9"/>
  <c r="GM6" i="9"/>
  <c r="GN6" i="9"/>
  <c r="GO6" i="9"/>
  <c r="GP6" i="9"/>
  <c r="GQ6" i="9"/>
  <c r="GR6" i="9"/>
  <c r="GS6" i="9"/>
  <c r="GT6" i="9"/>
  <c r="GU6" i="9"/>
  <c r="GV6" i="9"/>
  <c r="GW6" i="9"/>
  <c r="GX6" i="9"/>
  <c r="GY6" i="9"/>
  <c r="GZ6" i="9"/>
  <c r="HA6" i="9"/>
  <c r="HB6" i="9"/>
  <c r="HC6" i="9"/>
  <c r="HD6" i="9"/>
  <c r="HE6" i="9"/>
  <c r="HF6" i="9"/>
  <c r="HG6" i="9"/>
  <c r="HH6" i="9"/>
  <c r="HI6" i="9"/>
  <c r="HJ6" i="9"/>
  <c r="HK6" i="9"/>
  <c r="HL6" i="9"/>
  <c r="HM6" i="9"/>
  <c r="HN6" i="9"/>
  <c r="HO6" i="9"/>
  <c r="HP6" i="9"/>
  <c r="HQ6" i="9"/>
  <c r="HR6" i="9"/>
  <c r="HS6" i="9"/>
  <c r="HT6" i="9"/>
  <c r="HU6" i="9"/>
  <c r="HV6" i="9"/>
  <c r="HW6" i="9"/>
  <c r="HX6" i="9"/>
  <c r="HY6" i="9"/>
  <c r="HZ6" i="9"/>
  <c r="IA6" i="9"/>
  <c r="IB6" i="9"/>
  <c r="IC6" i="9"/>
  <c r="ID6" i="9"/>
  <c r="IE6" i="9"/>
  <c r="IF6" i="9"/>
  <c r="IG6" i="9"/>
  <c r="IH6" i="9"/>
  <c r="II6" i="9"/>
  <c r="IJ6" i="9"/>
  <c r="IK6" i="9"/>
  <c r="IL6" i="9"/>
  <c r="IM6" i="9"/>
  <c r="IN6" i="9"/>
  <c r="IO6" i="9"/>
  <c r="IP6" i="9"/>
  <c r="IQ6" i="9"/>
  <c r="IR6" i="9"/>
  <c r="IS6" i="9"/>
  <c r="IT6" i="9"/>
  <c r="IU6" i="9"/>
  <c r="IV6" i="9"/>
  <c r="A5" i="9"/>
  <c r="B5" i="9"/>
  <c r="C5" i="9"/>
  <c r="D5" i="9"/>
  <c r="E5" i="9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V5" i="9"/>
  <c r="W5" i="9"/>
  <c r="X5" i="9"/>
  <c r="Y5" i="9"/>
  <c r="Z5" i="9"/>
  <c r="AA5" i="9"/>
  <c r="AB5" i="9"/>
  <c r="AC5" i="9"/>
  <c r="AD5" i="9"/>
  <c r="AE5" i="9"/>
  <c r="AF5" i="9"/>
  <c r="AG5" i="9"/>
  <c r="AH5" i="9"/>
  <c r="AI5" i="9"/>
  <c r="AJ5" i="9"/>
  <c r="AK5" i="9"/>
  <c r="AL5" i="9"/>
  <c r="AM5" i="9"/>
  <c r="AN5" i="9"/>
  <c r="AO5" i="9"/>
  <c r="AP5" i="9"/>
  <c r="AQ5" i="9"/>
  <c r="AR5" i="9"/>
  <c r="AS5" i="9"/>
  <c r="AT5" i="9"/>
  <c r="AU5" i="9"/>
  <c r="AV5" i="9"/>
  <c r="AW5" i="9"/>
  <c r="AX5" i="9"/>
  <c r="AY5" i="9"/>
  <c r="AZ5" i="9"/>
  <c r="BA5" i="9"/>
  <c r="BB5" i="9"/>
  <c r="BC5" i="9"/>
  <c r="BD5" i="9"/>
  <c r="BE5" i="9"/>
  <c r="BF5" i="9"/>
  <c r="BG5" i="9"/>
  <c r="BH5" i="9"/>
  <c r="BI5" i="9"/>
  <c r="BJ5" i="9"/>
  <c r="BK5" i="9"/>
  <c r="BL5" i="9"/>
  <c r="BM5" i="9"/>
  <c r="BN5" i="9"/>
  <c r="BO5" i="9"/>
  <c r="BP5" i="9"/>
  <c r="BQ5" i="9"/>
  <c r="BR5" i="9"/>
  <c r="BS5" i="9"/>
  <c r="BT5" i="9"/>
  <c r="BU5" i="9"/>
  <c r="BV5" i="9"/>
  <c r="BW5" i="9"/>
  <c r="BX5" i="9"/>
  <c r="BY5" i="9"/>
  <c r="BZ5" i="9"/>
  <c r="CA5" i="9"/>
  <c r="CB5" i="9"/>
  <c r="CC5" i="9"/>
  <c r="CD5" i="9"/>
  <c r="CE5" i="9"/>
  <c r="CF5" i="9"/>
  <c r="CG5" i="9"/>
  <c r="CH5" i="9"/>
  <c r="CI5" i="9"/>
  <c r="CJ5" i="9"/>
  <c r="CK5" i="9"/>
  <c r="CL5" i="9"/>
  <c r="CM5" i="9"/>
  <c r="CN5" i="9"/>
  <c r="CO5" i="9"/>
  <c r="CP5" i="9"/>
  <c r="CQ5" i="9"/>
  <c r="CR5" i="9"/>
  <c r="CS5" i="9"/>
  <c r="CT5" i="9"/>
  <c r="CU5" i="9"/>
  <c r="CV5" i="9"/>
  <c r="CW5" i="9"/>
  <c r="CX5" i="9"/>
  <c r="CY5" i="9"/>
  <c r="CZ5" i="9"/>
  <c r="DA5" i="9"/>
  <c r="DB5" i="9"/>
  <c r="DC5" i="9"/>
  <c r="DD5" i="9"/>
  <c r="DE5" i="9"/>
  <c r="DF5" i="9"/>
  <c r="DG5" i="9"/>
  <c r="DH5" i="9"/>
  <c r="DI5" i="9"/>
  <c r="DJ5" i="9"/>
  <c r="DK5" i="9"/>
  <c r="DL5" i="9"/>
  <c r="DM5" i="9"/>
  <c r="DN5" i="9"/>
  <c r="DO5" i="9"/>
  <c r="DP5" i="9"/>
  <c r="DQ5" i="9"/>
  <c r="DR5" i="9"/>
  <c r="DS5" i="9"/>
  <c r="DT5" i="9"/>
  <c r="DU5" i="9"/>
  <c r="DV5" i="9"/>
  <c r="DW5" i="9"/>
  <c r="DX5" i="9"/>
  <c r="DY5" i="9"/>
  <c r="DZ5" i="9"/>
  <c r="EA5" i="9"/>
  <c r="EB5" i="9"/>
  <c r="EC5" i="9"/>
  <c r="ED5" i="9"/>
  <c r="EE5" i="9"/>
  <c r="EF5" i="9"/>
  <c r="EG5" i="9"/>
  <c r="EH5" i="9"/>
  <c r="EI5" i="9"/>
  <c r="EJ5" i="9"/>
  <c r="EK5" i="9"/>
  <c r="EL5" i="9"/>
  <c r="EM5" i="9"/>
  <c r="EN5" i="9"/>
  <c r="EO5" i="9"/>
  <c r="EP5" i="9"/>
  <c r="EQ5" i="9"/>
  <c r="ER5" i="9"/>
  <c r="ES5" i="9"/>
  <c r="ET5" i="9"/>
  <c r="EU5" i="9"/>
  <c r="EV5" i="9"/>
  <c r="EW5" i="9"/>
  <c r="EX5" i="9"/>
  <c r="EY5" i="9"/>
  <c r="EZ5" i="9"/>
  <c r="FA5" i="9"/>
  <c r="FB5" i="9"/>
  <c r="FC5" i="9"/>
  <c r="FD5" i="9"/>
  <c r="FE5" i="9"/>
  <c r="FF5" i="9"/>
  <c r="FG5" i="9"/>
  <c r="FH5" i="9"/>
  <c r="FI5" i="9"/>
  <c r="FJ5" i="9"/>
  <c r="FK5" i="9"/>
  <c r="FL5" i="9"/>
  <c r="FM5" i="9"/>
  <c r="FN5" i="9"/>
  <c r="FO5" i="9"/>
  <c r="FP5" i="9"/>
  <c r="FQ5" i="9"/>
  <c r="FR5" i="9"/>
  <c r="FS5" i="9"/>
  <c r="FT5" i="9"/>
  <c r="FU5" i="9"/>
  <c r="FV5" i="9"/>
  <c r="FW5" i="9"/>
  <c r="FX5" i="9"/>
  <c r="FY5" i="9"/>
  <c r="FZ5" i="9"/>
  <c r="GA5" i="9"/>
  <c r="GB5" i="9"/>
  <c r="GC5" i="9"/>
  <c r="GD5" i="9"/>
  <c r="GE5" i="9"/>
  <c r="GF5" i="9"/>
  <c r="GG5" i="9"/>
  <c r="GH5" i="9"/>
  <c r="GI5" i="9"/>
  <c r="GJ5" i="9"/>
  <c r="GK5" i="9"/>
  <c r="GL5" i="9"/>
  <c r="GM5" i="9"/>
  <c r="GN5" i="9"/>
  <c r="GO5" i="9"/>
  <c r="GP5" i="9"/>
  <c r="GQ5" i="9"/>
  <c r="GR5" i="9"/>
  <c r="GS5" i="9"/>
  <c r="GT5" i="9"/>
  <c r="GU5" i="9"/>
  <c r="GV5" i="9"/>
  <c r="GW5" i="9"/>
  <c r="GX5" i="9"/>
  <c r="GY5" i="9"/>
  <c r="GZ5" i="9"/>
  <c r="HA5" i="9"/>
  <c r="HB5" i="9"/>
  <c r="HC5" i="9"/>
  <c r="HD5" i="9"/>
  <c r="HE5" i="9"/>
  <c r="HF5" i="9"/>
  <c r="HG5" i="9"/>
  <c r="HH5" i="9"/>
  <c r="HI5" i="9"/>
  <c r="HJ5" i="9"/>
  <c r="HK5" i="9"/>
  <c r="HL5" i="9"/>
  <c r="HM5" i="9"/>
  <c r="HN5" i="9"/>
  <c r="HO5" i="9"/>
  <c r="HP5" i="9"/>
  <c r="HQ5" i="9"/>
  <c r="HR5" i="9"/>
  <c r="HS5" i="9"/>
  <c r="HT5" i="9"/>
  <c r="HU5" i="9"/>
  <c r="HV5" i="9"/>
  <c r="HW5" i="9"/>
  <c r="HX5" i="9"/>
  <c r="HY5" i="9"/>
  <c r="HZ5" i="9"/>
  <c r="IA5" i="9"/>
  <c r="IB5" i="9"/>
  <c r="IC5" i="9"/>
  <c r="ID5" i="9"/>
  <c r="IE5" i="9"/>
  <c r="IF5" i="9"/>
  <c r="IG5" i="9"/>
  <c r="IH5" i="9"/>
  <c r="II5" i="9"/>
  <c r="IJ5" i="9"/>
  <c r="IK5" i="9"/>
  <c r="IL5" i="9"/>
  <c r="IM5" i="9"/>
  <c r="IN5" i="9"/>
  <c r="IO5" i="9"/>
  <c r="IP5" i="9"/>
  <c r="IQ5" i="9"/>
  <c r="IR5" i="9"/>
  <c r="IS5" i="9"/>
  <c r="IT5" i="9"/>
  <c r="IU5" i="9"/>
  <c r="IV5" i="9"/>
  <c r="A4" i="9"/>
  <c r="B4" i="9"/>
  <c r="C4" i="9"/>
  <c r="D4" i="9"/>
  <c r="E4" i="9"/>
  <c r="F4" i="9"/>
  <c r="G4" i="9"/>
  <c r="H4" i="9"/>
  <c r="I4" i="9"/>
  <c r="J4" i="9"/>
  <c r="K4" i="9"/>
  <c r="L4" i="9"/>
  <c r="M4" i="9"/>
  <c r="N4" i="9"/>
  <c r="O4" i="9"/>
  <c r="P4" i="9"/>
  <c r="Q4" i="9"/>
  <c r="R4" i="9"/>
  <c r="S4" i="9"/>
  <c r="T4" i="9"/>
  <c r="U4" i="9"/>
  <c r="V4" i="9"/>
  <c r="W4" i="9"/>
  <c r="X4" i="9"/>
  <c r="Y4" i="9"/>
  <c r="Z4" i="9"/>
  <c r="AA4" i="9"/>
  <c r="AB4" i="9"/>
  <c r="AC4" i="9"/>
  <c r="AD4" i="9"/>
  <c r="AE4" i="9"/>
  <c r="AF4" i="9"/>
  <c r="AG4" i="9"/>
  <c r="AH4" i="9"/>
  <c r="AI4" i="9"/>
  <c r="AJ4" i="9"/>
  <c r="AK4" i="9"/>
  <c r="AL4" i="9"/>
  <c r="AM4" i="9"/>
  <c r="AN4" i="9"/>
  <c r="AO4" i="9"/>
  <c r="AP4" i="9"/>
  <c r="AQ4" i="9"/>
  <c r="AR4" i="9"/>
  <c r="AS4" i="9"/>
  <c r="AT4" i="9"/>
  <c r="AU4" i="9"/>
  <c r="AV4" i="9"/>
  <c r="AW4" i="9"/>
  <c r="AX4" i="9"/>
  <c r="AY4" i="9"/>
  <c r="AZ4" i="9"/>
  <c r="BA4" i="9"/>
  <c r="BB4" i="9"/>
  <c r="BC4" i="9"/>
  <c r="BD4" i="9"/>
  <c r="BE4" i="9"/>
  <c r="BF4" i="9"/>
  <c r="BG4" i="9"/>
  <c r="BH4" i="9"/>
  <c r="BI4" i="9"/>
  <c r="BJ4" i="9"/>
  <c r="BK4" i="9"/>
  <c r="BL4" i="9"/>
  <c r="BM4" i="9"/>
  <c r="BN4" i="9"/>
  <c r="BO4" i="9"/>
  <c r="BP4" i="9"/>
  <c r="BQ4" i="9"/>
  <c r="BR4" i="9"/>
  <c r="BS4" i="9"/>
  <c r="BT4" i="9"/>
  <c r="BU4" i="9"/>
  <c r="BV4" i="9"/>
  <c r="BW4" i="9"/>
  <c r="BX4" i="9"/>
  <c r="BY4" i="9"/>
  <c r="BZ4" i="9"/>
  <c r="CA4" i="9"/>
  <c r="CB4" i="9"/>
  <c r="CC4" i="9"/>
  <c r="CD4" i="9"/>
  <c r="CE4" i="9"/>
  <c r="CF4" i="9"/>
  <c r="CG4" i="9"/>
  <c r="CH4" i="9"/>
  <c r="CI4" i="9"/>
  <c r="CJ4" i="9"/>
  <c r="CK4" i="9"/>
  <c r="CL4" i="9"/>
  <c r="CM4" i="9"/>
  <c r="CN4" i="9"/>
  <c r="CO4" i="9"/>
  <c r="CP4" i="9"/>
  <c r="CQ4" i="9"/>
  <c r="CR4" i="9"/>
  <c r="CS4" i="9"/>
  <c r="CT4" i="9"/>
  <c r="CU4" i="9"/>
  <c r="CV4" i="9"/>
  <c r="CW4" i="9"/>
  <c r="CX4" i="9"/>
  <c r="CY4" i="9"/>
  <c r="CZ4" i="9"/>
  <c r="DA4" i="9"/>
  <c r="DB4" i="9"/>
  <c r="DC4" i="9"/>
  <c r="DD4" i="9"/>
  <c r="DE4" i="9"/>
  <c r="DF4" i="9"/>
  <c r="DG4" i="9"/>
  <c r="DH4" i="9"/>
  <c r="DI4" i="9"/>
  <c r="DJ4" i="9"/>
  <c r="DK4" i="9"/>
  <c r="DL4" i="9"/>
  <c r="DM4" i="9"/>
  <c r="DN4" i="9"/>
  <c r="DO4" i="9"/>
  <c r="DP4" i="9"/>
  <c r="DQ4" i="9"/>
  <c r="DR4" i="9"/>
  <c r="DS4" i="9"/>
  <c r="DT4" i="9"/>
  <c r="DU4" i="9"/>
  <c r="DV4" i="9"/>
  <c r="DW4" i="9"/>
  <c r="DX4" i="9"/>
  <c r="DY4" i="9"/>
  <c r="DZ4" i="9"/>
  <c r="EA4" i="9"/>
  <c r="EB4" i="9"/>
  <c r="EC4" i="9"/>
  <c r="ED4" i="9"/>
  <c r="EE4" i="9"/>
  <c r="EF4" i="9"/>
  <c r="EG4" i="9"/>
  <c r="EH4" i="9"/>
  <c r="EI4" i="9"/>
  <c r="EJ4" i="9"/>
  <c r="EK4" i="9"/>
  <c r="EL4" i="9"/>
  <c r="EM4" i="9"/>
  <c r="EN4" i="9"/>
  <c r="EO4" i="9"/>
  <c r="EP4" i="9"/>
  <c r="EQ4" i="9"/>
  <c r="ER4" i="9"/>
  <c r="ES4" i="9"/>
  <c r="ET4" i="9"/>
  <c r="EU4" i="9"/>
  <c r="EV4" i="9"/>
  <c r="EW4" i="9"/>
  <c r="EX4" i="9"/>
  <c r="EY4" i="9"/>
  <c r="EZ4" i="9"/>
  <c r="FA4" i="9"/>
  <c r="FB4" i="9"/>
  <c r="FC4" i="9"/>
  <c r="FD4" i="9"/>
  <c r="FE4" i="9"/>
  <c r="FF4" i="9"/>
  <c r="FG4" i="9"/>
  <c r="FH4" i="9"/>
  <c r="FI4" i="9"/>
  <c r="FJ4" i="9"/>
  <c r="FK4" i="9"/>
  <c r="FL4" i="9"/>
  <c r="FM4" i="9"/>
  <c r="FN4" i="9"/>
  <c r="FO4" i="9"/>
  <c r="FP4" i="9"/>
  <c r="FQ4" i="9"/>
  <c r="FR4" i="9"/>
  <c r="FS4" i="9"/>
  <c r="FT4" i="9"/>
  <c r="FU4" i="9"/>
  <c r="FV4" i="9"/>
  <c r="FW4" i="9"/>
  <c r="FX4" i="9"/>
  <c r="FY4" i="9"/>
  <c r="FZ4" i="9"/>
  <c r="GA4" i="9"/>
  <c r="GB4" i="9"/>
  <c r="GC4" i="9"/>
  <c r="GD4" i="9"/>
  <c r="GE4" i="9"/>
  <c r="GF4" i="9"/>
  <c r="GG4" i="9"/>
  <c r="GH4" i="9"/>
  <c r="GI4" i="9"/>
  <c r="GJ4" i="9"/>
  <c r="GK4" i="9"/>
  <c r="GL4" i="9"/>
  <c r="GM4" i="9"/>
  <c r="GN4" i="9"/>
  <c r="GO4" i="9"/>
  <c r="GP4" i="9"/>
  <c r="GQ4" i="9"/>
  <c r="GR4" i="9"/>
  <c r="GS4" i="9"/>
  <c r="GT4" i="9"/>
  <c r="GU4" i="9"/>
  <c r="GV4" i="9"/>
  <c r="GW4" i="9"/>
  <c r="GX4" i="9"/>
  <c r="GY4" i="9"/>
  <c r="GZ4" i="9"/>
  <c r="HA4" i="9"/>
  <c r="HB4" i="9"/>
  <c r="HC4" i="9"/>
  <c r="HD4" i="9"/>
  <c r="HE4" i="9"/>
  <c r="HF4" i="9"/>
  <c r="HG4" i="9"/>
  <c r="HH4" i="9"/>
  <c r="HI4" i="9"/>
  <c r="HJ4" i="9"/>
  <c r="HK4" i="9"/>
  <c r="HL4" i="9"/>
  <c r="HM4" i="9"/>
  <c r="HN4" i="9"/>
  <c r="HO4" i="9"/>
  <c r="HP4" i="9"/>
  <c r="HQ4" i="9"/>
  <c r="HR4" i="9"/>
  <c r="HS4" i="9"/>
  <c r="HT4" i="9"/>
  <c r="HU4" i="9"/>
  <c r="HV4" i="9"/>
  <c r="HW4" i="9"/>
  <c r="HX4" i="9"/>
  <c r="HY4" i="9"/>
  <c r="HZ4" i="9"/>
  <c r="IA4" i="9"/>
  <c r="IB4" i="9"/>
  <c r="IC4" i="9"/>
  <c r="ID4" i="9"/>
  <c r="IE4" i="9"/>
  <c r="IF4" i="9"/>
  <c r="IG4" i="9"/>
  <c r="IH4" i="9"/>
  <c r="II4" i="9"/>
  <c r="IJ4" i="9"/>
  <c r="IK4" i="9"/>
  <c r="IL4" i="9"/>
  <c r="IM4" i="9"/>
  <c r="IN4" i="9"/>
  <c r="IO4" i="9"/>
  <c r="IP4" i="9"/>
  <c r="IQ4" i="9"/>
  <c r="IR4" i="9"/>
  <c r="IS4" i="9"/>
  <c r="IT4" i="9"/>
  <c r="IU4" i="9"/>
  <c r="IV4" i="9"/>
  <c r="A3" i="9"/>
  <c r="B3" i="9"/>
  <c r="C3" i="9"/>
  <c r="D3" i="9"/>
  <c r="E3" i="9"/>
  <c r="F3" i="9"/>
  <c r="G3" i="9"/>
  <c r="H3" i="9"/>
  <c r="I3" i="9"/>
  <c r="J3" i="9"/>
  <c r="K3" i="9"/>
  <c r="L3" i="9"/>
  <c r="M3" i="9"/>
  <c r="N3" i="9"/>
  <c r="O3" i="9"/>
  <c r="P3" i="9"/>
  <c r="Q3" i="9"/>
  <c r="R3" i="9"/>
  <c r="S3" i="9"/>
  <c r="T3" i="9"/>
  <c r="U3" i="9"/>
  <c r="V3" i="9"/>
  <c r="W3" i="9"/>
  <c r="X3" i="9"/>
  <c r="Y3" i="9"/>
  <c r="Z3" i="9"/>
  <c r="AA3" i="9"/>
  <c r="AB3" i="9"/>
  <c r="AC3" i="9"/>
  <c r="AD3" i="9"/>
  <c r="AE3" i="9"/>
  <c r="AF3" i="9"/>
  <c r="AG3" i="9"/>
  <c r="AH3" i="9"/>
  <c r="AI3" i="9"/>
  <c r="AJ3" i="9"/>
  <c r="AK3" i="9"/>
  <c r="AL3" i="9"/>
  <c r="AM3" i="9"/>
  <c r="AN3" i="9"/>
  <c r="AO3" i="9"/>
  <c r="AP3" i="9"/>
  <c r="AQ3" i="9"/>
  <c r="AR3" i="9"/>
  <c r="AS3" i="9"/>
  <c r="AT3" i="9"/>
  <c r="AU3" i="9"/>
  <c r="AV3" i="9"/>
  <c r="AW3" i="9"/>
  <c r="AX3" i="9"/>
  <c r="AY3" i="9"/>
  <c r="AZ3" i="9"/>
  <c r="BA3" i="9"/>
  <c r="BB3" i="9"/>
  <c r="BC3" i="9"/>
  <c r="BD3" i="9"/>
  <c r="BE3" i="9"/>
  <c r="BF3" i="9"/>
  <c r="BG3" i="9"/>
  <c r="BH3" i="9"/>
  <c r="BI3" i="9"/>
  <c r="BJ3" i="9"/>
  <c r="BK3" i="9"/>
  <c r="BL3" i="9"/>
  <c r="BM3" i="9"/>
  <c r="BN3" i="9"/>
  <c r="BO3" i="9"/>
  <c r="BP3" i="9"/>
  <c r="BQ3" i="9"/>
  <c r="BR3" i="9"/>
  <c r="BS3" i="9"/>
  <c r="BT3" i="9"/>
  <c r="BU3" i="9"/>
  <c r="BV3" i="9"/>
  <c r="BW3" i="9"/>
  <c r="BX3" i="9"/>
  <c r="BY3" i="9"/>
  <c r="BZ3" i="9"/>
  <c r="CA3" i="9"/>
  <c r="CB3" i="9"/>
  <c r="CC3" i="9"/>
  <c r="CD3" i="9"/>
  <c r="CE3" i="9"/>
  <c r="CF3" i="9"/>
  <c r="CG3" i="9"/>
  <c r="CH3" i="9"/>
  <c r="CI3" i="9"/>
  <c r="CJ3" i="9"/>
  <c r="CK3" i="9"/>
  <c r="CL3" i="9"/>
  <c r="CM3" i="9"/>
  <c r="CN3" i="9"/>
  <c r="CO3" i="9"/>
  <c r="CP3" i="9"/>
  <c r="CQ3" i="9"/>
  <c r="CR3" i="9"/>
  <c r="CS3" i="9"/>
  <c r="CT3" i="9"/>
  <c r="CU3" i="9"/>
  <c r="CV3" i="9"/>
  <c r="CW3" i="9"/>
  <c r="CX3" i="9"/>
  <c r="CY3" i="9"/>
  <c r="CZ3" i="9"/>
  <c r="DA3" i="9"/>
  <c r="DB3" i="9"/>
  <c r="DC3" i="9"/>
  <c r="DD3" i="9"/>
  <c r="DE3" i="9"/>
  <c r="DF3" i="9"/>
  <c r="DG3" i="9"/>
  <c r="DH3" i="9"/>
  <c r="DI3" i="9"/>
  <c r="DJ3" i="9"/>
  <c r="DK3" i="9"/>
  <c r="DL3" i="9"/>
  <c r="DM3" i="9"/>
  <c r="DN3" i="9"/>
  <c r="DO3" i="9"/>
  <c r="DP3" i="9"/>
  <c r="DQ3" i="9"/>
  <c r="DR3" i="9"/>
  <c r="DS3" i="9"/>
  <c r="DT3" i="9"/>
  <c r="DU3" i="9"/>
  <c r="DV3" i="9"/>
  <c r="DW3" i="9"/>
  <c r="DX3" i="9"/>
  <c r="DY3" i="9"/>
  <c r="DZ3" i="9"/>
  <c r="EA3" i="9"/>
  <c r="EB3" i="9"/>
  <c r="EC3" i="9"/>
  <c r="ED3" i="9"/>
  <c r="EE3" i="9"/>
  <c r="EF3" i="9"/>
  <c r="EG3" i="9"/>
  <c r="EH3" i="9"/>
  <c r="EI3" i="9"/>
  <c r="EJ3" i="9"/>
  <c r="EK3" i="9"/>
  <c r="EL3" i="9"/>
  <c r="EM3" i="9"/>
  <c r="EN3" i="9"/>
  <c r="EO3" i="9"/>
  <c r="EP3" i="9"/>
  <c r="EQ3" i="9"/>
  <c r="ER3" i="9"/>
  <c r="ES3" i="9"/>
  <c r="ET3" i="9"/>
  <c r="EU3" i="9"/>
  <c r="EV3" i="9"/>
  <c r="EW3" i="9"/>
  <c r="EX3" i="9"/>
  <c r="EY3" i="9"/>
  <c r="EZ3" i="9"/>
  <c r="FA3" i="9"/>
  <c r="FB3" i="9"/>
  <c r="FC3" i="9"/>
  <c r="FD3" i="9"/>
  <c r="FE3" i="9"/>
  <c r="FF3" i="9"/>
  <c r="FG3" i="9"/>
  <c r="FH3" i="9"/>
  <c r="FI3" i="9"/>
  <c r="FJ3" i="9"/>
  <c r="FK3" i="9"/>
  <c r="FL3" i="9"/>
  <c r="FM3" i="9"/>
  <c r="FN3" i="9"/>
  <c r="FO3" i="9"/>
  <c r="FP3" i="9"/>
  <c r="FQ3" i="9"/>
  <c r="FR3" i="9"/>
  <c r="FS3" i="9"/>
  <c r="FT3" i="9"/>
  <c r="FU3" i="9"/>
  <c r="FV3" i="9"/>
  <c r="FW3" i="9"/>
  <c r="FX3" i="9"/>
  <c r="FY3" i="9"/>
  <c r="FZ3" i="9"/>
  <c r="GA3" i="9"/>
  <c r="GB3" i="9"/>
  <c r="GC3" i="9"/>
  <c r="GD3" i="9"/>
  <c r="GE3" i="9"/>
  <c r="GF3" i="9"/>
  <c r="GG3" i="9"/>
  <c r="GH3" i="9"/>
  <c r="GI3" i="9"/>
  <c r="GJ3" i="9"/>
  <c r="GK3" i="9"/>
  <c r="GL3" i="9"/>
  <c r="GM3" i="9"/>
  <c r="GN3" i="9"/>
  <c r="GO3" i="9"/>
  <c r="GP3" i="9"/>
  <c r="GQ3" i="9"/>
  <c r="GR3" i="9"/>
  <c r="GS3" i="9"/>
  <c r="GT3" i="9"/>
  <c r="GU3" i="9"/>
  <c r="GV3" i="9"/>
  <c r="GW3" i="9"/>
  <c r="GX3" i="9"/>
  <c r="GY3" i="9"/>
  <c r="GZ3" i="9"/>
  <c r="HA3" i="9"/>
  <c r="HB3" i="9"/>
  <c r="HC3" i="9"/>
  <c r="HD3" i="9"/>
  <c r="HE3" i="9"/>
  <c r="HF3" i="9"/>
  <c r="HG3" i="9"/>
  <c r="HH3" i="9"/>
  <c r="HI3" i="9"/>
  <c r="HJ3" i="9"/>
  <c r="HK3" i="9"/>
  <c r="HL3" i="9"/>
  <c r="HM3" i="9"/>
  <c r="HN3" i="9"/>
  <c r="HO3" i="9"/>
  <c r="HP3" i="9"/>
  <c r="HQ3" i="9"/>
  <c r="HR3" i="9"/>
  <c r="HS3" i="9"/>
  <c r="HT3" i="9"/>
  <c r="HU3" i="9"/>
  <c r="HV3" i="9"/>
  <c r="HW3" i="9"/>
  <c r="HX3" i="9"/>
  <c r="HY3" i="9"/>
  <c r="HZ3" i="9"/>
  <c r="IA3" i="9"/>
  <c r="IB3" i="9"/>
  <c r="IC3" i="9"/>
  <c r="ID3" i="9"/>
  <c r="IE3" i="9"/>
  <c r="IF3" i="9"/>
  <c r="IG3" i="9"/>
  <c r="IH3" i="9"/>
  <c r="II3" i="9"/>
  <c r="IJ3" i="9"/>
  <c r="IK3" i="9"/>
  <c r="IL3" i="9"/>
  <c r="IM3" i="9"/>
  <c r="IN3" i="9"/>
  <c r="IO3" i="9"/>
  <c r="IP3" i="9"/>
  <c r="IQ3" i="9"/>
  <c r="IR3" i="9"/>
  <c r="IS3" i="9"/>
  <c r="IT3" i="9"/>
  <c r="IU3" i="9"/>
  <c r="IV3" i="9"/>
  <c r="A2" i="9"/>
  <c r="B2" i="9"/>
  <c r="C2" i="9"/>
  <c r="D2" i="9"/>
  <c r="E2" i="9"/>
  <c r="F2" i="9"/>
  <c r="G2" i="9"/>
  <c r="H2" i="9"/>
  <c r="I2" i="9"/>
  <c r="J2" i="9"/>
  <c r="K2" i="9"/>
  <c r="L2" i="9"/>
  <c r="M2" i="9"/>
  <c r="N2" i="9"/>
  <c r="O2" i="9"/>
  <c r="Q2" i="9"/>
  <c r="R2" i="9"/>
  <c r="S2" i="9"/>
  <c r="T2" i="9"/>
  <c r="U2" i="9"/>
  <c r="V2" i="9"/>
  <c r="W2" i="9"/>
  <c r="X2" i="9"/>
  <c r="Y2" i="9"/>
  <c r="Z2" i="9"/>
  <c r="AA2" i="9"/>
  <c r="AB2" i="9"/>
  <c r="AC2" i="9"/>
  <c r="AD2" i="9"/>
  <c r="AE2" i="9"/>
  <c r="AF2" i="9"/>
  <c r="AG2" i="9"/>
  <c r="AH2" i="9"/>
  <c r="AI2" i="9"/>
  <c r="AJ2" i="9"/>
  <c r="AK2" i="9"/>
  <c r="AL2" i="9"/>
  <c r="AM2" i="9"/>
  <c r="AN2" i="9"/>
  <c r="AO2" i="9"/>
  <c r="AP2" i="9"/>
  <c r="AQ2" i="9"/>
  <c r="AR2" i="9"/>
  <c r="AS2" i="9"/>
  <c r="AT2" i="9"/>
  <c r="AU2" i="9"/>
  <c r="AV2" i="9"/>
  <c r="AW2" i="9"/>
  <c r="AX2" i="9"/>
  <c r="AY2" i="9"/>
  <c r="AZ2" i="9"/>
  <c r="BA2" i="9"/>
  <c r="BB2" i="9"/>
  <c r="BC2" i="9"/>
  <c r="BD2" i="9"/>
  <c r="BE2" i="9"/>
  <c r="BF2" i="9"/>
  <c r="BG2" i="9"/>
  <c r="BH2" i="9"/>
  <c r="BI2" i="9"/>
  <c r="BJ2" i="9"/>
  <c r="BK2" i="9"/>
  <c r="BL2" i="9"/>
  <c r="BM2" i="9"/>
  <c r="BN2" i="9"/>
  <c r="BO2" i="9"/>
  <c r="BP2" i="9"/>
  <c r="BQ2" i="9"/>
  <c r="BR2" i="9"/>
  <c r="BS2" i="9"/>
  <c r="BT2" i="9"/>
  <c r="BU2" i="9"/>
  <c r="BV2" i="9"/>
  <c r="BW2" i="9"/>
  <c r="BX2" i="9"/>
  <c r="BY2" i="9"/>
  <c r="BZ2" i="9"/>
  <c r="CA2" i="9"/>
  <c r="CB2" i="9"/>
  <c r="CC2" i="9"/>
  <c r="CD2" i="9"/>
  <c r="CE2" i="9"/>
  <c r="CF2" i="9"/>
  <c r="CG2" i="9"/>
  <c r="CH2" i="9"/>
  <c r="CI2" i="9"/>
  <c r="CJ2" i="9"/>
  <c r="CK2" i="9"/>
  <c r="CL2" i="9"/>
  <c r="CM2" i="9"/>
  <c r="CN2" i="9"/>
  <c r="CO2" i="9"/>
  <c r="CP2" i="9"/>
  <c r="CQ2" i="9"/>
  <c r="CR2" i="9"/>
  <c r="CS2" i="9"/>
  <c r="CT2" i="9"/>
  <c r="CU2" i="9"/>
  <c r="CV2" i="9"/>
  <c r="CW2" i="9"/>
  <c r="CX2" i="9"/>
  <c r="CY2" i="9"/>
  <c r="CZ2" i="9"/>
  <c r="DA2" i="9"/>
  <c r="DB2" i="9"/>
  <c r="DC2" i="9"/>
  <c r="DD2" i="9"/>
  <c r="DE2" i="9"/>
  <c r="DF2" i="9"/>
  <c r="DG2" i="9"/>
  <c r="DH2" i="9"/>
  <c r="DI2" i="9"/>
  <c r="DJ2" i="9"/>
  <c r="DK2" i="9"/>
  <c r="DL2" i="9"/>
  <c r="DM2" i="9"/>
  <c r="DN2" i="9"/>
  <c r="DO2" i="9"/>
  <c r="DP2" i="9"/>
  <c r="DQ2" i="9"/>
  <c r="DR2" i="9"/>
  <c r="DS2" i="9"/>
  <c r="DT2" i="9"/>
  <c r="DU2" i="9"/>
  <c r="DV2" i="9"/>
  <c r="DW2" i="9"/>
  <c r="DX2" i="9"/>
  <c r="DY2" i="9"/>
  <c r="DZ2" i="9"/>
  <c r="EA2" i="9"/>
  <c r="EB2" i="9"/>
  <c r="EC2" i="9"/>
  <c r="ED2" i="9"/>
  <c r="EE2" i="9"/>
  <c r="EF2" i="9"/>
  <c r="EG2" i="9"/>
  <c r="EH2" i="9"/>
  <c r="EI2" i="9"/>
  <c r="EJ2" i="9"/>
  <c r="EK2" i="9"/>
  <c r="EL2" i="9"/>
  <c r="EM2" i="9"/>
  <c r="EN2" i="9"/>
  <c r="EO2" i="9"/>
  <c r="EP2" i="9"/>
  <c r="EQ2" i="9"/>
  <c r="ER2" i="9"/>
  <c r="ES2" i="9"/>
  <c r="ET2" i="9"/>
  <c r="EU2" i="9"/>
  <c r="EV2" i="9"/>
  <c r="EW2" i="9"/>
  <c r="EX2" i="9"/>
  <c r="EY2" i="9"/>
  <c r="EZ2" i="9"/>
  <c r="FA2" i="9"/>
  <c r="FB2" i="9"/>
  <c r="FC2" i="9"/>
  <c r="FD2" i="9"/>
  <c r="FE2" i="9"/>
  <c r="FF2" i="9"/>
  <c r="FG2" i="9"/>
  <c r="FH2" i="9"/>
  <c r="FI2" i="9"/>
  <c r="FJ2" i="9"/>
  <c r="FK2" i="9"/>
  <c r="FL2" i="9"/>
  <c r="FM2" i="9"/>
  <c r="FN2" i="9"/>
  <c r="FO2" i="9"/>
  <c r="FP2" i="9"/>
  <c r="FQ2" i="9"/>
  <c r="FR2" i="9"/>
  <c r="FS2" i="9"/>
  <c r="FT2" i="9"/>
  <c r="FU2" i="9"/>
  <c r="FV2" i="9"/>
  <c r="FW2" i="9"/>
  <c r="FX2" i="9"/>
  <c r="FY2" i="9"/>
  <c r="FZ2" i="9"/>
  <c r="GA2" i="9"/>
  <c r="GB2" i="9"/>
  <c r="GC2" i="9"/>
  <c r="GD2" i="9"/>
  <c r="GE2" i="9"/>
  <c r="GF2" i="9"/>
  <c r="GG2" i="9"/>
  <c r="GH2" i="9"/>
  <c r="GI2" i="9"/>
  <c r="GJ2" i="9"/>
  <c r="GK2" i="9"/>
  <c r="GL2" i="9"/>
  <c r="GM2" i="9"/>
  <c r="GN2" i="9"/>
  <c r="GO2" i="9"/>
  <c r="GP2" i="9"/>
  <c r="GQ2" i="9"/>
  <c r="GR2" i="9"/>
  <c r="GS2" i="9"/>
  <c r="GT2" i="9"/>
  <c r="GU2" i="9"/>
  <c r="GV2" i="9"/>
  <c r="GW2" i="9"/>
  <c r="GX2" i="9"/>
  <c r="GY2" i="9"/>
  <c r="GZ2" i="9"/>
  <c r="HA2" i="9"/>
  <c r="HB2" i="9"/>
  <c r="HC2" i="9"/>
  <c r="HD2" i="9"/>
  <c r="HE2" i="9"/>
  <c r="HF2" i="9"/>
  <c r="HG2" i="9"/>
  <c r="HH2" i="9"/>
  <c r="HI2" i="9"/>
  <c r="HJ2" i="9"/>
  <c r="HK2" i="9"/>
  <c r="HL2" i="9"/>
  <c r="HM2" i="9"/>
  <c r="HN2" i="9"/>
  <c r="HO2" i="9"/>
  <c r="HP2" i="9"/>
  <c r="HQ2" i="9"/>
  <c r="HR2" i="9"/>
  <c r="HS2" i="9"/>
  <c r="HT2" i="9"/>
  <c r="HU2" i="9"/>
  <c r="HV2" i="9"/>
  <c r="HW2" i="9"/>
  <c r="HX2" i="9"/>
  <c r="HY2" i="9"/>
  <c r="HZ2" i="9"/>
  <c r="IA2" i="9"/>
  <c r="IB2" i="9"/>
  <c r="IC2" i="9"/>
  <c r="ID2" i="9"/>
  <c r="IE2" i="9"/>
  <c r="IF2" i="9"/>
  <c r="IG2" i="9"/>
  <c r="IH2" i="9"/>
  <c r="II2" i="9"/>
  <c r="IJ2" i="9"/>
  <c r="IK2" i="9"/>
  <c r="IL2" i="9"/>
  <c r="IM2" i="9"/>
  <c r="IN2" i="9"/>
  <c r="IO2" i="9"/>
  <c r="IP2" i="9"/>
  <c r="IQ2" i="9"/>
  <c r="IR2" i="9"/>
  <c r="IS2" i="9"/>
  <c r="IT2" i="9"/>
  <c r="IU2" i="9"/>
  <c r="IV2" i="9"/>
  <c r="A1" i="9"/>
  <c r="B1" i="9"/>
  <c r="C1" i="9"/>
  <c r="D1" i="9"/>
  <c r="E1" i="9"/>
  <c r="F1" i="9"/>
  <c r="G1" i="9"/>
  <c r="H1" i="9"/>
  <c r="I1" i="9"/>
  <c r="J1" i="9"/>
  <c r="K1" i="9"/>
  <c r="L1" i="9"/>
  <c r="M1" i="9"/>
  <c r="N1" i="9"/>
  <c r="O1" i="9"/>
  <c r="P1" i="9"/>
  <c r="Q1" i="9"/>
  <c r="R1" i="9"/>
  <c r="S1" i="9"/>
  <c r="T1" i="9"/>
  <c r="U1" i="9"/>
  <c r="V1" i="9"/>
  <c r="W1" i="9"/>
  <c r="X1" i="9"/>
  <c r="Y1" i="9"/>
  <c r="Z1" i="9"/>
  <c r="AA1" i="9"/>
  <c r="AB1" i="9"/>
  <c r="AC1" i="9"/>
  <c r="AD1" i="9"/>
  <c r="AE1" i="9"/>
  <c r="AF1" i="9"/>
  <c r="AG1" i="9"/>
  <c r="AH1" i="9"/>
  <c r="AI1" i="9"/>
  <c r="AJ1" i="9"/>
  <c r="AK1" i="9"/>
  <c r="AL1" i="9"/>
  <c r="AM1" i="9"/>
  <c r="AN1" i="9"/>
  <c r="AO1" i="9"/>
  <c r="AP1" i="9"/>
  <c r="AQ1" i="9"/>
  <c r="AR1" i="9"/>
  <c r="AS1" i="9"/>
  <c r="AT1" i="9"/>
  <c r="AU1" i="9"/>
  <c r="AV1" i="9"/>
  <c r="AW1" i="9"/>
  <c r="AX1" i="9"/>
  <c r="AY1" i="9"/>
  <c r="AZ1" i="9"/>
  <c r="BA1" i="9"/>
  <c r="BB1" i="9"/>
  <c r="BC1" i="9"/>
  <c r="BD1" i="9"/>
  <c r="BE1" i="9"/>
  <c r="BF1" i="9"/>
  <c r="BG1" i="9"/>
  <c r="BH1" i="9"/>
  <c r="BI1" i="9"/>
  <c r="BJ1" i="9"/>
  <c r="BK1" i="9"/>
  <c r="BL1" i="9"/>
  <c r="BM1" i="9"/>
  <c r="BN1" i="9"/>
  <c r="BO1" i="9"/>
  <c r="BP1" i="9"/>
  <c r="BQ1" i="9"/>
  <c r="BR1" i="9"/>
  <c r="BS1" i="9"/>
  <c r="BT1" i="9"/>
  <c r="BU1" i="9"/>
  <c r="BV1" i="9"/>
  <c r="BW1" i="9"/>
  <c r="BX1" i="9"/>
  <c r="BY1" i="9"/>
  <c r="BZ1" i="9"/>
  <c r="CA1" i="9"/>
  <c r="CB1" i="9"/>
  <c r="CC1" i="9"/>
  <c r="CD1" i="9"/>
  <c r="CE1" i="9"/>
  <c r="CF1" i="9"/>
  <c r="CG1" i="9"/>
  <c r="CH1" i="9"/>
  <c r="CI1" i="9"/>
  <c r="CJ1" i="9"/>
  <c r="CK1" i="9"/>
  <c r="CL1" i="9"/>
  <c r="CM1" i="9"/>
  <c r="CN1" i="9"/>
  <c r="CO1" i="9"/>
  <c r="CP1" i="9"/>
  <c r="CQ1" i="9"/>
  <c r="CR1" i="9"/>
  <c r="CS1" i="9"/>
  <c r="CT1" i="9"/>
  <c r="CU1" i="9"/>
  <c r="CV1" i="9"/>
  <c r="CW1" i="9"/>
  <c r="CX1" i="9"/>
  <c r="CY1" i="9"/>
  <c r="CZ1" i="9"/>
  <c r="DA1" i="9"/>
  <c r="DB1" i="9"/>
  <c r="DC1" i="9"/>
  <c r="DD1" i="9"/>
  <c r="DE1" i="9"/>
  <c r="DF1" i="9"/>
  <c r="DG1" i="9"/>
  <c r="DH1" i="9"/>
  <c r="DI1" i="9"/>
  <c r="DJ1" i="9"/>
  <c r="DK1" i="9"/>
  <c r="DL1" i="9"/>
  <c r="DM1" i="9"/>
  <c r="DN1" i="9"/>
  <c r="DO1" i="9"/>
  <c r="DP1" i="9"/>
  <c r="DQ1" i="9"/>
  <c r="DR1" i="9"/>
  <c r="DS1" i="9"/>
  <c r="DT1" i="9"/>
  <c r="DU1" i="9"/>
  <c r="DV1" i="9"/>
  <c r="DW1" i="9"/>
  <c r="DX1" i="9"/>
  <c r="DY1" i="9"/>
  <c r="DZ1" i="9"/>
  <c r="EA1" i="9"/>
  <c r="EB1" i="9"/>
  <c r="EC1" i="9"/>
  <c r="ED1" i="9"/>
  <c r="EE1" i="9"/>
  <c r="EF1" i="9"/>
  <c r="EG1" i="9"/>
  <c r="EH1" i="9"/>
  <c r="EI1" i="9"/>
  <c r="EJ1" i="9"/>
  <c r="EK1" i="9"/>
  <c r="EL1" i="9"/>
  <c r="EM1" i="9"/>
  <c r="EN1" i="9"/>
  <c r="EO1" i="9"/>
  <c r="EP1" i="9"/>
  <c r="EQ1" i="9"/>
  <c r="ER1" i="9"/>
  <c r="ES1" i="9"/>
  <c r="ET1" i="9"/>
  <c r="EU1" i="9"/>
  <c r="EV1" i="9"/>
  <c r="EW1" i="9"/>
  <c r="EX1" i="9"/>
  <c r="EY1" i="9"/>
  <c r="EZ1" i="9"/>
  <c r="FA1" i="9"/>
  <c r="FB1" i="9"/>
  <c r="FC1" i="9"/>
  <c r="FD1" i="9"/>
  <c r="FE1" i="9"/>
  <c r="FF1" i="9"/>
  <c r="FG1" i="9"/>
  <c r="FH1" i="9"/>
  <c r="FI1" i="9"/>
  <c r="FJ1" i="9"/>
  <c r="FK1" i="9"/>
  <c r="FL1" i="9"/>
  <c r="FM1" i="9"/>
  <c r="FN1" i="9"/>
  <c r="FO1" i="9"/>
  <c r="FP1" i="9"/>
  <c r="FQ1" i="9"/>
  <c r="FR1" i="9"/>
  <c r="FS1" i="9"/>
  <c r="FT1" i="9"/>
  <c r="FU1" i="9"/>
  <c r="FV1" i="9"/>
  <c r="FW1" i="9"/>
  <c r="FX1" i="9"/>
  <c r="FY1" i="9"/>
  <c r="FZ1" i="9"/>
  <c r="GA1" i="9"/>
  <c r="GB1" i="9"/>
  <c r="GC1" i="9"/>
  <c r="GD1" i="9"/>
  <c r="GE1" i="9"/>
  <c r="GF1" i="9"/>
  <c r="GG1" i="9"/>
  <c r="GH1" i="9"/>
  <c r="GI1" i="9"/>
  <c r="GJ1" i="9"/>
  <c r="GK1" i="9"/>
  <c r="GL1" i="9"/>
  <c r="GM1" i="9"/>
  <c r="GN1" i="9"/>
  <c r="GO1" i="9"/>
  <c r="GP1" i="9"/>
  <c r="GQ1" i="9"/>
  <c r="GR1" i="9"/>
  <c r="GS1" i="9"/>
  <c r="GT1" i="9"/>
  <c r="GU1" i="9"/>
  <c r="GV1" i="9"/>
  <c r="GW1" i="9"/>
  <c r="GX1" i="9"/>
  <c r="GY1" i="9"/>
  <c r="GZ1" i="9"/>
  <c r="HA1" i="9"/>
  <c r="HB1" i="9"/>
  <c r="HC1" i="9"/>
  <c r="HD1" i="9"/>
  <c r="HE1" i="9"/>
  <c r="HF1" i="9"/>
  <c r="HG1" i="9"/>
  <c r="HH1" i="9"/>
  <c r="HI1" i="9"/>
  <c r="HJ1" i="9"/>
  <c r="HK1" i="9"/>
  <c r="HL1" i="9"/>
  <c r="HM1" i="9"/>
  <c r="HN1" i="9"/>
  <c r="HO1" i="9"/>
  <c r="HP1" i="9"/>
  <c r="HQ1" i="9"/>
  <c r="HR1" i="9"/>
  <c r="HS1" i="9"/>
  <c r="HT1" i="9"/>
  <c r="HU1" i="9"/>
  <c r="HV1" i="9"/>
  <c r="HW1" i="9"/>
  <c r="HX1" i="9"/>
  <c r="HY1" i="9"/>
  <c r="HZ1" i="9"/>
  <c r="IA1" i="9"/>
  <c r="IB1" i="9"/>
  <c r="IC1" i="9"/>
  <c r="ID1" i="9"/>
  <c r="IE1" i="9"/>
  <c r="IF1" i="9"/>
  <c r="IG1" i="9"/>
  <c r="IH1" i="9"/>
  <c r="II1" i="9"/>
  <c r="IJ1" i="9"/>
  <c r="IK1" i="9"/>
  <c r="IL1" i="9"/>
  <c r="IM1" i="9"/>
  <c r="IN1" i="9"/>
  <c r="IO1" i="9"/>
  <c r="IP1" i="9"/>
  <c r="IQ1" i="9"/>
  <c r="IR1" i="9"/>
  <c r="IS1" i="9"/>
  <c r="IT1" i="9"/>
  <c r="IU1" i="9"/>
  <c r="IV1" i="9"/>
</calcChain>
</file>

<file path=xl/sharedStrings.xml><?xml version="1.0" encoding="utf-8"?>
<sst xmlns="http://schemas.openxmlformats.org/spreadsheetml/2006/main" count="30" uniqueCount="30">
  <si>
    <t>Edad</t>
  </si>
  <si>
    <t>Sexo</t>
  </si>
  <si>
    <t>Centinela</t>
  </si>
  <si>
    <t>Establecimiento Notificante</t>
  </si>
  <si>
    <t>Fecha Prueba</t>
  </si>
  <si>
    <t>Cultivo</t>
  </si>
  <si>
    <t>SECCION DE VIROLOGIA</t>
  </si>
  <si>
    <t>LABORATORIO NACIONAL  DE  VIGILANCIA DE LA SALUD SECRETARIA DE SALUD</t>
  </si>
  <si>
    <t>REGISTRO DE CASOS SOSPECHOSOS DE INFLUENZA Y OTROS VIRUS</t>
  </si>
  <si>
    <t>Fecha Inicio  Sintomas</t>
  </si>
  <si>
    <t>Tipo de virus identificado</t>
  </si>
  <si>
    <t>Departamento</t>
  </si>
  <si>
    <t>Municipio</t>
  </si>
  <si>
    <t>Localidad</t>
  </si>
  <si>
    <t>Fecha de Recibo en LNV</t>
  </si>
  <si>
    <t>Codigo de la Ficha</t>
  </si>
  <si>
    <t>Codigo de la Muestra LNV</t>
  </si>
  <si>
    <t>Nombre y Apellido del Paciente</t>
  </si>
  <si>
    <t>Procedencia del Paciente</t>
  </si>
  <si>
    <t>Fecha de toma de muestra</t>
  </si>
  <si>
    <t>Dias de evolución según toma de muestra</t>
  </si>
  <si>
    <t>Resultados de PCR</t>
  </si>
  <si>
    <t>Resultados de if</t>
  </si>
  <si>
    <t>Cepa encontrada</t>
  </si>
  <si>
    <t>Clasificación</t>
  </si>
  <si>
    <t>Semana Epidemiológica</t>
  </si>
  <si>
    <t>AAAAAH8FP0U=</t>
  </si>
  <si>
    <t>Observaciones IF</t>
  </si>
  <si>
    <t>Observaciones PCR</t>
  </si>
  <si>
    <t>LIBRO DE LA  SEMANA EPIDEMIOLOGICA 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</si>
</sst>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"/>
  </numFmts>
  <fonts count="4" x14ac:knownFonts="1">
    <font>
      <sz val="10"/>
      <name val="MS Sans Serif"/>
      <family val="2"/>
    </font>
    <font>
      <b/>
      <sz val="10"/>
      <name val="MS Sans Serif"/>
      <family val="2"/>
    </font>
    <font>
      <sz val="8"/>
      <name val="MS Sans Serif"/>
      <family val="2"/>
    </font>
    <font>
      <b/>
      <sz val="12"/>
      <name val="MS Sans Serif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3" fillId="0" borderId="0" xfId="0" applyFont="1" applyAlignment="1">
      <alignment horizontal="center"/>
    </xf>
    <xf numFmtId="0" fontId="3" fillId="0" borderId="0" xfId="0" applyFont="1"/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0" fontId="3" fillId="0" borderId="0" xfId="0" applyFont="1" applyAlignment="1"/>
    <xf numFmtId="164" fontId="0" fillId="0" borderId="0" xfId="0" applyNumberFormat="1" applyAlignment="1">
      <alignment wrapText="1"/>
    </xf>
    <xf numFmtId="164" fontId="0" fillId="0" borderId="0" xfId="0" applyNumberFormat="1"/>
    <xf numFmtId="164" fontId="0" fillId="0" borderId="0" xfId="0" applyNumberFormat="1" applyAlignment="1">
      <alignment horizontal="center" wrapText="1"/>
    </xf>
    <xf numFmtId="164" fontId="0" fillId="0" borderId="0" xfId="0" applyNumberFormat="1" applyAlignment="1">
      <alignment horizont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14" fontId="1" fillId="0" borderId="2" xfId="0" applyNumberFormat="1" applyFont="1" applyBorder="1" applyAlignment="1">
      <alignment horizontal="center" vertical="center" wrapText="1"/>
    </xf>
    <xf numFmtId="14" fontId="1" fillId="0" borderId="3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14" fontId="1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Y1901"/>
  <sheetViews>
    <sheetView tabSelected="1" zoomScale="58" zoomScaleNormal="58" workbookViewId="0">
      <pane ySplit="8" topLeftCell="A9" activePane="bottomLeft" state="frozen"/>
      <selection pane="bottomLeft" activeCell="A9" sqref="A9"/>
    </sheetView>
  </sheetViews>
  <sheetFormatPr defaultColWidth="11.42578125" defaultRowHeight="12.75" x14ac:dyDescent="0.2"/>
  <cols>
    <col min="1" max="1" width="2.28515625" style="1" customWidth="1"/>
    <col min="2" max="2" width="11.7109375" style="11" customWidth="1"/>
    <col min="5" max="5" width="29" customWidth="1"/>
    <col min="7" max="7" width="13.140625" customWidth="1"/>
    <col min="8" max="8" width="22.5703125" customWidth="1"/>
    <col min="9" max="9" width="15.28515625" customWidth="1"/>
    <col min="10" max="10" width="24.7109375" customWidth="1"/>
    <col min="11" max="11" width="24.85546875" style="1" customWidth="1"/>
    <col min="12" max="12" width="12.7109375" style="1" customWidth="1"/>
    <col min="13" max="13" width="17.28515625" customWidth="1"/>
    <col min="14" max="14" width="13.28515625" style="11" customWidth="1"/>
    <col min="15" max="15" width="12.85546875" style="13" customWidth="1"/>
    <col min="16" max="16" width="14.7109375" customWidth="1"/>
    <col min="17" max="17" width="12.28515625" customWidth="1"/>
    <col min="18" max="18" width="17.28515625" customWidth="1"/>
    <col min="19" max="19" width="13.7109375" style="11" customWidth="1"/>
    <col min="20" max="20" width="14.28515625" customWidth="1"/>
    <col min="21" max="21" width="17.42578125" customWidth="1"/>
    <col min="23" max="23" width="13.85546875" customWidth="1"/>
    <col min="24" max="24" width="22.7109375" customWidth="1"/>
    <col min="25" max="25" width="23.42578125" customWidth="1"/>
  </cols>
  <sheetData>
    <row r="1" spans="1:25" x14ac:dyDescent="0.2">
      <c r="B1"/>
      <c r="N1"/>
      <c r="O1" s="1"/>
      <c r="S1"/>
    </row>
    <row r="2" spans="1:25" s="4" customFormat="1" ht="15.75" x14ac:dyDescent="0.25">
      <c r="A2" s="3"/>
      <c r="K2" s="9" t="s">
        <v>7</v>
      </c>
      <c r="L2" s="9"/>
      <c r="M2" s="9"/>
      <c r="N2" s="9"/>
      <c r="O2" s="9"/>
      <c r="P2" s="9"/>
      <c r="Q2" s="9"/>
    </row>
    <row r="3" spans="1:25" s="4" customFormat="1" ht="15.75" x14ac:dyDescent="0.25">
      <c r="A3" s="3"/>
      <c r="K3" s="21" t="s">
        <v>6</v>
      </c>
      <c r="L3" s="21"/>
      <c r="M3" s="21"/>
      <c r="N3" s="21"/>
      <c r="O3" s="21"/>
      <c r="P3" s="21"/>
      <c r="Q3" s="21"/>
    </row>
    <row r="4" spans="1:25" s="4" customFormat="1" ht="15.75" x14ac:dyDescent="0.25">
      <c r="A4" s="3"/>
      <c r="K4" s="21" t="s">
        <v>29</v>
      </c>
      <c r="L4" s="21"/>
      <c r="M4" s="21"/>
      <c r="N4" s="21"/>
      <c r="O4" s="21"/>
      <c r="P4" s="21"/>
      <c r="Q4" s="21"/>
      <c r="R4" s="3"/>
      <c r="S4" s="3"/>
    </row>
    <row r="5" spans="1:25" s="4" customFormat="1" ht="15.75" x14ac:dyDescent="0.25">
      <c r="A5" s="3"/>
      <c r="K5" s="21" t="s">
        <v>8</v>
      </c>
      <c r="L5" s="21"/>
      <c r="M5" s="21"/>
      <c r="N5" s="21"/>
      <c r="O5" s="21"/>
      <c r="P5" s="21"/>
      <c r="Q5" s="21"/>
    </row>
    <row r="6" spans="1:25" x14ac:dyDescent="0.2">
      <c r="B6"/>
      <c r="N6"/>
      <c r="O6" s="1"/>
      <c r="S6"/>
    </row>
    <row r="7" spans="1:25" ht="20.25" customHeight="1" x14ac:dyDescent="0.2">
      <c r="B7" s="20" t="s">
        <v>14</v>
      </c>
      <c r="C7" s="18" t="s">
        <v>15</v>
      </c>
      <c r="D7" s="18" t="s">
        <v>16</v>
      </c>
      <c r="E7" s="18" t="s">
        <v>17</v>
      </c>
      <c r="F7" s="18" t="s">
        <v>0</v>
      </c>
      <c r="G7" s="18" t="s">
        <v>1</v>
      </c>
      <c r="H7" s="19" t="s">
        <v>18</v>
      </c>
      <c r="I7" s="19"/>
      <c r="J7" s="19"/>
      <c r="K7" s="14" t="s">
        <v>3</v>
      </c>
      <c r="L7" s="14" t="s">
        <v>2</v>
      </c>
      <c r="M7" s="14" t="s">
        <v>24</v>
      </c>
      <c r="N7" s="16" t="s">
        <v>9</v>
      </c>
      <c r="O7" s="16" t="s">
        <v>19</v>
      </c>
      <c r="P7" s="14" t="s">
        <v>20</v>
      </c>
      <c r="Q7" s="14" t="s">
        <v>25</v>
      </c>
      <c r="R7" s="14" t="s">
        <v>10</v>
      </c>
      <c r="S7" s="16" t="s">
        <v>4</v>
      </c>
      <c r="T7" s="14" t="s">
        <v>21</v>
      </c>
      <c r="U7" s="14" t="s">
        <v>22</v>
      </c>
      <c r="V7" s="14" t="s">
        <v>5</v>
      </c>
      <c r="W7" s="14" t="s">
        <v>23</v>
      </c>
      <c r="X7" s="14" t="s">
        <v>27</v>
      </c>
      <c r="Y7" s="14" t="s">
        <v>28</v>
      </c>
    </row>
    <row r="8" spans="1:25" s="7" customFormat="1" ht="30.75" customHeight="1" x14ac:dyDescent="0.2">
      <c r="A8" s="5"/>
      <c r="B8" s="20"/>
      <c r="C8" s="18"/>
      <c r="D8" s="18"/>
      <c r="E8" s="18"/>
      <c r="F8" s="18"/>
      <c r="G8" s="18"/>
      <c r="H8" s="6" t="s">
        <v>11</v>
      </c>
      <c r="I8" s="6" t="s">
        <v>12</v>
      </c>
      <c r="J8" s="6" t="s">
        <v>13</v>
      </c>
      <c r="K8" s="15"/>
      <c r="L8" s="15"/>
      <c r="M8" s="15"/>
      <c r="N8" s="17"/>
      <c r="O8" s="17"/>
      <c r="P8" s="15"/>
      <c r="Q8" s="15"/>
      <c r="R8" s="15"/>
      <c r="S8" s="17"/>
      <c r="T8" s="15"/>
      <c r="U8" s="15"/>
      <c r="V8" s="15"/>
      <c r="W8" s="15"/>
      <c r="X8" s="15"/>
      <c r="Y8" s="15"/>
    </row>
    <row r="9" spans="1:25" s="8" customFormat="1" x14ac:dyDescent="0.2">
      <c r="A9" s="2"/>
      <c r="B9" s="10"/>
      <c r="K9" s="2"/>
      <c r="L9" s="2"/>
      <c r="N9" s="10"/>
      <c r="O9" s="12"/>
      <c r="S9" s="10"/>
    </row>
    <row r="10" spans="1:25" s="8" customFormat="1" x14ac:dyDescent="0.2">
      <c r="A10" s="2"/>
      <c r="B10" s="10"/>
      <c r="K10" s="2"/>
      <c r="L10" s="2"/>
      <c r="N10" s="10"/>
      <c r="O10" s="12"/>
      <c r="S10" s="10"/>
    </row>
    <row r="11" spans="1:25" s="8" customFormat="1" x14ac:dyDescent="0.2">
      <c r="A11" s="2"/>
      <c r="B11" s="10"/>
      <c r="K11" s="2"/>
      <c r="L11" s="2"/>
      <c r="N11" s="10"/>
      <c r="O11" s="12"/>
      <c r="S11" s="10"/>
    </row>
    <row r="12" spans="1:25" s="8" customFormat="1" x14ac:dyDescent="0.2">
      <c r="A12" s="2"/>
      <c r="B12" s="10"/>
      <c r="K12" s="2"/>
      <c r="L12" s="2"/>
      <c r="N12" s="10"/>
      <c r="O12" s="12"/>
      <c r="S12" s="10"/>
    </row>
    <row r="13" spans="1:25" s="8" customFormat="1" x14ac:dyDescent="0.2">
      <c r="A13" s="2"/>
      <c r="B13" s="10"/>
      <c r="K13" s="2"/>
      <c r="L13" s="2"/>
      <c r="N13" s="10"/>
      <c r="O13" s="12"/>
      <c r="S13" s="10"/>
    </row>
    <row r="14" spans="1:25" s="8" customFormat="1" x14ac:dyDescent="0.2">
      <c r="A14" s="2"/>
      <c r="B14" s="10"/>
      <c r="K14" s="2"/>
      <c r="L14" s="2"/>
      <c r="N14" s="10"/>
      <c r="O14" s="12"/>
      <c r="S14" s="10"/>
    </row>
    <row r="15" spans="1:25" s="8" customFormat="1" x14ac:dyDescent="0.2">
      <c r="A15" s="2"/>
      <c r="B15" s="10"/>
      <c r="K15" s="2"/>
      <c r="L15" s="2"/>
      <c r="N15" s="10"/>
      <c r="O15" s="12"/>
      <c r="S15" s="10"/>
    </row>
    <row r="16" spans="1:25" s="8" customFormat="1" x14ac:dyDescent="0.2">
      <c r="A16" s="2"/>
      <c r="B16" s="10"/>
      <c r="K16" s="2"/>
      <c r="L16" s="2"/>
      <c r="N16" s="10"/>
      <c r="O16" s="12"/>
      <c r="S16" s="10"/>
    </row>
    <row r="17" spans="1:19" s="8" customFormat="1" x14ac:dyDescent="0.2">
      <c r="A17" s="2"/>
      <c r="B17" s="10"/>
      <c r="K17" s="2"/>
      <c r="L17" s="2"/>
      <c r="N17" s="10"/>
      <c r="O17" s="12"/>
      <c r="S17" s="10"/>
    </row>
    <row r="18" spans="1:19" s="8" customFormat="1" x14ac:dyDescent="0.2">
      <c r="A18" s="2"/>
      <c r="B18" s="10"/>
      <c r="K18" s="2"/>
      <c r="L18" s="2"/>
      <c r="N18" s="10"/>
      <c r="O18" s="12"/>
      <c r="S18" s="10"/>
    </row>
    <row r="19" spans="1:19" s="8" customFormat="1" x14ac:dyDescent="0.2">
      <c r="A19" s="2"/>
      <c r="B19" s="10"/>
      <c r="K19" s="2"/>
      <c r="L19" s="2"/>
      <c r="N19" s="10"/>
      <c r="O19" s="12"/>
      <c r="S19" s="10"/>
    </row>
    <row r="20" spans="1:19" s="8" customFormat="1" x14ac:dyDescent="0.2">
      <c r="A20" s="2"/>
      <c r="B20" s="10"/>
      <c r="K20" s="2"/>
      <c r="L20" s="2"/>
      <c r="N20" s="10"/>
      <c r="O20" s="12"/>
      <c r="S20" s="10"/>
    </row>
    <row r="21" spans="1:19" s="8" customFormat="1" x14ac:dyDescent="0.2">
      <c r="A21" s="2"/>
      <c r="B21" s="10"/>
      <c r="K21" s="2"/>
      <c r="L21" s="2"/>
      <c r="N21" s="10"/>
      <c r="O21" s="12"/>
      <c r="S21" s="10"/>
    </row>
    <row r="22" spans="1:19" s="8" customFormat="1" x14ac:dyDescent="0.2">
      <c r="A22" s="2"/>
      <c r="B22" s="10"/>
      <c r="K22" s="2"/>
      <c r="L22" s="2"/>
      <c r="N22" s="10"/>
      <c r="O22" s="12"/>
      <c r="S22" s="10"/>
    </row>
    <row r="23" spans="1:19" s="8" customFormat="1" x14ac:dyDescent="0.2">
      <c r="A23" s="2"/>
      <c r="B23" s="10"/>
      <c r="K23" s="2"/>
      <c r="L23" s="2"/>
      <c r="N23" s="10"/>
      <c r="O23" s="12"/>
      <c r="S23" s="10"/>
    </row>
    <row r="24" spans="1:19" s="8" customFormat="1" x14ac:dyDescent="0.2">
      <c r="A24" s="2"/>
      <c r="B24" s="10"/>
      <c r="K24" s="2"/>
      <c r="L24" s="2"/>
      <c r="N24" s="10"/>
      <c r="O24" s="12"/>
      <c r="S24" s="10"/>
    </row>
    <row r="25" spans="1:19" s="8" customFormat="1" x14ac:dyDescent="0.2">
      <c r="A25" s="2"/>
      <c r="B25" s="10"/>
      <c r="K25" s="2"/>
      <c r="L25" s="2"/>
      <c r="N25" s="10"/>
      <c r="O25" s="12"/>
      <c r="S25" s="10"/>
    </row>
    <row r="26" spans="1:19" s="8" customFormat="1" x14ac:dyDescent="0.2">
      <c r="A26" s="2"/>
      <c r="B26" s="10"/>
      <c r="K26" s="2"/>
      <c r="L26" s="2"/>
      <c r="N26" s="10"/>
      <c r="O26" s="12"/>
      <c r="S26" s="10"/>
    </row>
    <row r="27" spans="1:19" s="8" customFormat="1" x14ac:dyDescent="0.2">
      <c r="A27" s="2"/>
      <c r="B27" s="10"/>
      <c r="K27" s="2"/>
      <c r="L27" s="2"/>
      <c r="N27" s="10"/>
      <c r="O27" s="12"/>
      <c r="S27" s="10"/>
    </row>
    <row r="28" spans="1:19" s="8" customFormat="1" x14ac:dyDescent="0.2">
      <c r="A28" s="2"/>
      <c r="B28" s="10"/>
      <c r="K28" s="2"/>
      <c r="L28" s="2"/>
      <c r="N28" s="10"/>
      <c r="O28" s="12"/>
      <c r="S28" s="10"/>
    </row>
    <row r="29" spans="1:19" s="8" customFormat="1" x14ac:dyDescent="0.2">
      <c r="A29" s="2"/>
      <c r="B29" s="10"/>
      <c r="K29" s="2"/>
      <c r="L29" s="2"/>
      <c r="N29" s="10"/>
      <c r="O29" s="12"/>
      <c r="S29" s="10"/>
    </row>
    <row r="30" spans="1:19" s="8" customFormat="1" x14ac:dyDescent="0.2">
      <c r="A30" s="2"/>
      <c r="B30" s="10"/>
      <c r="K30" s="2"/>
      <c r="L30" s="2"/>
      <c r="N30" s="10"/>
      <c r="O30" s="12"/>
      <c r="S30" s="10"/>
    </row>
    <row r="31" spans="1:19" s="8" customFormat="1" x14ac:dyDescent="0.2">
      <c r="A31" s="2"/>
      <c r="B31" s="10"/>
      <c r="K31" s="2"/>
      <c r="L31" s="2"/>
      <c r="N31" s="10"/>
      <c r="O31" s="12"/>
      <c r="S31" s="10"/>
    </row>
    <row r="32" spans="1:19" s="8" customFormat="1" x14ac:dyDescent="0.2">
      <c r="A32" s="2"/>
      <c r="B32" s="10"/>
      <c r="K32" s="2"/>
      <c r="L32" s="2"/>
      <c r="N32" s="10"/>
      <c r="O32" s="12"/>
      <c r="S32" s="10"/>
    </row>
    <row r="33" spans="1:19" s="8" customFormat="1" x14ac:dyDescent="0.2">
      <c r="A33" s="2"/>
      <c r="B33" s="10"/>
      <c r="K33" s="2"/>
      <c r="L33" s="2"/>
      <c r="N33" s="10"/>
      <c r="O33" s="12"/>
      <c r="S33" s="10"/>
    </row>
    <row r="34" spans="1:19" s="8" customFormat="1" x14ac:dyDescent="0.2">
      <c r="A34" s="2"/>
      <c r="B34" s="10"/>
      <c r="K34" s="2"/>
      <c r="L34" s="2"/>
      <c r="N34" s="10"/>
      <c r="O34" s="12"/>
      <c r="S34" s="10"/>
    </row>
    <row r="35" spans="1:19" s="8" customFormat="1" x14ac:dyDescent="0.2">
      <c r="A35" s="2"/>
      <c r="B35" s="10"/>
      <c r="K35" s="2"/>
      <c r="L35" s="2"/>
      <c r="N35" s="10"/>
      <c r="O35" s="12"/>
      <c r="S35" s="10"/>
    </row>
    <row r="36" spans="1:19" s="8" customFormat="1" x14ac:dyDescent="0.2">
      <c r="A36" s="2"/>
      <c r="B36" s="10"/>
      <c r="K36" s="2"/>
      <c r="L36" s="2"/>
      <c r="N36" s="10"/>
      <c r="O36" s="12"/>
      <c r="S36" s="10"/>
    </row>
    <row r="37" spans="1:19" s="8" customFormat="1" x14ac:dyDescent="0.2">
      <c r="A37" s="2"/>
      <c r="B37" s="10"/>
      <c r="K37" s="2"/>
      <c r="L37" s="2"/>
      <c r="N37" s="10"/>
      <c r="O37" s="12"/>
      <c r="S37" s="10"/>
    </row>
    <row r="38" spans="1:19" s="8" customFormat="1" x14ac:dyDescent="0.2">
      <c r="A38" s="2"/>
      <c r="B38" s="10"/>
      <c r="K38" s="2"/>
      <c r="L38" s="2"/>
      <c r="N38" s="10"/>
      <c r="O38" s="12"/>
      <c r="S38" s="10"/>
    </row>
    <row r="39" spans="1:19" s="8" customFormat="1" x14ac:dyDescent="0.2">
      <c r="A39" s="2"/>
      <c r="B39" s="10"/>
      <c r="K39" s="2"/>
      <c r="L39" s="2"/>
      <c r="N39" s="10"/>
      <c r="O39" s="12"/>
      <c r="S39" s="10"/>
    </row>
    <row r="40" spans="1:19" s="8" customFormat="1" x14ac:dyDescent="0.2">
      <c r="A40" s="2"/>
      <c r="B40" s="10"/>
      <c r="K40" s="2"/>
      <c r="L40" s="2"/>
      <c r="N40" s="10"/>
      <c r="O40" s="12"/>
      <c r="S40" s="10"/>
    </row>
    <row r="41" spans="1:19" s="8" customFormat="1" x14ac:dyDescent="0.2">
      <c r="A41" s="2"/>
      <c r="B41" s="10"/>
      <c r="K41" s="2"/>
      <c r="L41" s="2"/>
      <c r="N41" s="10"/>
      <c r="O41" s="12"/>
      <c r="S41" s="10"/>
    </row>
    <row r="42" spans="1:19" s="8" customFormat="1" x14ac:dyDescent="0.2">
      <c r="A42" s="2"/>
      <c r="B42" s="10"/>
      <c r="K42" s="2"/>
      <c r="L42" s="2"/>
      <c r="N42" s="10"/>
      <c r="O42" s="12"/>
      <c r="S42" s="10"/>
    </row>
    <row r="43" spans="1:19" s="8" customFormat="1" x14ac:dyDescent="0.2">
      <c r="A43" s="2"/>
      <c r="B43" s="10"/>
      <c r="K43" s="2"/>
      <c r="L43" s="2"/>
      <c r="N43" s="10"/>
      <c r="O43" s="12"/>
      <c r="S43" s="10"/>
    </row>
    <row r="44" spans="1:19" s="8" customFormat="1" x14ac:dyDescent="0.2">
      <c r="A44" s="2"/>
      <c r="B44" s="10"/>
      <c r="K44" s="2"/>
      <c r="L44" s="2"/>
      <c r="N44" s="10"/>
      <c r="O44" s="12"/>
      <c r="S44" s="10"/>
    </row>
    <row r="45" spans="1:19" s="8" customFormat="1" x14ac:dyDescent="0.2">
      <c r="A45" s="2"/>
      <c r="B45" s="10"/>
      <c r="K45" s="2"/>
      <c r="L45" s="2"/>
      <c r="N45" s="10"/>
      <c r="O45" s="12"/>
      <c r="S45" s="10"/>
    </row>
    <row r="46" spans="1:19" s="8" customFormat="1" x14ac:dyDescent="0.2">
      <c r="A46" s="2"/>
      <c r="B46" s="10"/>
      <c r="K46" s="2"/>
      <c r="L46" s="2"/>
      <c r="N46" s="10"/>
      <c r="O46" s="12"/>
      <c r="S46" s="10"/>
    </row>
    <row r="47" spans="1:19" s="8" customFormat="1" x14ac:dyDescent="0.2">
      <c r="A47" s="2"/>
      <c r="B47" s="10"/>
      <c r="K47" s="2"/>
      <c r="L47" s="2"/>
      <c r="N47" s="10"/>
      <c r="O47" s="12"/>
      <c r="S47" s="10"/>
    </row>
    <row r="48" spans="1:19" s="8" customFormat="1" x14ac:dyDescent="0.2">
      <c r="A48" s="2"/>
      <c r="B48" s="10"/>
      <c r="K48" s="2"/>
      <c r="L48" s="2"/>
      <c r="N48" s="10"/>
      <c r="O48" s="12"/>
      <c r="S48" s="10"/>
    </row>
    <row r="49" spans="1:19" s="8" customFormat="1" x14ac:dyDescent="0.2">
      <c r="A49" s="2"/>
      <c r="B49" s="10"/>
      <c r="K49" s="2"/>
      <c r="L49" s="2"/>
      <c r="N49" s="10"/>
      <c r="O49" s="12"/>
      <c r="S49" s="10"/>
    </row>
    <row r="50" spans="1:19" s="8" customFormat="1" x14ac:dyDescent="0.2">
      <c r="A50" s="2"/>
      <c r="B50" s="10"/>
      <c r="K50" s="2"/>
      <c r="L50" s="2"/>
      <c r="N50" s="10"/>
      <c r="O50" s="12"/>
      <c r="S50" s="10"/>
    </row>
    <row r="51" spans="1:19" s="8" customFormat="1" x14ac:dyDescent="0.2">
      <c r="A51" s="2"/>
      <c r="B51" s="10"/>
      <c r="K51" s="2"/>
      <c r="L51" s="2"/>
      <c r="N51" s="10"/>
      <c r="O51" s="12"/>
      <c r="S51" s="10"/>
    </row>
    <row r="52" spans="1:19" s="8" customFormat="1" x14ac:dyDescent="0.2">
      <c r="A52" s="2"/>
      <c r="B52" s="10"/>
      <c r="K52" s="2"/>
      <c r="L52" s="2"/>
      <c r="N52" s="10"/>
      <c r="O52" s="12"/>
      <c r="S52" s="10"/>
    </row>
    <row r="53" spans="1:19" s="8" customFormat="1" x14ac:dyDescent="0.2">
      <c r="A53" s="2"/>
      <c r="B53" s="10"/>
      <c r="K53" s="2"/>
      <c r="L53" s="2"/>
      <c r="N53" s="10"/>
      <c r="O53" s="12"/>
      <c r="S53" s="10"/>
    </row>
    <row r="54" spans="1:19" s="8" customFormat="1" x14ac:dyDescent="0.2">
      <c r="A54" s="2"/>
      <c r="B54" s="10"/>
      <c r="K54" s="2"/>
      <c r="L54" s="2"/>
      <c r="N54" s="10"/>
      <c r="O54" s="12"/>
      <c r="S54" s="10"/>
    </row>
    <row r="55" spans="1:19" s="8" customFormat="1" x14ac:dyDescent="0.2">
      <c r="A55" s="2"/>
      <c r="B55" s="10"/>
      <c r="K55" s="2"/>
      <c r="L55" s="2"/>
      <c r="N55" s="10"/>
      <c r="O55" s="12"/>
      <c r="S55" s="10"/>
    </row>
    <row r="56" spans="1:19" s="8" customFormat="1" x14ac:dyDescent="0.2">
      <c r="A56" s="2"/>
      <c r="B56" s="10"/>
      <c r="K56" s="2"/>
      <c r="L56" s="2"/>
      <c r="N56" s="10"/>
      <c r="O56" s="12"/>
      <c r="S56" s="10"/>
    </row>
    <row r="57" spans="1:19" s="8" customFormat="1" x14ac:dyDescent="0.2">
      <c r="A57" s="2"/>
      <c r="B57" s="10"/>
      <c r="K57" s="2"/>
      <c r="L57" s="2"/>
      <c r="N57" s="10"/>
      <c r="O57" s="12"/>
      <c r="S57" s="10"/>
    </row>
    <row r="58" spans="1:19" s="8" customFormat="1" x14ac:dyDescent="0.2">
      <c r="A58" s="2"/>
      <c r="B58" s="10"/>
      <c r="K58" s="2"/>
      <c r="L58" s="2"/>
      <c r="N58" s="10"/>
      <c r="O58" s="12"/>
      <c r="S58" s="10"/>
    </row>
    <row r="59" spans="1:19" s="8" customFormat="1" x14ac:dyDescent="0.2">
      <c r="A59" s="2"/>
      <c r="B59" s="10"/>
      <c r="K59" s="2"/>
      <c r="L59" s="2"/>
      <c r="N59" s="10"/>
      <c r="O59" s="12"/>
      <c r="S59" s="10"/>
    </row>
    <row r="60" spans="1:19" s="8" customFormat="1" x14ac:dyDescent="0.2">
      <c r="A60" s="2"/>
      <c r="B60" s="10"/>
      <c r="K60" s="2"/>
      <c r="L60" s="2"/>
      <c r="N60" s="10"/>
      <c r="O60" s="12"/>
      <c r="S60" s="10"/>
    </row>
    <row r="61" spans="1:19" s="8" customFormat="1" x14ac:dyDescent="0.2">
      <c r="A61" s="2"/>
      <c r="B61" s="10"/>
      <c r="K61" s="2"/>
      <c r="L61" s="2"/>
      <c r="N61" s="10"/>
      <c r="O61" s="12"/>
      <c r="S61" s="10"/>
    </row>
    <row r="62" spans="1:19" s="8" customFormat="1" x14ac:dyDescent="0.2">
      <c r="A62" s="2"/>
      <c r="B62" s="10"/>
      <c r="K62" s="2"/>
      <c r="L62" s="2"/>
      <c r="N62" s="10"/>
      <c r="O62" s="12"/>
      <c r="S62" s="10"/>
    </row>
    <row r="63" spans="1:19" s="8" customFormat="1" x14ac:dyDescent="0.2">
      <c r="A63" s="2"/>
      <c r="B63" s="10"/>
      <c r="K63" s="2"/>
      <c r="L63" s="2"/>
      <c r="N63" s="10"/>
      <c r="O63" s="12"/>
      <c r="S63" s="10"/>
    </row>
    <row r="64" spans="1:19" s="8" customFormat="1" x14ac:dyDescent="0.2">
      <c r="A64" s="2"/>
      <c r="B64" s="10"/>
      <c r="K64" s="2"/>
      <c r="L64" s="2"/>
      <c r="N64" s="10"/>
      <c r="O64" s="12"/>
      <c r="S64" s="10"/>
    </row>
    <row r="65" spans="1:19" s="8" customFormat="1" x14ac:dyDescent="0.2">
      <c r="A65" s="2"/>
      <c r="B65" s="10"/>
      <c r="K65" s="2"/>
      <c r="L65" s="2"/>
      <c r="N65" s="10"/>
      <c r="O65" s="12"/>
      <c r="S65" s="10"/>
    </row>
    <row r="66" spans="1:19" s="8" customFormat="1" x14ac:dyDescent="0.2">
      <c r="A66" s="2"/>
      <c r="B66" s="10"/>
      <c r="K66" s="2"/>
      <c r="L66" s="2"/>
      <c r="N66" s="10"/>
      <c r="O66" s="12"/>
      <c r="S66" s="10"/>
    </row>
    <row r="67" spans="1:19" s="8" customFormat="1" x14ac:dyDescent="0.2">
      <c r="A67" s="2"/>
      <c r="B67" s="10"/>
      <c r="K67" s="2"/>
      <c r="L67" s="2"/>
      <c r="N67" s="10"/>
      <c r="O67" s="12"/>
      <c r="S67" s="10"/>
    </row>
    <row r="68" spans="1:19" s="8" customFormat="1" x14ac:dyDescent="0.2">
      <c r="A68" s="2"/>
      <c r="B68" s="10"/>
      <c r="K68" s="2"/>
      <c r="L68" s="2"/>
      <c r="N68" s="10"/>
      <c r="O68" s="12"/>
      <c r="S68" s="10"/>
    </row>
    <row r="69" spans="1:19" s="8" customFormat="1" x14ac:dyDescent="0.2">
      <c r="A69" s="2"/>
      <c r="B69" s="10"/>
      <c r="K69" s="2"/>
      <c r="L69" s="2"/>
      <c r="N69" s="10"/>
      <c r="O69" s="12"/>
      <c r="S69" s="10"/>
    </row>
    <row r="70" spans="1:19" s="8" customFormat="1" x14ac:dyDescent="0.2">
      <c r="A70" s="2"/>
      <c r="B70" s="10"/>
      <c r="K70" s="2"/>
      <c r="L70" s="2"/>
      <c r="N70" s="10"/>
      <c r="O70" s="12"/>
      <c r="S70" s="10"/>
    </row>
    <row r="71" spans="1:19" s="8" customFormat="1" x14ac:dyDescent="0.2">
      <c r="A71" s="2"/>
      <c r="B71" s="10"/>
      <c r="K71" s="2"/>
      <c r="L71" s="2"/>
      <c r="N71" s="10"/>
      <c r="O71" s="12"/>
      <c r="S71" s="10"/>
    </row>
    <row r="72" spans="1:19" s="8" customFormat="1" x14ac:dyDescent="0.2">
      <c r="A72" s="2"/>
      <c r="B72" s="10"/>
      <c r="K72" s="2"/>
      <c r="L72" s="2"/>
      <c r="N72" s="10"/>
      <c r="O72" s="12"/>
      <c r="S72" s="10"/>
    </row>
    <row r="73" spans="1:19" s="8" customFormat="1" x14ac:dyDescent="0.2">
      <c r="A73" s="2"/>
      <c r="B73" s="10"/>
      <c r="K73" s="2"/>
      <c r="L73" s="2"/>
      <c r="N73" s="10"/>
      <c r="O73" s="12"/>
      <c r="S73" s="10"/>
    </row>
    <row r="74" spans="1:19" s="8" customFormat="1" x14ac:dyDescent="0.2">
      <c r="A74" s="2"/>
      <c r="B74" s="10"/>
      <c r="K74" s="2"/>
      <c r="L74" s="2"/>
      <c r="N74" s="10"/>
      <c r="O74" s="12"/>
      <c r="S74" s="10"/>
    </row>
    <row r="75" spans="1:19" s="8" customFormat="1" x14ac:dyDescent="0.2">
      <c r="A75" s="2"/>
      <c r="B75" s="10"/>
      <c r="K75" s="2"/>
      <c r="L75" s="2"/>
      <c r="N75" s="10"/>
      <c r="O75" s="12"/>
      <c r="S75" s="10"/>
    </row>
    <row r="76" spans="1:19" s="8" customFormat="1" x14ac:dyDescent="0.2">
      <c r="A76" s="2"/>
      <c r="B76" s="10"/>
      <c r="K76" s="2"/>
      <c r="L76" s="2"/>
      <c r="N76" s="10"/>
      <c r="O76" s="12"/>
      <c r="S76" s="10"/>
    </row>
    <row r="77" spans="1:19" s="8" customFormat="1" x14ac:dyDescent="0.2">
      <c r="A77" s="2"/>
      <c r="B77" s="10"/>
      <c r="K77" s="2"/>
      <c r="L77" s="2"/>
      <c r="N77" s="10"/>
      <c r="O77" s="12"/>
      <c r="S77" s="10"/>
    </row>
    <row r="78" spans="1:19" s="8" customFormat="1" x14ac:dyDescent="0.2">
      <c r="A78" s="2"/>
      <c r="B78" s="10"/>
      <c r="K78" s="2"/>
      <c r="L78" s="2"/>
      <c r="N78" s="10"/>
      <c r="O78" s="12"/>
      <c r="S78" s="10"/>
    </row>
    <row r="79" spans="1:19" s="8" customFormat="1" x14ac:dyDescent="0.2">
      <c r="A79" s="2"/>
      <c r="B79" s="10"/>
      <c r="K79" s="2"/>
      <c r="L79" s="2"/>
      <c r="N79" s="10"/>
      <c r="O79" s="12"/>
      <c r="S79" s="10"/>
    </row>
    <row r="80" spans="1:19" s="8" customFormat="1" x14ac:dyDescent="0.2">
      <c r="A80" s="2"/>
      <c r="B80" s="10"/>
      <c r="K80" s="2"/>
      <c r="L80" s="2"/>
      <c r="N80" s="10"/>
      <c r="O80" s="12"/>
      <c r="S80" s="10"/>
    </row>
    <row r="81" spans="1:19" s="8" customFormat="1" x14ac:dyDescent="0.2">
      <c r="A81" s="2"/>
      <c r="B81" s="10"/>
      <c r="K81" s="2"/>
      <c r="L81" s="2"/>
      <c r="N81" s="10"/>
      <c r="O81" s="12"/>
      <c r="S81" s="10"/>
    </row>
    <row r="82" spans="1:19" s="8" customFormat="1" x14ac:dyDescent="0.2">
      <c r="A82" s="2"/>
      <c r="B82" s="10"/>
      <c r="K82" s="2"/>
      <c r="L82" s="2"/>
      <c r="N82" s="10"/>
      <c r="O82" s="12"/>
      <c r="S82" s="10"/>
    </row>
    <row r="83" spans="1:19" s="8" customFormat="1" x14ac:dyDescent="0.2">
      <c r="A83" s="2"/>
      <c r="B83" s="10"/>
      <c r="K83" s="2"/>
      <c r="L83" s="2"/>
      <c r="N83" s="10"/>
      <c r="O83" s="12"/>
      <c r="S83" s="10"/>
    </row>
    <row r="84" spans="1:19" s="8" customFormat="1" x14ac:dyDescent="0.2">
      <c r="A84" s="2"/>
      <c r="B84" s="10"/>
      <c r="K84" s="2"/>
      <c r="L84" s="2"/>
      <c r="N84" s="10"/>
      <c r="O84" s="12"/>
      <c r="S84" s="10"/>
    </row>
    <row r="85" spans="1:19" s="8" customFormat="1" x14ac:dyDescent="0.2">
      <c r="A85" s="2"/>
      <c r="B85" s="10"/>
      <c r="K85" s="2"/>
      <c r="L85" s="2"/>
      <c r="N85" s="10"/>
      <c r="O85" s="12"/>
      <c r="S85" s="10"/>
    </row>
    <row r="86" spans="1:19" s="8" customFormat="1" x14ac:dyDescent="0.2">
      <c r="A86" s="2"/>
      <c r="B86" s="10"/>
      <c r="K86" s="2"/>
      <c r="L86" s="2"/>
      <c r="N86" s="10"/>
      <c r="O86" s="12"/>
      <c r="S86" s="10"/>
    </row>
    <row r="87" spans="1:19" s="8" customFormat="1" x14ac:dyDescent="0.2">
      <c r="A87" s="2"/>
      <c r="B87" s="10"/>
      <c r="K87" s="2"/>
      <c r="L87" s="2"/>
      <c r="N87" s="10"/>
      <c r="O87" s="12"/>
      <c r="S87" s="10"/>
    </row>
    <row r="88" spans="1:19" s="8" customFormat="1" x14ac:dyDescent="0.2">
      <c r="A88" s="2"/>
      <c r="B88" s="10"/>
      <c r="K88" s="2"/>
      <c r="L88" s="2"/>
      <c r="N88" s="10"/>
      <c r="O88" s="12"/>
      <c r="S88" s="10"/>
    </row>
    <row r="89" spans="1:19" s="8" customFormat="1" x14ac:dyDescent="0.2">
      <c r="A89" s="2"/>
      <c r="B89" s="10"/>
      <c r="K89" s="2"/>
      <c r="L89" s="2"/>
      <c r="N89" s="10"/>
      <c r="O89" s="12"/>
      <c r="S89" s="10"/>
    </row>
    <row r="90" spans="1:19" s="8" customFormat="1" x14ac:dyDescent="0.2">
      <c r="A90" s="2"/>
      <c r="B90" s="10"/>
      <c r="K90" s="2"/>
      <c r="L90" s="2"/>
      <c r="N90" s="10"/>
      <c r="O90" s="12"/>
      <c r="S90" s="10"/>
    </row>
    <row r="91" spans="1:19" s="8" customFormat="1" x14ac:dyDescent="0.2">
      <c r="A91" s="2"/>
      <c r="B91" s="10"/>
      <c r="K91" s="2"/>
      <c r="L91" s="2"/>
      <c r="N91" s="10"/>
      <c r="O91" s="12"/>
      <c r="S91" s="10"/>
    </row>
    <row r="92" spans="1:19" s="8" customFormat="1" x14ac:dyDescent="0.2">
      <c r="A92" s="2"/>
      <c r="B92" s="10"/>
      <c r="K92" s="2"/>
      <c r="L92" s="2"/>
      <c r="N92" s="10"/>
      <c r="O92" s="12"/>
      <c r="S92" s="10"/>
    </row>
    <row r="93" spans="1:19" s="8" customFormat="1" x14ac:dyDescent="0.2">
      <c r="A93" s="2"/>
      <c r="B93" s="10"/>
      <c r="K93" s="2"/>
      <c r="L93" s="2"/>
      <c r="N93" s="10"/>
      <c r="O93" s="12"/>
      <c r="S93" s="10"/>
    </row>
    <row r="94" spans="1:19" s="8" customFormat="1" x14ac:dyDescent="0.2">
      <c r="A94" s="2"/>
      <c r="B94" s="10"/>
      <c r="K94" s="2"/>
      <c r="L94" s="2"/>
      <c r="N94" s="10"/>
      <c r="O94" s="12"/>
      <c r="S94" s="10"/>
    </row>
    <row r="95" spans="1:19" s="8" customFormat="1" x14ac:dyDescent="0.2">
      <c r="A95" s="2"/>
      <c r="B95" s="10"/>
      <c r="K95" s="2"/>
      <c r="L95" s="2"/>
      <c r="N95" s="10"/>
      <c r="O95" s="12"/>
      <c r="S95" s="10"/>
    </row>
    <row r="96" spans="1:19" s="8" customFormat="1" x14ac:dyDescent="0.2">
      <c r="A96" s="2"/>
      <c r="B96" s="10"/>
      <c r="K96" s="2"/>
      <c r="L96" s="2"/>
      <c r="N96" s="10"/>
      <c r="O96" s="12"/>
      <c r="S96" s="10"/>
    </row>
    <row r="97" spans="1:19" s="8" customFormat="1" x14ac:dyDescent="0.2">
      <c r="A97" s="2"/>
      <c r="B97" s="10"/>
      <c r="K97" s="2"/>
      <c r="L97" s="2"/>
      <c r="N97" s="10"/>
      <c r="O97" s="12"/>
      <c r="S97" s="10"/>
    </row>
    <row r="98" spans="1:19" s="8" customFormat="1" x14ac:dyDescent="0.2">
      <c r="A98" s="2"/>
      <c r="B98" s="10"/>
      <c r="K98" s="2"/>
      <c r="L98" s="2"/>
      <c r="N98" s="10"/>
      <c r="O98" s="12"/>
      <c r="S98" s="10"/>
    </row>
    <row r="99" spans="1:19" s="8" customFormat="1" x14ac:dyDescent="0.2">
      <c r="A99" s="2"/>
      <c r="B99" s="10"/>
      <c r="K99" s="2"/>
      <c r="L99" s="2"/>
      <c r="N99" s="10"/>
      <c r="O99" s="12"/>
      <c r="S99" s="10"/>
    </row>
    <row r="100" spans="1:19" s="8" customFormat="1" x14ac:dyDescent="0.2">
      <c r="A100" s="2"/>
      <c r="B100" s="10"/>
      <c r="K100" s="2"/>
      <c r="L100" s="2"/>
      <c r="N100" s="10"/>
      <c r="O100" s="12"/>
      <c r="S100" s="10"/>
    </row>
    <row r="101" spans="1:19" s="8" customFormat="1" x14ac:dyDescent="0.2">
      <c r="A101" s="2"/>
      <c r="B101" s="10"/>
      <c r="K101" s="2"/>
      <c r="L101" s="2"/>
      <c r="N101" s="10"/>
      <c r="O101" s="12"/>
      <c r="S101" s="10"/>
    </row>
    <row r="102" spans="1:19" s="8" customFormat="1" x14ac:dyDescent="0.2">
      <c r="A102" s="2"/>
      <c r="B102" s="10"/>
      <c r="K102" s="2"/>
      <c r="L102" s="2"/>
      <c r="N102" s="10"/>
      <c r="O102" s="12"/>
      <c r="S102" s="10"/>
    </row>
    <row r="103" spans="1:19" s="8" customFormat="1" x14ac:dyDescent="0.2">
      <c r="A103" s="2"/>
      <c r="B103" s="10"/>
      <c r="K103" s="2"/>
      <c r="L103" s="2"/>
      <c r="N103" s="10"/>
      <c r="O103" s="12"/>
      <c r="S103" s="10"/>
    </row>
    <row r="104" spans="1:19" s="8" customFormat="1" x14ac:dyDescent="0.2">
      <c r="A104" s="2"/>
      <c r="B104" s="10"/>
      <c r="K104" s="2"/>
      <c r="L104" s="2"/>
      <c r="N104" s="10"/>
      <c r="O104" s="12"/>
      <c r="S104" s="10"/>
    </row>
    <row r="105" spans="1:19" s="8" customFormat="1" x14ac:dyDescent="0.2">
      <c r="A105" s="2"/>
      <c r="B105" s="10"/>
      <c r="K105" s="2"/>
      <c r="L105" s="2"/>
      <c r="N105" s="10"/>
      <c r="O105" s="12"/>
      <c r="S105" s="10"/>
    </row>
    <row r="106" spans="1:19" s="8" customFormat="1" x14ac:dyDescent="0.2">
      <c r="A106" s="2"/>
      <c r="B106" s="10"/>
      <c r="K106" s="2"/>
      <c r="L106" s="2"/>
      <c r="N106" s="10"/>
      <c r="O106" s="12"/>
      <c r="S106" s="10"/>
    </row>
    <row r="107" spans="1:19" s="8" customFormat="1" x14ac:dyDescent="0.2">
      <c r="A107" s="2"/>
      <c r="B107" s="10"/>
      <c r="K107" s="2"/>
      <c r="L107" s="2"/>
      <c r="N107" s="10"/>
      <c r="O107" s="12"/>
      <c r="S107" s="10"/>
    </row>
    <row r="108" spans="1:19" s="8" customFormat="1" x14ac:dyDescent="0.2">
      <c r="A108" s="2"/>
      <c r="B108" s="10"/>
      <c r="K108" s="2"/>
      <c r="L108" s="2"/>
      <c r="N108" s="10"/>
      <c r="O108" s="12"/>
      <c r="S108" s="10"/>
    </row>
    <row r="109" spans="1:19" s="8" customFormat="1" x14ac:dyDescent="0.2">
      <c r="A109" s="2"/>
      <c r="B109" s="10"/>
      <c r="K109" s="2"/>
      <c r="L109" s="2"/>
      <c r="N109" s="10"/>
      <c r="O109" s="12"/>
      <c r="S109" s="10"/>
    </row>
    <row r="110" spans="1:19" s="8" customFormat="1" x14ac:dyDescent="0.2">
      <c r="A110" s="2"/>
      <c r="B110" s="10"/>
      <c r="K110" s="2"/>
      <c r="L110" s="2"/>
      <c r="N110" s="10"/>
      <c r="O110" s="12"/>
      <c r="S110" s="10"/>
    </row>
    <row r="111" spans="1:19" s="8" customFormat="1" x14ac:dyDescent="0.2">
      <c r="A111" s="2"/>
      <c r="B111" s="10"/>
      <c r="K111" s="2"/>
      <c r="L111" s="2"/>
      <c r="N111" s="10"/>
      <c r="O111" s="12"/>
      <c r="S111" s="10"/>
    </row>
    <row r="112" spans="1:19" s="8" customFormat="1" x14ac:dyDescent="0.2">
      <c r="A112" s="2"/>
      <c r="B112" s="10"/>
      <c r="K112" s="2"/>
      <c r="L112" s="2"/>
      <c r="N112" s="10"/>
      <c r="O112" s="12"/>
      <c r="S112" s="10"/>
    </row>
    <row r="113" spans="1:19" s="8" customFormat="1" x14ac:dyDescent="0.2">
      <c r="A113" s="2"/>
      <c r="B113" s="10"/>
      <c r="K113" s="2"/>
      <c r="L113" s="2"/>
      <c r="N113" s="10"/>
      <c r="O113" s="12"/>
      <c r="S113" s="10"/>
    </row>
    <row r="114" spans="1:19" s="8" customFormat="1" x14ac:dyDescent="0.2">
      <c r="A114" s="2"/>
      <c r="B114" s="10"/>
      <c r="K114" s="2"/>
      <c r="L114" s="2"/>
      <c r="N114" s="10"/>
      <c r="O114" s="12"/>
      <c r="S114" s="10"/>
    </row>
    <row r="115" spans="1:19" s="8" customFormat="1" x14ac:dyDescent="0.2">
      <c r="A115" s="2"/>
      <c r="B115" s="10"/>
      <c r="K115" s="2"/>
      <c r="L115" s="2"/>
      <c r="N115" s="10"/>
      <c r="O115" s="12"/>
      <c r="S115" s="10"/>
    </row>
    <row r="116" spans="1:19" s="8" customFormat="1" x14ac:dyDescent="0.2">
      <c r="A116" s="2"/>
      <c r="B116" s="10"/>
      <c r="K116" s="2"/>
      <c r="L116" s="2"/>
      <c r="N116" s="10"/>
      <c r="O116" s="12"/>
      <c r="S116" s="10"/>
    </row>
    <row r="117" spans="1:19" s="8" customFormat="1" x14ac:dyDescent="0.2">
      <c r="A117" s="2"/>
      <c r="B117" s="10"/>
      <c r="K117" s="2"/>
      <c r="L117" s="2"/>
      <c r="N117" s="10"/>
      <c r="O117" s="12"/>
      <c r="S117" s="10"/>
    </row>
    <row r="118" spans="1:19" s="8" customFormat="1" x14ac:dyDescent="0.2">
      <c r="A118" s="2"/>
      <c r="B118" s="10"/>
      <c r="K118" s="2"/>
      <c r="L118" s="2"/>
      <c r="N118" s="10"/>
      <c r="O118" s="12"/>
      <c r="S118" s="10"/>
    </row>
    <row r="119" spans="1:19" s="8" customFormat="1" x14ac:dyDescent="0.2">
      <c r="A119" s="2"/>
      <c r="B119" s="10"/>
      <c r="K119" s="2"/>
      <c r="L119" s="2"/>
      <c r="N119" s="10"/>
      <c r="O119" s="12"/>
      <c r="S119" s="10"/>
    </row>
    <row r="120" spans="1:19" s="8" customFormat="1" x14ac:dyDescent="0.2">
      <c r="A120" s="2"/>
      <c r="B120" s="10"/>
      <c r="K120" s="2"/>
      <c r="L120" s="2"/>
      <c r="N120" s="10"/>
      <c r="O120" s="12"/>
      <c r="S120" s="10"/>
    </row>
    <row r="121" spans="1:19" s="8" customFormat="1" x14ac:dyDescent="0.2">
      <c r="A121" s="2"/>
      <c r="B121" s="10"/>
      <c r="K121" s="2"/>
      <c r="L121" s="2"/>
      <c r="N121" s="10"/>
      <c r="O121" s="12"/>
      <c r="S121" s="10"/>
    </row>
    <row r="122" spans="1:19" s="8" customFormat="1" x14ac:dyDescent="0.2">
      <c r="A122" s="2"/>
      <c r="B122" s="10"/>
      <c r="K122" s="2"/>
      <c r="L122" s="2"/>
      <c r="N122" s="10"/>
      <c r="O122" s="12"/>
      <c r="S122" s="10"/>
    </row>
    <row r="123" spans="1:19" s="8" customFormat="1" x14ac:dyDescent="0.2">
      <c r="A123" s="2"/>
      <c r="B123" s="10"/>
      <c r="K123" s="2"/>
      <c r="L123" s="2"/>
      <c r="N123" s="10"/>
      <c r="O123" s="12"/>
      <c r="S123" s="10"/>
    </row>
    <row r="124" spans="1:19" s="8" customFormat="1" x14ac:dyDescent="0.2">
      <c r="A124" s="2"/>
      <c r="B124" s="10"/>
      <c r="K124" s="2"/>
      <c r="L124" s="2"/>
      <c r="N124" s="10"/>
      <c r="O124" s="12"/>
      <c r="S124" s="10"/>
    </row>
    <row r="125" spans="1:19" s="8" customFormat="1" x14ac:dyDescent="0.2">
      <c r="A125" s="2"/>
      <c r="B125" s="10"/>
      <c r="K125" s="2"/>
      <c r="L125" s="2"/>
      <c r="N125" s="10"/>
      <c r="O125" s="12"/>
      <c r="S125" s="10"/>
    </row>
    <row r="126" spans="1:19" s="8" customFormat="1" x14ac:dyDescent="0.2">
      <c r="A126" s="2"/>
      <c r="B126" s="10"/>
      <c r="K126" s="2"/>
      <c r="L126" s="2"/>
      <c r="N126" s="10"/>
      <c r="O126" s="12"/>
      <c r="S126" s="10"/>
    </row>
    <row r="127" spans="1:19" s="8" customFormat="1" x14ac:dyDescent="0.2">
      <c r="A127" s="2"/>
      <c r="B127" s="10"/>
      <c r="K127" s="2"/>
      <c r="L127" s="2"/>
      <c r="N127" s="10"/>
      <c r="O127" s="12"/>
      <c r="S127" s="10"/>
    </row>
    <row r="128" spans="1:19" s="8" customFormat="1" x14ac:dyDescent="0.2">
      <c r="A128" s="2"/>
      <c r="B128" s="10"/>
      <c r="K128" s="2"/>
      <c r="L128" s="2"/>
      <c r="N128" s="10"/>
      <c r="O128" s="12"/>
      <c r="S128" s="10"/>
    </row>
    <row r="129" spans="1:19" s="8" customFormat="1" x14ac:dyDescent="0.2">
      <c r="A129" s="2"/>
      <c r="B129" s="10"/>
      <c r="K129" s="2"/>
      <c r="L129" s="2"/>
      <c r="N129" s="10"/>
      <c r="O129" s="12"/>
      <c r="S129" s="10"/>
    </row>
    <row r="130" spans="1:19" s="8" customFormat="1" x14ac:dyDescent="0.2">
      <c r="A130" s="2"/>
      <c r="B130" s="10"/>
      <c r="K130" s="2"/>
      <c r="L130" s="2"/>
      <c r="N130" s="10"/>
      <c r="O130" s="12"/>
      <c r="S130" s="10"/>
    </row>
    <row r="131" spans="1:19" s="8" customFormat="1" x14ac:dyDescent="0.2">
      <c r="A131" s="2"/>
      <c r="B131" s="10"/>
      <c r="K131" s="2"/>
      <c r="L131" s="2"/>
      <c r="N131" s="10"/>
      <c r="O131" s="12"/>
      <c r="S131" s="10"/>
    </row>
    <row r="132" spans="1:19" s="8" customFormat="1" x14ac:dyDescent="0.2">
      <c r="A132" s="2"/>
      <c r="B132" s="10"/>
      <c r="K132" s="2"/>
      <c r="L132" s="2"/>
      <c r="N132" s="10"/>
      <c r="O132" s="12"/>
      <c r="S132" s="10"/>
    </row>
    <row r="133" spans="1:19" s="8" customFormat="1" x14ac:dyDescent="0.2">
      <c r="A133" s="2"/>
      <c r="B133" s="10"/>
      <c r="K133" s="2"/>
      <c r="L133" s="2"/>
      <c r="N133" s="10"/>
      <c r="O133" s="12"/>
      <c r="S133" s="10"/>
    </row>
    <row r="134" spans="1:19" s="8" customFormat="1" x14ac:dyDescent="0.2">
      <c r="A134" s="2"/>
      <c r="B134" s="10"/>
      <c r="K134" s="2"/>
      <c r="L134" s="2"/>
      <c r="N134" s="10"/>
      <c r="O134" s="12"/>
      <c r="S134" s="10"/>
    </row>
    <row r="135" spans="1:19" s="8" customFormat="1" x14ac:dyDescent="0.2">
      <c r="A135" s="2"/>
      <c r="B135" s="10"/>
      <c r="K135" s="2"/>
      <c r="L135" s="2"/>
      <c r="N135" s="10"/>
      <c r="O135" s="12"/>
      <c r="S135" s="10"/>
    </row>
    <row r="136" spans="1:19" s="8" customFormat="1" x14ac:dyDescent="0.2">
      <c r="A136" s="2"/>
      <c r="B136" s="10"/>
      <c r="K136" s="2"/>
      <c r="L136" s="2"/>
      <c r="N136" s="10"/>
      <c r="O136" s="12"/>
      <c r="S136" s="10"/>
    </row>
    <row r="137" spans="1:19" s="8" customFormat="1" x14ac:dyDescent="0.2">
      <c r="A137" s="2"/>
      <c r="B137" s="10"/>
      <c r="K137" s="2"/>
      <c r="L137" s="2"/>
      <c r="N137" s="10"/>
      <c r="O137" s="12"/>
      <c r="S137" s="10"/>
    </row>
    <row r="138" spans="1:19" s="8" customFormat="1" x14ac:dyDescent="0.2">
      <c r="A138" s="2"/>
      <c r="B138" s="10"/>
      <c r="K138" s="2"/>
      <c r="L138" s="2"/>
      <c r="N138" s="10"/>
      <c r="O138" s="12"/>
      <c r="S138" s="10"/>
    </row>
    <row r="139" spans="1:19" s="8" customFormat="1" x14ac:dyDescent="0.2">
      <c r="A139" s="2"/>
      <c r="B139" s="10"/>
      <c r="K139" s="2"/>
      <c r="L139" s="2"/>
      <c r="N139" s="10"/>
      <c r="O139" s="12"/>
      <c r="S139" s="10"/>
    </row>
    <row r="140" spans="1:19" s="8" customFormat="1" x14ac:dyDescent="0.2">
      <c r="A140" s="2"/>
      <c r="B140" s="10"/>
      <c r="K140" s="2"/>
      <c r="L140" s="2"/>
      <c r="N140" s="10"/>
      <c r="O140" s="12"/>
      <c r="S140" s="10"/>
    </row>
    <row r="141" spans="1:19" s="8" customFormat="1" x14ac:dyDescent="0.2">
      <c r="A141" s="2"/>
      <c r="B141" s="10"/>
      <c r="K141" s="2"/>
      <c r="L141" s="2"/>
      <c r="N141" s="10"/>
      <c r="O141" s="12"/>
      <c r="S141" s="10"/>
    </row>
    <row r="142" spans="1:19" s="8" customFormat="1" x14ac:dyDescent="0.2">
      <c r="A142" s="2"/>
      <c r="B142" s="10"/>
      <c r="K142" s="2"/>
      <c r="L142" s="2"/>
      <c r="N142" s="10"/>
      <c r="O142" s="12"/>
      <c r="S142" s="10"/>
    </row>
    <row r="143" spans="1:19" s="8" customFormat="1" x14ac:dyDescent="0.2">
      <c r="A143" s="2"/>
      <c r="B143" s="10"/>
      <c r="K143" s="2"/>
      <c r="L143" s="2"/>
      <c r="N143" s="10"/>
      <c r="O143" s="12"/>
      <c r="S143" s="10"/>
    </row>
    <row r="144" spans="1:19" s="8" customFormat="1" x14ac:dyDescent="0.2">
      <c r="A144" s="2"/>
      <c r="B144" s="10"/>
      <c r="K144" s="2"/>
      <c r="L144" s="2"/>
      <c r="N144" s="10"/>
      <c r="O144" s="12"/>
      <c r="S144" s="10"/>
    </row>
    <row r="145" spans="1:19" s="8" customFormat="1" x14ac:dyDescent="0.2">
      <c r="A145" s="2"/>
      <c r="B145" s="10"/>
      <c r="K145" s="2"/>
      <c r="L145" s="2"/>
      <c r="N145" s="10"/>
      <c r="O145" s="12"/>
      <c r="S145" s="10"/>
    </row>
    <row r="146" spans="1:19" s="8" customFormat="1" x14ac:dyDescent="0.2">
      <c r="A146" s="2"/>
      <c r="B146" s="10"/>
      <c r="K146" s="2"/>
      <c r="L146" s="2"/>
      <c r="N146" s="10"/>
      <c r="O146" s="12"/>
      <c r="S146" s="10"/>
    </row>
    <row r="147" spans="1:19" s="8" customFormat="1" x14ac:dyDescent="0.2">
      <c r="A147" s="2"/>
      <c r="B147" s="10"/>
      <c r="K147" s="2"/>
      <c r="L147" s="2"/>
      <c r="N147" s="10"/>
      <c r="O147" s="12"/>
      <c r="S147" s="10"/>
    </row>
    <row r="148" spans="1:19" s="8" customFormat="1" x14ac:dyDescent="0.2">
      <c r="A148" s="2"/>
      <c r="B148" s="10"/>
      <c r="K148" s="2"/>
      <c r="L148" s="2"/>
      <c r="N148" s="10"/>
      <c r="O148" s="12"/>
      <c r="S148" s="10"/>
    </row>
    <row r="149" spans="1:19" s="8" customFormat="1" x14ac:dyDescent="0.2">
      <c r="A149" s="2"/>
      <c r="B149" s="10"/>
      <c r="K149" s="2"/>
      <c r="L149" s="2"/>
      <c r="N149" s="10"/>
      <c r="O149" s="12"/>
      <c r="S149" s="10"/>
    </row>
    <row r="150" spans="1:19" s="8" customFormat="1" x14ac:dyDescent="0.2">
      <c r="A150" s="2"/>
      <c r="B150" s="10"/>
      <c r="K150" s="2"/>
      <c r="L150" s="2"/>
      <c r="N150" s="10"/>
      <c r="O150" s="12"/>
      <c r="S150" s="10"/>
    </row>
    <row r="151" spans="1:19" s="8" customFormat="1" x14ac:dyDescent="0.2">
      <c r="A151" s="2"/>
      <c r="B151" s="10"/>
      <c r="K151" s="2"/>
      <c r="L151" s="2"/>
      <c r="N151" s="10"/>
      <c r="O151" s="12"/>
      <c r="S151" s="10"/>
    </row>
    <row r="152" spans="1:19" s="8" customFormat="1" x14ac:dyDescent="0.2">
      <c r="A152" s="2"/>
      <c r="B152" s="10"/>
      <c r="K152" s="2"/>
      <c r="L152" s="2"/>
      <c r="N152" s="10"/>
      <c r="O152" s="12"/>
      <c r="S152" s="10"/>
    </row>
    <row r="153" spans="1:19" s="8" customFormat="1" x14ac:dyDescent="0.2">
      <c r="A153" s="2"/>
      <c r="B153" s="10"/>
      <c r="K153" s="2"/>
      <c r="L153" s="2"/>
      <c r="N153" s="10"/>
      <c r="O153" s="12"/>
      <c r="S153" s="10"/>
    </row>
    <row r="154" spans="1:19" s="8" customFormat="1" x14ac:dyDescent="0.2">
      <c r="A154" s="2"/>
      <c r="B154" s="10"/>
      <c r="K154" s="2"/>
      <c r="L154" s="2"/>
      <c r="N154" s="10"/>
      <c r="O154" s="12"/>
      <c r="S154" s="10"/>
    </row>
    <row r="155" spans="1:19" s="8" customFormat="1" x14ac:dyDescent="0.2">
      <c r="A155" s="2"/>
      <c r="B155" s="10"/>
      <c r="K155" s="2"/>
      <c r="L155" s="2"/>
      <c r="N155" s="10"/>
      <c r="O155" s="12"/>
      <c r="S155" s="10"/>
    </row>
    <row r="156" spans="1:19" s="8" customFormat="1" x14ac:dyDescent="0.2">
      <c r="A156" s="2"/>
      <c r="B156" s="10"/>
      <c r="K156" s="2"/>
      <c r="L156" s="2"/>
      <c r="N156" s="10"/>
      <c r="O156" s="12"/>
      <c r="S156" s="10"/>
    </row>
    <row r="157" spans="1:19" s="8" customFormat="1" x14ac:dyDescent="0.2">
      <c r="A157" s="2"/>
      <c r="B157" s="10"/>
      <c r="K157" s="2"/>
      <c r="L157" s="2"/>
      <c r="N157" s="10"/>
      <c r="O157" s="12"/>
      <c r="S157" s="10"/>
    </row>
    <row r="158" spans="1:19" s="8" customFormat="1" x14ac:dyDescent="0.2">
      <c r="A158" s="2"/>
      <c r="B158" s="10"/>
      <c r="K158" s="2"/>
      <c r="L158" s="2"/>
      <c r="N158" s="10"/>
      <c r="O158" s="12"/>
      <c r="S158" s="10"/>
    </row>
    <row r="159" spans="1:19" s="8" customFormat="1" x14ac:dyDescent="0.2">
      <c r="A159" s="2"/>
      <c r="B159" s="10"/>
      <c r="K159" s="2"/>
      <c r="L159" s="2"/>
      <c r="N159" s="10"/>
      <c r="O159" s="12"/>
      <c r="S159" s="10"/>
    </row>
    <row r="160" spans="1:19" s="8" customFormat="1" x14ac:dyDescent="0.2">
      <c r="A160" s="2"/>
      <c r="B160" s="10"/>
      <c r="K160" s="2"/>
      <c r="L160" s="2"/>
      <c r="N160" s="10"/>
      <c r="O160" s="12"/>
      <c r="S160" s="10"/>
    </row>
    <row r="161" spans="1:19" s="8" customFormat="1" x14ac:dyDescent="0.2">
      <c r="A161" s="2"/>
      <c r="B161" s="10"/>
      <c r="K161" s="2"/>
      <c r="L161" s="2"/>
      <c r="N161" s="10"/>
      <c r="O161" s="12"/>
      <c r="S161" s="10"/>
    </row>
    <row r="162" spans="1:19" s="8" customFormat="1" x14ac:dyDescent="0.2">
      <c r="A162" s="2"/>
      <c r="B162" s="10"/>
      <c r="K162" s="2"/>
      <c r="L162" s="2"/>
      <c r="N162" s="10"/>
      <c r="O162" s="12"/>
      <c r="S162" s="10"/>
    </row>
    <row r="163" spans="1:19" s="8" customFormat="1" x14ac:dyDescent="0.2">
      <c r="A163" s="2"/>
      <c r="B163" s="10"/>
      <c r="K163" s="2"/>
      <c r="L163" s="2"/>
      <c r="N163" s="10"/>
      <c r="O163" s="12"/>
      <c r="S163" s="10"/>
    </row>
    <row r="164" spans="1:19" s="8" customFormat="1" x14ac:dyDescent="0.2">
      <c r="A164" s="2"/>
      <c r="B164" s="10"/>
      <c r="K164" s="2"/>
      <c r="L164" s="2"/>
      <c r="N164" s="10"/>
      <c r="O164" s="12"/>
      <c r="S164" s="10"/>
    </row>
    <row r="165" spans="1:19" s="8" customFormat="1" x14ac:dyDescent="0.2">
      <c r="A165" s="2"/>
      <c r="B165" s="10"/>
      <c r="K165" s="2"/>
      <c r="L165" s="2"/>
      <c r="N165" s="10"/>
      <c r="O165" s="12"/>
      <c r="S165" s="10"/>
    </row>
    <row r="166" spans="1:19" s="8" customFormat="1" x14ac:dyDescent="0.2">
      <c r="A166" s="2"/>
      <c r="B166" s="10"/>
      <c r="K166" s="2"/>
      <c r="L166" s="2"/>
      <c r="N166" s="10"/>
      <c r="O166" s="12"/>
      <c r="S166" s="10"/>
    </row>
    <row r="167" spans="1:19" s="8" customFormat="1" x14ac:dyDescent="0.2">
      <c r="A167" s="2"/>
      <c r="B167" s="10"/>
      <c r="K167" s="2"/>
      <c r="L167" s="2"/>
      <c r="N167" s="10"/>
      <c r="O167" s="12"/>
      <c r="S167" s="10"/>
    </row>
    <row r="168" spans="1:19" s="8" customFormat="1" x14ac:dyDescent="0.2">
      <c r="A168" s="2"/>
      <c r="B168" s="10"/>
      <c r="K168" s="2"/>
      <c r="L168" s="2"/>
      <c r="N168" s="10"/>
      <c r="O168" s="12"/>
      <c r="S168" s="10"/>
    </row>
    <row r="169" spans="1:19" s="8" customFormat="1" x14ac:dyDescent="0.2">
      <c r="A169" s="2"/>
      <c r="B169" s="10"/>
      <c r="K169" s="2"/>
      <c r="L169" s="2"/>
      <c r="N169" s="10"/>
      <c r="O169" s="12"/>
      <c r="S169" s="10"/>
    </row>
    <row r="170" spans="1:19" s="8" customFormat="1" x14ac:dyDescent="0.2">
      <c r="A170" s="2"/>
      <c r="B170" s="10"/>
      <c r="K170" s="2"/>
      <c r="L170" s="2"/>
      <c r="N170" s="10"/>
      <c r="O170" s="12"/>
      <c r="S170" s="10"/>
    </row>
    <row r="171" spans="1:19" s="8" customFormat="1" x14ac:dyDescent="0.2">
      <c r="A171" s="2"/>
      <c r="B171" s="10"/>
      <c r="K171" s="2"/>
      <c r="L171" s="2"/>
      <c r="N171" s="10"/>
      <c r="O171" s="12"/>
      <c r="S171" s="10"/>
    </row>
    <row r="172" spans="1:19" s="8" customFormat="1" x14ac:dyDescent="0.2">
      <c r="A172" s="2"/>
      <c r="B172" s="10"/>
      <c r="K172" s="2"/>
      <c r="L172" s="2"/>
      <c r="N172" s="10"/>
      <c r="O172" s="12"/>
      <c r="S172" s="10"/>
    </row>
    <row r="173" spans="1:19" s="8" customFormat="1" x14ac:dyDescent="0.2">
      <c r="A173" s="2"/>
      <c r="B173" s="10"/>
      <c r="K173" s="2"/>
      <c r="L173" s="2"/>
      <c r="N173" s="10"/>
      <c r="O173" s="12"/>
      <c r="S173" s="10"/>
    </row>
    <row r="174" spans="1:19" s="8" customFormat="1" x14ac:dyDescent="0.2">
      <c r="A174" s="2"/>
      <c r="B174" s="10"/>
      <c r="K174" s="2"/>
      <c r="L174" s="2"/>
      <c r="N174" s="10"/>
      <c r="O174" s="12"/>
      <c r="S174" s="10"/>
    </row>
    <row r="175" spans="1:19" s="8" customFormat="1" x14ac:dyDescent="0.2">
      <c r="A175" s="2"/>
      <c r="B175" s="10"/>
      <c r="K175" s="2"/>
      <c r="L175" s="2"/>
      <c r="N175" s="10"/>
      <c r="O175" s="12"/>
      <c r="S175" s="10"/>
    </row>
    <row r="176" spans="1:19" s="8" customFormat="1" x14ac:dyDescent="0.2">
      <c r="A176" s="2"/>
      <c r="B176" s="10"/>
      <c r="K176" s="2"/>
      <c r="L176" s="2"/>
      <c r="N176" s="10"/>
      <c r="O176" s="12"/>
      <c r="S176" s="10"/>
    </row>
    <row r="177" spans="1:19" s="8" customFormat="1" x14ac:dyDescent="0.2">
      <c r="A177" s="2"/>
      <c r="B177" s="10"/>
      <c r="K177" s="2"/>
      <c r="L177" s="2"/>
      <c r="N177" s="10"/>
      <c r="O177" s="12"/>
      <c r="S177" s="10"/>
    </row>
    <row r="178" spans="1:19" s="8" customFormat="1" x14ac:dyDescent="0.2">
      <c r="A178" s="2"/>
      <c r="B178" s="10"/>
      <c r="K178" s="2"/>
      <c r="L178" s="2"/>
      <c r="N178" s="10"/>
      <c r="O178" s="12"/>
      <c r="S178" s="10"/>
    </row>
    <row r="179" spans="1:19" s="8" customFormat="1" x14ac:dyDescent="0.2">
      <c r="A179" s="2"/>
      <c r="B179" s="10"/>
      <c r="K179" s="2"/>
      <c r="L179" s="2"/>
      <c r="N179" s="10"/>
      <c r="O179" s="12"/>
      <c r="S179" s="10"/>
    </row>
    <row r="180" spans="1:19" s="8" customFormat="1" x14ac:dyDescent="0.2">
      <c r="A180" s="2"/>
      <c r="B180" s="10"/>
      <c r="K180" s="2"/>
      <c r="L180" s="2"/>
      <c r="N180" s="10"/>
      <c r="O180" s="12"/>
      <c r="S180" s="10"/>
    </row>
    <row r="181" spans="1:19" s="8" customFormat="1" x14ac:dyDescent="0.2">
      <c r="A181" s="2"/>
      <c r="B181" s="10"/>
      <c r="K181" s="2"/>
      <c r="L181" s="2"/>
      <c r="N181" s="10"/>
      <c r="O181" s="12"/>
      <c r="S181" s="10"/>
    </row>
    <row r="182" spans="1:19" s="8" customFormat="1" x14ac:dyDescent="0.2">
      <c r="A182" s="2"/>
      <c r="B182" s="10"/>
      <c r="K182" s="2"/>
      <c r="L182" s="2"/>
      <c r="N182" s="10"/>
      <c r="O182" s="12"/>
      <c r="S182" s="10"/>
    </row>
    <row r="183" spans="1:19" s="8" customFormat="1" x14ac:dyDescent="0.2">
      <c r="A183" s="2"/>
      <c r="B183" s="10"/>
      <c r="K183" s="2"/>
      <c r="L183" s="2"/>
      <c r="N183" s="10"/>
      <c r="O183" s="12"/>
      <c r="S183" s="10"/>
    </row>
    <row r="184" spans="1:19" s="8" customFormat="1" x14ac:dyDescent="0.2">
      <c r="A184" s="2"/>
      <c r="B184" s="10"/>
      <c r="K184" s="2"/>
      <c r="L184" s="2"/>
      <c r="N184" s="10"/>
      <c r="O184" s="12"/>
      <c r="S184" s="10"/>
    </row>
    <row r="185" spans="1:19" s="8" customFormat="1" x14ac:dyDescent="0.2">
      <c r="A185" s="2"/>
      <c r="B185" s="10"/>
      <c r="K185" s="2"/>
      <c r="L185" s="2"/>
      <c r="N185" s="10"/>
      <c r="O185" s="12"/>
      <c r="S185" s="10"/>
    </row>
    <row r="186" spans="1:19" s="8" customFormat="1" x14ac:dyDescent="0.2">
      <c r="A186" s="2"/>
      <c r="B186" s="10"/>
      <c r="K186" s="2"/>
      <c r="L186" s="2"/>
      <c r="N186" s="10"/>
      <c r="O186" s="12"/>
      <c r="S186" s="10"/>
    </row>
    <row r="187" spans="1:19" s="8" customFormat="1" x14ac:dyDescent="0.2">
      <c r="A187" s="2"/>
      <c r="B187" s="10"/>
      <c r="K187" s="2"/>
      <c r="L187" s="2"/>
      <c r="N187" s="10"/>
      <c r="O187" s="12"/>
      <c r="S187" s="10"/>
    </row>
    <row r="188" spans="1:19" s="8" customFormat="1" x14ac:dyDescent="0.2">
      <c r="A188" s="2"/>
      <c r="B188" s="10"/>
      <c r="K188" s="2"/>
      <c r="L188" s="2"/>
      <c r="N188" s="10"/>
      <c r="O188" s="12"/>
      <c r="S188" s="10"/>
    </row>
    <row r="189" spans="1:19" s="8" customFormat="1" x14ac:dyDescent="0.2">
      <c r="A189" s="2"/>
      <c r="B189" s="10"/>
      <c r="K189" s="2"/>
      <c r="L189" s="2"/>
      <c r="N189" s="10"/>
      <c r="O189" s="12"/>
      <c r="S189" s="10"/>
    </row>
    <row r="190" spans="1:19" s="8" customFormat="1" x14ac:dyDescent="0.2">
      <c r="A190" s="2"/>
      <c r="B190" s="10"/>
      <c r="K190" s="2"/>
      <c r="L190" s="2"/>
      <c r="N190" s="10"/>
      <c r="O190" s="12"/>
      <c r="S190" s="10"/>
    </row>
    <row r="191" spans="1:19" s="8" customFormat="1" x14ac:dyDescent="0.2">
      <c r="A191" s="2"/>
      <c r="B191" s="10"/>
      <c r="K191" s="2"/>
      <c r="L191" s="2"/>
      <c r="N191" s="10"/>
      <c r="O191" s="12"/>
      <c r="S191" s="10"/>
    </row>
    <row r="192" spans="1:19" s="8" customFormat="1" x14ac:dyDescent="0.2">
      <c r="A192" s="2"/>
      <c r="B192" s="10"/>
      <c r="K192" s="2"/>
      <c r="L192" s="2"/>
      <c r="N192" s="10"/>
      <c r="O192" s="12"/>
      <c r="S192" s="10"/>
    </row>
    <row r="193" spans="1:19" s="8" customFormat="1" x14ac:dyDescent="0.2">
      <c r="A193" s="2"/>
      <c r="B193" s="10"/>
      <c r="K193" s="2"/>
      <c r="L193" s="2"/>
      <c r="N193" s="10"/>
      <c r="O193" s="12"/>
      <c r="S193" s="10"/>
    </row>
    <row r="194" spans="1:19" s="8" customFormat="1" x14ac:dyDescent="0.2">
      <c r="A194" s="2"/>
      <c r="B194" s="10"/>
      <c r="K194" s="2"/>
      <c r="L194" s="2"/>
      <c r="N194" s="10"/>
      <c r="O194" s="12"/>
      <c r="S194" s="10"/>
    </row>
    <row r="195" spans="1:19" s="8" customFormat="1" x14ac:dyDescent="0.2">
      <c r="A195" s="2"/>
      <c r="B195" s="10"/>
      <c r="K195" s="2"/>
      <c r="L195" s="2"/>
      <c r="N195" s="10"/>
      <c r="O195" s="12"/>
      <c r="S195" s="10"/>
    </row>
    <row r="196" spans="1:19" s="8" customFormat="1" x14ac:dyDescent="0.2">
      <c r="A196" s="2"/>
      <c r="B196" s="10"/>
      <c r="K196" s="2"/>
      <c r="L196" s="2"/>
      <c r="N196" s="10"/>
      <c r="O196" s="12"/>
      <c r="S196" s="10"/>
    </row>
    <row r="197" spans="1:19" s="8" customFormat="1" x14ac:dyDescent="0.2">
      <c r="A197" s="2"/>
      <c r="B197" s="10"/>
      <c r="K197" s="2"/>
      <c r="L197" s="2"/>
      <c r="N197" s="10"/>
      <c r="O197" s="12"/>
      <c r="S197" s="10"/>
    </row>
    <row r="198" spans="1:19" s="8" customFormat="1" x14ac:dyDescent="0.2">
      <c r="A198" s="2"/>
      <c r="B198" s="10"/>
      <c r="K198" s="2"/>
      <c r="L198" s="2"/>
      <c r="N198" s="10"/>
      <c r="O198" s="12"/>
      <c r="S198" s="10"/>
    </row>
    <row r="199" spans="1:19" s="8" customFormat="1" x14ac:dyDescent="0.2">
      <c r="A199" s="2"/>
      <c r="B199" s="10"/>
      <c r="K199" s="2"/>
      <c r="L199" s="2"/>
      <c r="N199" s="10"/>
      <c r="O199" s="12"/>
      <c r="S199" s="10"/>
    </row>
    <row r="200" spans="1:19" s="8" customFormat="1" x14ac:dyDescent="0.2">
      <c r="A200" s="2"/>
      <c r="B200" s="10"/>
      <c r="K200" s="2"/>
      <c r="L200" s="2"/>
      <c r="N200" s="10"/>
      <c r="O200" s="12"/>
      <c r="S200" s="10"/>
    </row>
    <row r="201" spans="1:19" s="8" customFormat="1" x14ac:dyDescent="0.2">
      <c r="A201" s="2"/>
      <c r="B201" s="10"/>
      <c r="K201" s="2"/>
      <c r="L201" s="2"/>
      <c r="N201" s="10"/>
      <c r="O201" s="12"/>
      <c r="S201" s="10"/>
    </row>
    <row r="202" spans="1:19" s="8" customFormat="1" x14ac:dyDescent="0.2">
      <c r="A202" s="2"/>
      <c r="B202" s="10"/>
      <c r="K202" s="2"/>
      <c r="L202" s="2"/>
      <c r="N202" s="10"/>
      <c r="O202" s="12"/>
      <c r="S202" s="10"/>
    </row>
    <row r="203" spans="1:19" s="8" customFormat="1" x14ac:dyDescent="0.2">
      <c r="A203" s="2"/>
      <c r="B203" s="10"/>
      <c r="K203" s="2"/>
      <c r="L203" s="2"/>
      <c r="N203" s="10"/>
      <c r="O203" s="12"/>
      <c r="S203" s="10"/>
    </row>
    <row r="204" spans="1:19" s="8" customFormat="1" x14ac:dyDescent="0.2">
      <c r="A204" s="2"/>
      <c r="B204" s="10"/>
      <c r="K204" s="2"/>
      <c r="L204" s="2"/>
      <c r="N204" s="10"/>
      <c r="O204" s="12"/>
      <c r="S204" s="10"/>
    </row>
    <row r="205" spans="1:19" s="8" customFormat="1" x14ac:dyDescent="0.2">
      <c r="A205" s="2"/>
      <c r="B205" s="10"/>
      <c r="K205" s="2"/>
      <c r="L205" s="2"/>
      <c r="N205" s="10"/>
      <c r="O205" s="12"/>
      <c r="S205" s="10"/>
    </row>
    <row r="206" spans="1:19" s="8" customFormat="1" x14ac:dyDescent="0.2">
      <c r="A206" s="2"/>
      <c r="B206" s="10"/>
      <c r="K206" s="2"/>
      <c r="L206" s="2"/>
      <c r="N206" s="10"/>
      <c r="O206" s="12"/>
      <c r="S206" s="10"/>
    </row>
    <row r="207" spans="1:19" s="8" customFormat="1" x14ac:dyDescent="0.2">
      <c r="A207" s="2"/>
      <c r="B207" s="10"/>
      <c r="K207" s="2"/>
      <c r="L207" s="2"/>
      <c r="N207" s="10"/>
      <c r="O207" s="12"/>
      <c r="S207" s="10"/>
    </row>
    <row r="208" spans="1:19" s="8" customFormat="1" x14ac:dyDescent="0.2">
      <c r="A208" s="2"/>
      <c r="B208" s="10"/>
      <c r="K208" s="2"/>
      <c r="L208" s="2"/>
      <c r="N208" s="10"/>
      <c r="O208" s="12"/>
      <c r="S208" s="10"/>
    </row>
    <row r="209" spans="1:19" s="8" customFormat="1" x14ac:dyDescent="0.2">
      <c r="A209" s="2"/>
      <c r="B209" s="10"/>
      <c r="K209" s="2"/>
      <c r="L209" s="2"/>
      <c r="N209" s="10"/>
      <c r="O209" s="12"/>
      <c r="S209" s="10"/>
    </row>
    <row r="210" spans="1:19" s="8" customFormat="1" x14ac:dyDescent="0.2">
      <c r="A210" s="2"/>
      <c r="B210" s="10"/>
      <c r="K210" s="2"/>
      <c r="L210" s="2"/>
      <c r="N210" s="10"/>
      <c r="O210" s="12"/>
      <c r="S210" s="10"/>
    </row>
    <row r="211" spans="1:19" s="8" customFormat="1" x14ac:dyDescent="0.2">
      <c r="A211" s="2"/>
      <c r="B211" s="10"/>
      <c r="K211" s="2"/>
      <c r="L211" s="2"/>
      <c r="N211" s="10"/>
      <c r="O211" s="12"/>
      <c r="S211" s="10"/>
    </row>
    <row r="212" spans="1:19" s="8" customFormat="1" x14ac:dyDescent="0.2">
      <c r="A212" s="2"/>
      <c r="B212" s="10"/>
      <c r="K212" s="2"/>
      <c r="L212" s="2"/>
      <c r="N212" s="10"/>
      <c r="O212" s="12"/>
      <c r="S212" s="10"/>
    </row>
    <row r="213" spans="1:19" s="8" customFormat="1" x14ac:dyDescent="0.2">
      <c r="A213" s="2"/>
      <c r="B213" s="10"/>
      <c r="K213" s="2"/>
      <c r="L213" s="2"/>
      <c r="N213" s="10"/>
      <c r="O213" s="12"/>
      <c r="S213" s="10"/>
    </row>
    <row r="214" spans="1:19" s="8" customFormat="1" x14ac:dyDescent="0.2">
      <c r="A214" s="2"/>
      <c r="B214" s="10"/>
      <c r="K214" s="2"/>
      <c r="L214" s="2"/>
      <c r="N214" s="10"/>
      <c r="O214" s="12"/>
      <c r="S214" s="10"/>
    </row>
    <row r="215" spans="1:19" s="8" customFormat="1" x14ac:dyDescent="0.2">
      <c r="A215" s="2"/>
      <c r="B215" s="10"/>
      <c r="K215" s="2"/>
      <c r="L215" s="2"/>
      <c r="N215" s="10"/>
      <c r="O215" s="12"/>
      <c r="S215" s="10"/>
    </row>
    <row r="216" spans="1:19" s="8" customFormat="1" x14ac:dyDescent="0.2">
      <c r="A216" s="2"/>
      <c r="B216" s="10"/>
      <c r="K216" s="2"/>
      <c r="L216" s="2"/>
      <c r="N216" s="10"/>
      <c r="O216" s="12"/>
      <c r="S216" s="10"/>
    </row>
    <row r="217" spans="1:19" s="8" customFormat="1" x14ac:dyDescent="0.2">
      <c r="A217" s="2"/>
      <c r="B217" s="10"/>
      <c r="K217" s="2"/>
      <c r="L217" s="2"/>
      <c r="N217" s="10"/>
      <c r="O217" s="12"/>
      <c r="S217" s="10"/>
    </row>
    <row r="218" spans="1:19" s="8" customFormat="1" x14ac:dyDescent="0.2">
      <c r="A218" s="2"/>
      <c r="B218" s="10"/>
      <c r="K218" s="2"/>
      <c r="L218" s="2"/>
      <c r="N218" s="10"/>
      <c r="O218" s="12"/>
      <c r="S218" s="10"/>
    </row>
    <row r="219" spans="1:19" s="8" customFormat="1" x14ac:dyDescent="0.2">
      <c r="A219" s="2"/>
      <c r="B219" s="10"/>
      <c r="K219" s="2"/>
      <c r="L219" s="2"/>
      <c r="N219" s="10"/>
      <c r="O219" s="12"/>
      <c r="S219" s="10"/>
    </row>
    <row r="220" spans="1:19" s="8" customFormat="1" x14ac:dyDescent="0.2">
      <c r="A220" s="2"/>
      <c r="B220" s="10"/>
      <c r="K220" s="2"/>
      <c r="L220" s="2"/>
      <c r="N220" s="10"/>
      <c r="O220" s="12"/>
      <c r="S220" s="10"/>
    </row>
    <row r="221" spans="1:19" s="8" customFormat="1" x14ac:dyDescent="0.2">
      <c r="A221" s="2"/>
      <c r="B221" s="10"/>
      <c r="K221" s="2"/>
      <c r="L221" s="2"/>
      <c r="N221" s="10"/>
      <c r="O221" s="12"/>
      <c r="S221" s="10"/>
    </row>
    <row r="222" spans="1:19" s="8" customFormat="1" x14ac:dyDescent="0.2">
      <c r="A222" s="2"/>
      <c r="B222" s="10"/>
      <c r="K222" s="2"/>
      <c r="L222" s="2"/>
      <c r="N222" s="10"/>
      <c r="O222" s="12"/>
      <c r="S222" s="10"/>
    </row>
    <row r="223" spans="1:19" s="8" customFormat="1" x14ac:dyDescent="0.2">
      <c r="A223" s="2"/>
      <c r="B223" s="10"/>
      <c r="K223" s="2"/>
      <c r="L223" s="2"/>
      <c r="N223" s="10"/>
      <c r="O223" s="12"/>
      <c r="S223" s="10"/>
    </row>
    <row r="224" spans="1:19" s="8" customFormat="1" x14ac:dyDescent="0.2">
      <c r="A224" s="2"/>
      <c r="B224" s="10"/>
      <c r="K224" s="2"/>
      <c r="L224" s="2"/>
      <c r="N224" s="10"/>
      <c r="O224" s="12"/>
      <c r="S224" s="10"/>
    </row>
    <row r="225" spans="1:19" s="8" customFormat="1" x14ac:dyDescent="0.2">
      <c r="A225" s="2"/>
      <c r="B225" s="10"/>
      <c r="K225" s="2"/>
      <c r="L225" s="2"/>
      <c r="N225" s="10"/>
      <c r="O225" s="12"/>
      <c r="S225" s="10"/>
    </row>
    <row r="226" spans="1:19" s="8" customFormat="1" x14ac:dyDescent="0.2">
      <c r="A226" s="2"/>
      <c r="B226" s="10"/>
      <c r="K226" s="2"/>
      <c r="L226" s="2"/>
      <c r="N226" s="10"/>
      <c r="O226" s="12"/>
      <c r="S226" s="10"/>
    </row>
    <row r="227" spans="1:19" s="8" customFormat="1" x14ac:dyDescent="0.2">
      <c r="A227" s="2"/>
      <c r="B227" s="10"/>
      <c r="K227" s="2"/>
      <c r="L227" s="2"/>
      <c r="N227" s="10"/>
      <c r="O227" s="12"/>
      <c r="S227" s="10"/>
    </row>
    <row r="228" spans="1:19" s="8" customFormat="1" x14ac:dyDescent="0.2">
      <c r="A228" s="2"/>
      <c r="B228" s="10"/>
      <c r="K228" s="2"/>
      <c r="L228" s="2"/>
      <c r="N228" s="10"/>
      <c r="O228" s="12"/>
      <c r="S228" s="10"/>
    </row>
    <row r="229" spans="1:19" s="8" customFormat="1" x14ac:dyDescent="0.2">
      <c r="A229" s="2"/>
      <c r="B229" s="10"/>
      <c r="K229" s="2"/>
      <c r="L229" s="2"/>
      <c r="N229" s="10"/>
      <c r="O229" s="12"/>
      <c r="S229" s="10"/>
    </row>
    <row r="230" spans="1:19" s="8" customFormat="1" x14ac:dyDescent="0.2">
      <c r="A230" s="2"/>
      <c r="B230" s="10"/>
      <c r="K230" s="2"/>
      <c r="L230" s="2"/>
      <c r="N230" s="10"/>
      <c r="O230" s="12"/>
      <c r="S230" s="10"/>
    </row>
    <row r="231" spans="1:19" s="8" customFormat="1" x14ac:dyDescent="0.2">
      <c r="A231" s="2"/>
      <c r="B231" s="10"/>
      <c r="K231" s="2"/>
      <c r="L231" s="2"/>
      <c r="N231" s="10"/>
      <c r="O231" s="12"/>
      <c r="S231" s="10"/>
    </row>
    <row r="232" spans="1:19" s="8" customFormat="1" x14ac:dyDescent="0.2">
      <c r="A232" s="2"/>
      <c r="B232" s="10"/>
      <c r="K232" s="2"/>
      <c r="L232" s="2"/>
      <c r="N232" s="10"/>
      <c r="O232" s="12"/>
      <c r="S232" s="10"/>
    </row>
    <row r="233" spans="1:19" s="8" customFormat="1" x14ac:dyDescent="0.2">
      <c r="A233" s="2"/>
      <c r="B233" s="10"/>
      <c r="K233" s="2"/>
      <c r="L233" s="2"/>
      <c r="N233" s="10"/>
      <c r="O233" s="12"/>
      <c r="S233" s="10"/>
    </row>
    <row r="234" spans="1:19" s="8" customFormat="1" x14ac:dyDescent="0.2">
      <c r="A234" s="2"/>
      <c r="B234" s="10"/>
      <c r="K234" s="2"/>
      <c r="L234" s="2"/>
      <c r="N234" s="10"/>
      <c r="O234" s="12"/>
      <c r="S234" s="10"/>
    </row>
    <row r="235" spans="1:19" s="8" customFormat="1" x14ac:dyDescent="0.2">
      <c r="A235" s="2"/>
      <c r="B235" s="10"/>
      <c r="K235" s="2"/>
      <c r="L235" s="2"/>
      <c r="N235" s="10"/>
      <c r="O235" s="12"/>
      <c r="S235" s="10"/>
    </row>
    <row r="236" spans="1:19" s="8" customFormat="1" x14ac:dyDescent="0.2">
      <c r="A236" s="2"/>
      <c r="B236" s="10"/>
      <c r="K236" s="2"/>
      <c r="L236" s="2"/>
      <c r="N236" s="10"/>
      <c r="O236" s="12"/>
      <c r="S236" s="10"/>
    </row>
    <row r="237" spans="1:19" s="8" customFormat="1" x14ac:dyDescent="0.2">
      <c r="A237" s="2"/>
      <c r="B237" s="10"/>
      <c r="K237" s="2"/>
      <c r="L237" s="2"/>
      <c r="N237" s="10"/>
      <c r="O237" s="12"/>
      <c r="S237" s="10"/>
    </row>
    <row r="238" spans="1:19" s="8" customFormat="1" x14ac:dyDescent="0.2">
      <c r="A238" s="2"/>
      <c r="B238" s="10"/>
      <c r="K238" s="2"/>
      <c r="L238" s="2"/>
      <c r="N238" s="10"/>
      <c r="O238" s="12"/>
      <c r="S238" s="10"/>
    </row>
    <row r="239" spans="1:19" s="8" customFormat="1" x14ac:dyDescent="0.2">
      <c r="A239" s="2"/>
      <c r="B239" s="10"/>
      <c r="K239" s="2"/>
      <c r="L239" s="2"/>
      <c r="N239" s="10"/>
      <c r="O239" s="12"/>
      <c r="S239" s="10"/>
    </row>
    <row r="240" spans="1:19" s="8" customFormat="1" x14ac:dyDescent="0.2">
      <c r="A240" s="2"/>
      <c r="B240" s="10"/>
      <c r="K240" s="2"/>
      <c r="L240" s="2"/>
      <c r="N240" s="10"/>
      <c r="O240" s="12"/>
      <c r="S240" s="10"/>
    </row>
    <row r="241" spans="1:19" s="8" customFormat="1" x14ac:dyDescent="0.2">
      <c r="A241" s="2"/>
      <c r="B241" s="10"/>
      <c r="K241" s="2"/>
      <c r="L241" s="2"/>
      <c r="N241" s="10"/>
      <c r="O241" s="12"/>
      <c r="S241" s="10"/>
    </row>
    <row r="242" spans="1:19" s="8" customFormat="1" x14ac:dyDescent="0.2">
      <c r="A242" s="2"/>
      <c r="B242" s="10"/>
      <c r="K242" s="2"/>
      <c r="L242" s="2"/>
      <c r="N242" s="10"/>
      <c r="O242" s="12"/>
      <c r="S242" s="10"/>
    </row>
    <row r="243" spans="1:19" s="8" customFormat="1" x14ac:dyDescent="0.2">
      <c r="A243" s="2"/>
      <c r="B243" s="10"/>
      <c r="K243" s="2"/>
      <c r="L243" s="2"/>
      <c r="N243" s="10"/>
      <c r="O243" s="12"/>
      <c r="S243" s="10"/>
    </row>
    <row r="244" spans="1:19" s="8" customFormat="1" x14ac:dyDescent="0.2">
      <c r="A244" s="2"/>
      <c r="B244" s="10"/>
      <c r="K244" s="2"/>
      <c r="L244" s="2"/>
      <c r="N244" s="10"/>
      <c r="O244" s="12"/>
      <c r="S244" s="10"/>
    </row>
    <row r="245" spans="1:19" s="8" customFormat="1" x14ac:dyDescent="0.2">
      <c r="A245" s="2"/>
      <c r="B245" s="10"/>
      <c r="K245" s="2"/>
      <c r="L245" s="2"/>
      <c r="N245" s="10"/>
      <c r="O245" s="12"/>
      <c r="S245" s="10"/>
    </row>
    <row r="246" spans="1:19" s="8" customFormat="1" x14ac:dyDescent="0.2">
      <c r="A246" s="2"/>
      <c r="B246" s="10"/>
      <c r="K246" s="2"/>
      <c r="L246" s="2"/>
      <c r="N246" s="10"/>
      <c r="O246" s="12"/>
      <c r="S246" s="10"/>
    </row>
    <row r="247" spans="1:19" s="8" customFormat="1" x14ac:dyDescent="0.2">
      <c r="A247" s="2"/>
      <c r="B247" s="10"/>
      <c r="K247" s="2"/>
      <c r="L247" s="2"/>
      <c r="N247" s="10"/>
      <c r="O247" s="12"/>
      <c r="S247" s="10"/>
    </row>
    <row r="248" spans="1:19" s="8" customFormat="1" x14ac:dyDescent="0.2">
      <c r="A248" s="2"/>
      <c r="B248" s="10"/>
      <c r="K248" s="2"/>
      <c r="L248" s="2"/>
      <c r="N248" s="10"/>
      <c r="O248" s="12"/>
      <c r="S248" s="10"/>
    </row>
    <row r="249" spans="1:19" s="8" customFormat="1" x14ac:dyDescent="0.2">
      <c r="A249" s="2"/>
      <c r="B249" s="10"/>
      <c r="K249" s="2"/>
      <c r="L249" s="2"/>
      <c r="N249" s="10"/>
      <c r="O249" s="12"/>
      <c r="S249" s="10"/>
    </row>
    <row r="250" spans="1:19" s="8" customFormat="1" x14ac:dyDescent="0.2">
      <c r="A250" s="2"/>
      <c r="B250" s="10"/>
      <c r="K250" s="2"/>
      <c r="L250" s="2"/>
      <c r="N250" s="10"/>
      <c r="O250" s="12"/>
      <c r="S250" s="10"/>
    </row>
    <row r="251" spans="1:19" s="8" customFormat="1" x14ac:dyDescent="0.2">
      <c r="A251" s="2"/>
      <c r="B251" s="10"/>
      <c r="K251" s="2"/>
      <c r="L251" s="2"/>
      <c r="N251" s="10"/>
      <c r="O251" s="12"/>
      <c r="S251" s="10"/>
    </row>
    <row r="252" spans="1:19" s="8" customFormat="1" x14ac:dyDescent="0.2">
      <c r="A252" s="2"/>
      <c r="B252" s="10"/>
      <c r="K252" s="2"/>
      <c r="L252" s="2"/>
      <c r="N252" s="10"/>
      <c r="O252" s="12"/>
      <c r="S252" s="10"/>
    </row>
    <row r="253" spans="1:19" s="8" customFormat="1" x14ac:dyDescent="0.2">
      <c r="A253" s="2"/>
      <c r="B253" s="10"/>
      <c r="K253" s="2"/>
      <c r="L253" s="2"/>
      <c r="N253" s="10"/>
      <c r="O253" s="12"/>
      <c r="S253" s="10"/>
    </row>
    <row r="254" spans="1:19" s="8" customFormat="1" x14ac:dyDescent="0.2">
      <c r="A254" s="2"/>
      <c r="B254" s="10"/>
      <c r="K254" s="2"/>
      <c r="L254" s="2"/>
      <c r="N254" s="10"/>
      <c r="O254" s="12"/>
      <c r="S254" s="10"/>
    </row>
    <row r="255" spans="1:19" s="8" customFormat="1" x14ac:dyDescent="0.2">
      <c r="A255" s="2"/>
      <c r="B255" s="10"/>
      <c r="K255" s="2"/>
      <c r="L255" s="2"/>
      <c r="N255" s="10"/>
      <c r="O255" s="12"/>
      <c r="S255" s="10"/>
    </row>
    <row r="256" spans="1:19" s="8" customFormat="1" x14ac:dyDescent="0.2">
      <c r="A256" s="2"/>
      <c r="B256" s="10"/>
      <c r="K256" s="2"/>
      <c r="L256" s="2"/>
      <c r="N256" s="10"/>
      <c r="O256" s="12"/>
      <c r="S256" s="10"/>
    </row>
    <row r="257" spans="1:19" s="8" customFormat="1" x14ac:dyDescent="0.2">
      <c r="A257" s="2"/>
      <c r="B257" s="10"/>
      <c r="K257" s="2"/>
      <c r="L257" s="2"/>
      <c r="N257" s="10"/>
      <c r="O257" s="12"/>
      <c r="S257" s="10"/>
    </row>
    <row r="258" spans="1:19" s="8" customFormat="1" x14ac:dyDescent="0.2">
      <c r="A258" s="2"/>
      <c r="B258" s="10"/>
      <c r="K258" s="2"/>
      <c r="L258" s="2"/>
      <c r="N258" s="10"/>
      <c r="O258" s="12"/>
      <c r="S258" s="10"/>
    </row>
    <row r="259" spans="1:19" s="8" customFormat="1" x14ac:dyDescent="0.2">
      <c r="A259" s="2"/>
      <c r="B259" s="10"/>
      <c r="K259" s="2"/>
      <c r="L259" s="2"/>
      <c r="N259" s="10"/>
      <c r="O259" s="12"/>
      <c r="S259" s="10"/>
    </row>
    <row r="260" spans="1:19" s="8" customFormat="1" x14ac:dyDescent="0.2">
      <c r="A260" s="2"/>
      <c r="B260" s="10"/>
      <c r="K260" s="2"/>
      <c r="L260" s="2"/>
      <c r="N260" s="10"/>
      <c r="O260" s="12"/>
      <c r="S260" s="10"/>
    </row>
    <row r="261" spans="1:19" s="8" customFormat="1" x14ac:dyDescent="0.2">
      <c r="A261" s="2"/>
      <c r="B261" s="10"/>
      <c r="K261" s="2"/>
      <c r="L261" s="2"/>
      <c r="N261" s="10"/>
      <c r="O261" s="12"/>
      <c r="S261" s="10"/>
    </row>
    <row r="262" spans="1:19" s="8" customFormat="1" x14ac:dyDescent="0.2">
      <c r="A262" s="2"/>
      <c r="B262" s="10"/>
      <c r="K262" s="2"/>
      <c r="L262" s="2"/>
      <c r="N262" s="10"/>
      <c r="O262" s="12"/>
      <c r="S262" s="10"/>
    </row>
    <row r="263" spans="1:19" s="8" customFormat="1" x14ac:dyDescent="0.2">
      <c r="A263" s="2"/>
      <c r="B263" s="10"/>
      <c r="K263" s="2"/>
      <c r="L263" s="2"/>
      <c r="N263" s="10"/>
      <c r="O263" s="12"/>
      <c r="S263" s="10"/>
    </row>
    <row r="264" spans="1:19" s="8" customFormat="1" x14ac:dyDescent="0.2">
      <c r="A264" s="2"/>
      <c r="B264" s="10"/>
      <c r="K264" s="2"/>
      <c r="L264" s="2"/>
      <c r="N264" s="10"/>
      <c r="O264" s="12"/>
      <c r="S264" s="10"/>
    </row>
    <row r="265" spans="1:19" s="8" customFormat="1" x14ac:dyDescent="0.2">
      <c r="A265" s="2"/>
      <c r="B265" s="10"/>
      <c r="K265" s="2"/>
      <c r="L265" s="2"/>
      <c r="N265" s="10"/>
      <c r="O265" s="12"/>
      <c r="S265" s="10"/>
    </row>
    <row r="266" spans="1:19" s="8" customFormat="1" x14ac:dyDescent="0.2">
      <c r="A266" s="2"/>
      <c r="B266" s="10"/>
      <c r="K266" s="2"/>
      <c r="L266" s="2"/>
      <c r="N266" s="10"/>
      <c r="O266" s="12"/>
      <c r="S266" s="10"/>
    </row>
    <row r="267" spans="1:19" s="8" customFormat="1" x14ac:dyDescent="0.2">
      <c r="A267" s="2"/>
      <c r="B267" s="10"/>
      <c r="K267" s="2"/>
      <c r="L267" s="2"/>
      <c r="N267" s="10"/>
      <c r="O267" s="12"/>
      <c r="S267" s="10"/>
    </row>
    <row r="268" spans="1:19" s="8" customFormat="1" x14ac:dyDescent="0.2">
      <c r="A268" s="2"/>
      <c r="B268" s="10"/>
      <c r="K268" s="2"/>
      <c r="L268" s="2"/>
      <c r="N268" s="10"/>
      <c r="O268" s="12"/>
      <c r="S268" s="10"/>
    </row>
    <row r="269" spans="1:19" s="8" customFormat="1" x14ac:dyDescent="0.2">
      <c r="A269" s="2"/>
      <c r="B269" s="10"/>
      <c r="K269" s="2"/>
      <c r="L269" s="2"/>
      <c r="N269" s="10"/>
      <c r="O269" s="12"/>
      <c r="S269" s="10"/>
    </row>
    <row r="270" spans="1:19" s="8" customFormat="1" x14ac:dyDescent="0.2">
      <c r="A270" s="2"/>
      <c r="B270" s="10"/>
      <c r="K270" s="2"/>
      <c r="L270" s="2"/>
      <c r="N270" s="10"/>
      <c r="O270" s="12"/>
      <c r="S270" s="10"/>
    </row>
    <row r="271" spans="1:19" s="8" customFormat="1" x14ac:dyDescent="0.2">
      <c r="A271" s="2"/>
      <c r="B271" s="10"/>
      <c r="K271" s="2"/>
      <c r="L271" s="2"/>
      <c r="N271" s="10"/>
      <c r="O271" s="12"/>
      <c r="S271" s="10"/>
    </row>
    <row r="272" spans="1:19" s="8" customFormat="1" x14ac:dyDescent="0.2">
      <c r="A272" s="2"/>
      <c r="B272" s="10"/>
      <c r="K272" s="2"/>
      <c r="L272" s="2"/>
      <c r="N272" s="10"/>
      <c r="O272" s="12"/>
      <c r="S272" s="10"/>
    </row>
    <row r="273" spans="1:19" s="8" customFormat="1" x14ac:dyDescent="0.2">
      <c r="A273" s="2"/>
      <c r="B273" s="10"/>
      <c r="K273" s="2"/>
      <c r="L273" s="2"/>
      <c r="N273" s="10"/>
      <c r="O273" s="12"/>
      <c r="S273" s="10"/>
    </row>
    <row r="274" spans="1:19" s="8" customFormat="1" x14ac:dyDescent="0.2">
      <c r="A274" s="2"/>
      <c r="B274" s="10"/>
      <c r="K274" s="2"/>
      <c r="L274" s="2"/>
      <c r="N274" s="10"/>
      <c r="O274" s="12"/>
      <c r="S274" s="10"/>
    </row>
    <row r="275" spans="1:19" s="8" customFormat="1" x14ac:dyDescent="0.2">
      <c r="A275" s="2"/>
      <c r="B275" s="10"/>
      <c r="K275" s="2"/>
      <c r="L275" s="2"/>
      <c r="N275" s="10"/>
      <c r="O275" s="12"/>
      <c r="S275" s="10"/>
    </row>
    <row r="276" spans="1:19" s="8" customFormat="1" x14ac:dyDescent="0.2">
      <c r="A276" s="2"/>
      <c r="B276" s="10"/>
      <c r="K276" s="2"/>
      <c r="L276" s="2"/>
      <c r="N276" s="10"/>
      <c r="O276" s="12"/>
      <c r="S276" s="10"/>
    </row>
    <row r="277" spans="1:19" s="8" customFormat="1" x14ac:dyDescent="0.2">
      <c r="A277" s="2"/>
      <c r="B277" s="10"/>
      <c r="K277" s="2"/>
      <c r="L277" s="2"/>
      <c r="N277" s="10"/>
      <c r="O277" s="12"/>
      <c r="S277" s="10"/>
    </row>
    <row r="278" spans="1:19" s="8" customFormat="1" x14ac:dyDescent="0.2">
      <c r="A278" s="2"/>
      <c r="B278" s="10"/>
      <c r="K278" s="2"/>
      <c r="L278" s="2"/>
      <c r="N278" s="10"/>
      <c r="O278" s="12"/>
      <c r="S278" s="10"/>
    </row>
    <row r="279" spans="1:19" s="8" customFormat="1" x14ac:dyDescent="0.2">
      <c r="A279" s="2"/>
      <c r="B279" s="10"/>
      <c r="K279" s="2"/>
      <c r="L279" s="2"/>
      <c r="N279" s="10"/>
      <c r="O279" s="12"/>
      <c r="S279" s="10"/>
    </row>
    <row r="280" spans="1:19" s="8" customFormat="1" x14ac:dyDescent="0.2">
      <c r="A280" s="2"/>
      <c r="B280" s="10"/>
      <c r="K280" s="2"/>
      <c r="L280" s="2"/>
      <c r="N280" s="10"/>
      <c r="O280" s="12"/>
      <c r="S280" s="10"/>
    </row>
    <row r="281" spans="1:19" s="8" customFormat="1" x14ac:dyDescent="0.2">
      <c r="A281" s="2"/>
      <c r="B281" s="10"/>
      <c r="K281" s="2"/>
      <c r="L281" s="2"/>
      <c r="N281" s="10"/>
      <c r="O281" s="12"/>
      <c r="S281" s="10"/>
    </row>
    <row r="282" spans="1:19" s="8" customFormat="1" x14ac:dyDescent="0.2">
      <c r="A282" s="2"/>
      <c r="B282" s="10"/>
      <c r="K282" s="2"/>
      <c r="L282" s="2"/>
      <c r="N282" s="10"/>
      <c r="O282" s="12"/>
      <c r="S282" s="10"/>
    </row>
    <row r="283" spans="1:19" s="8" customFormat="1" x14ac:dyDescent="0.2">
      <c r="A283" s="2"/>
      <c r="B283" s="10"/>
      <c r="K283" s="2"/>
      <c r="L283" s="2"/>
      <c r="N283" s="10"/>
      <c r="O283" s="12"/>
      <c r="S283" s="10"/>
    </row>
    <row r="284" spans="1:19" s="8" customFormat="1" x14ac:dyDescent="0.2">
      <c r="A284" s="2"/>
      <c r="B284" s="10"/>
      <c r="K284" s="2"/>
      <c r="L284" s="2"/>
      <c r="N284" s="10"/>
      <c r="O284" s="12"/>
      <c r="S284" s="10"/>
    </row>
    <row r="285" spans="1:19" s="8" customFormat="1" x14ac:dyDescent="0.2">
      <c r="A285" s="2"/>
      <c r="B285" s="10"/>
      <c r="K285" s="2"/>
      <c r="L285" s="2"/>
      <c r="N285" s="10"/>
      <c r="O285" s="12"/>
      <c r="S285" s="10"/>
    </row>
    <row r="286" spans="1:19" s="8" customFormat="1" x14ac:dyDescent="0.2">
      <c r="A286" s="2"/>
      <c r="B286" s="10"/>
      <c r="K286" s="2"/>
      <c r="L286" s="2"/>
      <c r="N286" s="10"/>
      <c r="O286" s="12"/>
      <c r="S286" s="10"/>
    </row>
    <row r="287" spans="1:19" s="8" customFormat="1" x14ac:dyDescent="0.2">
      <c r="A287" s="2"/>
      <c r="B287" s="10"/>
      <c r="K287" s="2"/>
      <c r="L287" s="2"/>
      <c r="N287" s="10"/>
      <c r="O287" s="12"/>
      <c r="S287" s="10"/>
    </row>
    <row r="288" spans="1:19" s="8" customFormat="1" x14ac:dyDescent="0.2">
      <c r="A288" s="2"/>
      <c r="B288" s="10"/>
      <c r="K288" s="2"/>
      <c r="L288" s="2"/>
      <c r="N288" s="10"/>
      <c r="O288" s="12"/>
      <c r="S288" s="10"/>
    </row>
    <row r="289" spans="1:19" s="8" customFormat="1" x14ac:dyDescent="0.2">
      <c r="A289" s="2"/>
      <c r="B289" s="10"/>
      <c r="K289" s="2"/>
      <c r="L289" s="2"/>
      <c r="N289" s="10"/>
      <c r="O289" s="12"/>
      <c r="S289" s="10"/>
    </row>
    <row r="290" spans="1:19" s="8" customFormat="1" x14ac:dyDescent="0.2">
      <c r="A290" s="2"/>
      <c r="B290" s="10"/>
      <c r="K290" s="2"/>
      <c r="L290" s="2"/>
      <c r="N290" s="10"/>
      <c r="O290" s="12"/>
      <c r="S290" s="10"/>
    </row>
    <row r="291" spans="1:19" s="8" customFormat="1" x14ac:dyDescent="0.2">
      <c r="A291" s="2"/>
      <c r="B291" s="10"/>
      <c r="K291" s="2"/>
      <c r="L291" s="2"/>
      <c r="N291" s="10"/>
      <c r="O291" s="12"/>
      <c r="S291" s="10"/>
    </row>
    <row r="292" spans="1:19" s="8" customFormat="1" x14ac:dyDescent="0.2">
      <c r="A292" s="2"/>
      <c r="B292" s="10"/>
      <c r="K292" s="2"/>
      <c r="L292" s="2"/>
      <c r="N292" s="10"/>
      <c r="O292" s="12"/>
      <c r="S292" s="10"/>
    </row>
    <row r="293" spans="1:19" s="8" customFormat="1" x14ac:dyDescent="0.2">
      <c r="A293" s="2"/>
      <c r="B293" s="10"/>
      <c r="K293" s="2"/>
      <c r="L293" s="2"/>
      <c r="N293" s="10"/>
      <c r="O293" s="12"/>
      <c r="S293" s="10"/>
    </row>
    <row r="294" spans="1:19" s="8" customFormat="1" x14ac:dyDescent="0.2">
      <c r="A294" s="2"/>
      <c r="B294" s="10"/>
      <c r="K294" s="2"/>
      <c r="L294" s="2"/>
      <c r="N294" s="10"/>
      <c r="O294" s="12"/>
      <c r="S294" s="10"/>
    </row>
    <row r="295" spans="1:19" s="8" customFormat="1" x14ac:dyDescent="0.2">
      <c r="A295" s="2"/>
      <c r="B295" s="10"/>
      <c r="K295" s="2"/>
      <c r="L295" s="2"/>
      <c r="N295" s="10"/>
      <c r="O295" s="12"/>
      <c r="S295" s="10"/>
    </row>
    <row r="296" spans="1:19" s="8" customFormat="1" x14ac:dyDescent="0.2">
      <c r="A296" s="2"/>
      <c r="B296" s="10"/>
      <c r="K296" s="2"/>
      <c r="L296" s="2"/>
      <c r="N296" s="10"/>
      <c r="O296" s="12"/>
      <c r="S296" s="10"/>
    </row>
    <row r="297" spans="1:19" s="8" customFormat="1" x14ac:dyDescent="0.2">
      <c r="A297" s="2"/>
      <c r="B297" s="10"/>
      <c r="K297" s="2"/>
      <c r="L297" s="2"/>
      <c r="N297" s="10"/>
      <c r="O297" s="12"/>
      <c r="S297" s="10"/>
    </row>
    <row r="298" spans="1:19" s="8" customFormat="1" x14ac:dyDescent="0.2">
      <c r="A298" s="2"/>
      <c r="B298" s="10"/>
      <c r="K298" s="2"/>
      <c r="L298" s="2"/>
      <c r="N298" s="10"/>
      <c r="O298" s="12"/>
      <c r="S298" s="10"/>
    </row>
    <row r="299" spans="1:19" s="8" customFormat="1" x14ac:dyDescent="0.2">
      <c r="A299" s="2"/>
      <c r="B299" s="10"/>
      <c r="K299" s="2"/>
      <c r="L299" s="2"/>
      <c r="N299" s="10"/>
      <c r="O299" s="12"/>
      <c r="S299" s="10"/>
    </row>
    <row r="300" spans="1:19" s="8" customFormat="1" x14ac:dyDescent="0.2">
      <c r="A300" s="2"/>
      <c r="B300" s="10"/>
      <c r="K300" s="2"/>
      <c r="L300" s="2"/>
      <c r="N300" s="10"/>
      <c r="O300" s="12"/>
      <c r="S300" s="10"/>
    </row>
    <row r="301" spans="1:19" s="8" customFormat="1" x14ac:dyDescent="0.2">
      <c r="A301" s="2"/>
      <c r="B301" s="10"/>
      <c r="K301" s="2"/>
      <c r="L301" s="2"/>
      <c r="N301" s="10"/>
      <c r="O301" s="12"/>
      <c r="S301" s="10"/>
    </row>
    <row r="302" spans="1:19" s="8" customFormat="1" x14ac:dyDescent="0.2">
      <c r="A302" s="2"/>
      <c r="B302" s="10"/>
      <c r="K302" s="2"/>
      <c r="L302" s="2"/>
      <c r="N302" s="10"/>
      <c r="O302" s="12"/>
      <c r="S302" s="10"/>
    </row>
    <row r="303" spans="1:19" s="8" customFormat="1" x14ac:dyDescent="0.2">
      <c r="A303" s="2"/>
      <c r="B303" s="10"/>
      <c r="K303" s="2"/>
      <c r="L303" s="2"/>
      <c r="N303" s="10"/>
      <c r="O303" s="12"/>
      <c r="S303" s="10"/>
    </row>
    <row r="304" spans="1:19" s="8" customFormat="1" x14ac:dyDescent="0.2">
      <c r="A304" s="2"/>
      <c r="B304" s="10"/>
      <c r="K304" s="2"/>
      <c r="L304" s="2"/>
      <c r="N304" s="10"/>
      <c r="O304" s="12"/>
      <c r="S304" s="10"/>
    </row>
    <row r="305" spans="1:19" s="8" customFormat="1" x14ac:dyDescent="0.2">
      <c r="A305" s="2"/>
      <c r="B305" s="10"/>
      <c r="K305" s="2"/>
      <c r="L305" s="2"/>
      <c r="N305" s="10"/>
      <c r="O305" s="12"/>
      <c r="S305" s="10"/>
    </row>
    <row r="306" spans="1:19" s="8" customFormat="1" x14ac:dyDescent="0.2">
      <c r="A306" s="2"/>
      <c r="B306" s="10"/>
      <c r="K306" s="2"/>
      <c r="L306" s="2"/>
      <c r="N306" s="10"/>
      <c r="O306" s="12"/>
      <c r="S306" s="10"/>
    </row>
    <row r="307" spans="1:19" s="8" customFormat="1" x14ac:dyDescent="0.2">
      <c r="A307" s="2"/>
      <c r="B307" s="10"/>
      <c r="K307" s="2"/>
      <c r="L307" s="2"/>
      <c r="N307" s="10"/>
      <c r="O307" s="12"/>
      <c r="S307" s="10"/>
    </row>
    <row r="308" spans="1:19" s="8" customFormat="1" x14ac:dyDescent="0.2">
      <c r="A308" s="2"/>
      <c r="B308" s="10"/>
      <c r="K308" s="2"/>
      <c r="L308" s="2"/>
      <c r="N308" s="10"/>
      <c r="O308" s="12"/>
      <c r="S308" s="10"/>
    </row>
    <row r="309" spans="1:19" s="8" customFormat="1" x14ac:dyDescent="0.2">
      <c r="A309" s="2"/>
      <c r="B309" s="10"/>
      <c r="K309" s="2"/>
      <c r="L309" s="2"/>
      <c r="N309" s="10"/>
      <c r="O309" s="12"/>
      <c r="S309" s="10"/>
    </row>
    <row r="310" spans="1:19" s="8" customFormat="1" x14ac:dyDescent="0.2">
      <c r="A310" s="2"/>
      <c r="B310" s="10"/>
      <c r="K310" s="2"/>
      <c r="L310" s="2"/>
      <c r="N310" s="10"/>
      <c r="O310" s="12"/>
      <c r="S310" s="10"/>
    </row>
    <row r="311" spans="1:19" s="8" customFormat="1" x14ac:dyDescent="0.2">
      <c r="A311" s="2"/>
      <c r="B311" s="10"/>
      <c r="K311" s="2"/>
      <c r="L311" s="2"/>
      <c r="N311" s="10"/>
      <c r="O311" s="12"/>
      <c r="S311" s="10"/>
    </row>
    <row r="312" spans="1:19" s="8" customFormat="1" x14ac:dyDescent="0.2">
      <c r="A312" s="2"/>
      <c r="B312" s="10"/>
      <c r="K312" s="2"/>
      <c r="L312" s="2"/>
      <c r="N312" s="10"/>
      <c r="O312" s="12"/>
      <c r="S312" s="10"/>
    </row>
    <row r="313" spans="1:19" s="8" customFormat="1" x14ac:dyDescent="0.2">
      <c r="A313" s="2"/>
      <c r="B313" s="10"/>
      <c r="K313" s="2"/>
      <c r="L313" s="2"/>
      <c r="N313" s="10"/>
      <c r="O313" s="12"/>
      <c r="S313" s="10"/>
    </row>
    <row r="314" spans="1:19" s="8" customFormat="1" x14ac:dyDescent="0.2">
      <c r="A314" s="2"/>
      <c r="B314" s="10"/>
      <c r="K314" s="2"/>
      <c r="L314" s="2"/>
      <c r="N314" s="10"/>
      <c r="O314" s="12"/>
      <c r="S314" s="10"/>
    </row>
    <row r="315" spans="1:19" s="8" customFormat="1" x14ac:dyDescent="0.2">
      <c r="A315" s="2"/>
      <c r="B315" s="10"/>
      <c r="K315" s="2"/>
      <c r="L315" s="2"/>
      <c r="N315" s="10"/>
      <c r="O315" s="12"/>
      <c r="S315" s="10"/>
    </row>
    <row r="316" spans="1:19" s="8" customFormat="1" x14ac:dyDescent="0.2">
      <c r="A316" s="2"/>
      <c r="B316" s="10"/>
      <c r="K316" s="2"/>
      <c r="L316" s="2"/>
      <c r="N316" s="10"/>
      <c r="O316" s="12"/>
      <c r="S316" s="10"/>
    </row>
    <row r="317" spans="1:19" s="8" customFormat="1" x14ac:dyDescent="0.2">
      <c r="A317" s="2"/>
      <c r="B317" s="10"/>
      <c r="K317" s="2"/>
      <c r="L317" s="2"/>
      <c r="N317" s="10"/>
      <c r="O317" s="12"/>
      <c r="S317" s="10"/>
    </row>
    <row r="318" spans="1:19" s="8" customFormat="1" x14ac:dyDescent="0.2">
      <c r="A318" s="2"/>
      <c r="B318" s="10"/>
      <c r="K318" s="2"/>
      <c r="L318" s="2"/>
      <c r="N318" s="10"/>
      <c r="O318" s="12"/>
      <c r="S318" s="10"/>
    </row>
    <row r="319" spans="1:19" s="8" customFormat="1" x14ac:dyDescent="0.2">
      <c r="A319" s="2"/>
      <c r="B319" s="10"/>
      <c r="K319" s="2"/>
      <c r="L319" s="2"/>
      <c r="N319" s="10"/>
      <c r="O319" s="12"/>
      <c r="S319" s="10"/>
    </row>
    <row r="320" spans="1:19" s="8" customFormat="1" x14ac:dyDescent="0.2">
      <c r="A320" s="2"/>
      <c r="B320" s="10"/>
      <c r="K320" s="2"/>
      <c r="L320" s="2"/>
      <c r="N320" s="10"/>
      <c r="O320" s="12"/>
      <c r="S320" s="10"/>
    </row>
    <row r="321" spans="1:19" s="8" customFormat="1" x14ac:dyDescent="0.2">
      <c r="A321" s="2"/>
      <c r="B321" s="10"/>
      <c r="K321" s="2"/>
      <c r="L321" s="2"/>
      <c r="N321" s="10"/>
      <c r="O321" s="12"/>
      <c r="S321" s="10"/>
    </row>
    <row r="322" spans="1:19" s="8" customFormat="1" x14ac:dyDescent="0.2">
      <c r="A322" s="2"/>
      <c r="B322" s="10"/>
      <c r="K322" s="2"/>
      <c r="L322" s="2"/>
      <c r="N322" s="10"/>
      <c r="O322" s="12"/>
      <c r="S322" s="10"/>
    </row>
    <row r="323" spans="1:19" s="8" customFormat="1" x14ac:dyDescent="0.2">
      <c r="A323" s="2"/>
      <c r="B323" s="10"/>
      <c r="K323" s="2"/>
      <c r="L323" s="2"/>
      <c r="N323" s="10"/>
      <c r="O323" s="12"/>
      <c r="S323" s="10"/>
    </row>
    <row r="324" spans="1:19" s="8" customFormat="1" x14ac:dyDescent="0.2">
      <c r="A324" s="2"/>
      <c r="B324" s="10"/>
      <c r="K324" s="2"/>
      <c r="L324" s="2"/>
      <c r="N324" s="10"/>
      <c r="O324" s="12"/>
      <c r="S324" s="10"/>
    </row>
    <row r="325" spans="1:19" s="8" customFormat="1" x14ac:dyDescent="0.2">
      <c r="A325" s="2"/>
      <c r="B325" s="10"/>
      <c r="K325" s="2"/>
      <c r="L325" s="2"/>
      <c r="N325" s="10"/>
      <c r="O325" s="12"/>
      <c r="S325" s="10"/>
    </row>
    <row r="326" spans="1:19" s="8" customFormat="1" x14ac:dyDescent="0.2">
      <c r="A326" s="2"/>
      <c r="B326" s="10"/>
      <c r="K326" s="2"/>
      <c r="L326" s="2"/>
      <c r="N326" s="10"/>
      <c r="O326" s="12"/>
      <c r="S326" s="10"/>
    </row>
    <row r="327" spans="1:19" s="8" customFormat="1" x14ac:dyDescent="0.2">
      <c r="A327" s="2"/>
      <c r="B327" s="10"/>
      <c r="K327" s="2"/>
      <c r="L327" s="2"/>
      <c r="N327" s="10"/>
      <c r="O327" s="12"/>
      <c r="S327" s="10"/>
    </row>
    <row r="328" spans="1:19" s="8" customFormat="1" x14ac:dyDescent="0.2">
      <c r="A328" s="2"/>
      <c r="B328" s="10"/>
      <c r="K328" s="2"/>
      <c r="L328" s="2"/>
      <c r="N328" s="10"/>
      <c r="O328" s="12"/>
      <c r="S328" s="10"/>
    </row>
    <row r="329" spans="1:19" s="8" customFormat="1" x14ac:dyDescent="0.2">
      <c r="A329" s="2"/>
      <c r="B329" s="10"/>
      <c r="K329" s="2"/>
      <c r="L329" s="2"/>
      <c r="N329" s="10"/>
      <c r="O329" s="12"/>
      <c r="S329" s="10"/>
    </row>
    <row r="330" spans="1:19" s="8" customFormat="1" x14ac:dyDescent="0.2">
      <c r="A330" s="2"/>
      <c r="B330" s="10"/>
      <c r="K330" s="2"/>
      <c r="L330" s="2"/>
      <c r="N330" s="10"/>
      <c r="O330" s="12"/>
      <c r="S330" s="10"/>
    </row>
    <row r="331" spans="1:19" s="8" customFormat="1" x14ac:dyDescent="0.2">
      <c r="A331" s="2"/>
      <c r="B331" s="10"/>
      <c r="K331" s="2"/>
      <c r="L331" s="2"/>
      <c r="N331" s="10"/>
      <c r="O331" s="12"/>
      <c r="S331" s="10"/>
    </row>
    <row r="332" spans="1:19" s="8" customFormat="1" x14ac:dyDescent="0.2">
      <c r="A332" s="2"/>
      <c r="B332" s="10"/>
      <c r="K332" s="2"/>
      <c r="L332" s="2"/>
      <c r="N332" s="10"/>
      <c r="O332" s="12"/>
      <c r="S332" s="10"/>
    </row>
    <row r="333" spans="1:19" s="8" customFormat="1" x14ac:dyDescent="0.2">
      <c r="A333" s="2"/>
      <c r="B333" s="10"/>
      <c r="K333" s="2"/>
      <c r="L333" s="2"/>
      <c r="N333" s="10"/>
      <c r="O333" s="12"/>
      <c r="S333" s="10"/>
    </row>
    <row r="334" spans="1:19" s="8" customFormat="1" x14ac:dyDescent="0.2">
      <c r="A334" s="2"/>
      <c r="B334" s="10"/>
      <c r="K334" s="2"/>
      <c r="L334" s="2"/>
      <c r="N334" s="10"/>
      <c r="O334" s="12"/>
      <c r="S334" s="10"/>
    </row>
    <row r="335" spans="1:19" s="8" customFormat="1" x14ac:dyDescent="0.2">
      <c r="A335" s="2"/>
      <c r="B335" s="10"/>
      <c r="K335" s="2"/>
      <c r="L335" s="2"/>
      <c r="N335" s="10"/>
      <c r="O335" s="12"/>
      <c r="S335" s="10"/>
    </row>
    <row r="336" spans="1:19" s="8" customFormat="1" x14ac:dyDescent="0.2">
      <c r="A336" s="2"/>
      <c r="B336" s="10"/>
      <c r="K336" s="2"/>
      <c r="L336" s="2"/>
      <c r="N336" s="10"/>
      <c r="O336" s="12"/>
      <c r="S336" s="10"/>
    </row>
    <row r="337" spans="1:19" s="8" customFormat="1" x14ac:dyDescent="0.2">
      <c r="A337" s="2"/>
      <c r="B337" s="10"/>
      <c r="K337" s="2"/>
      <c r="L337" s="2"/>
      <c r="N337" s="10"/>
      <c r="O337" s="12"/>
      <c r="S337" s="10"/>
    </row>
    <row r="338" spans="1:19" s="8" customFormat="1" x14ac:dyDescent="0.2">
      <c r="A338" s="2"/>
      <c r="B338" s="10"/>
      <c r="K338" s="2"/>
      <c r="L338" s="2"/>
      <c r="N338" s="10"/>
      <c r="O338" s="12"/>
      <c r="S338" s="10"/>
    </row>
    <row r="339" spans="1:19" s="8" customFormat="1" x14ac:dyDescent="0.2">
      <c r="A339" s="2"/>
      <c r="B339" s="10"/>
      <c r="K339" s="2"/>
      <c r="L339" s="2"/>
      <c r="N339" s="10"/>
      <c r="O339" s="12"/>
      <c r="S339" s="10"/>
    </row>
    <row r="340" spans="1:19" s="8" customFormat="1" x14ac:dyDescent="0.2">
      <c r="A340" s="2"/>
      <c r="B340" s="10"/>
      <c r="K340" s="2"/>
      <c r="L340" s="2"/>
      <c r="N340" s="10"/>
      <c r="O340" s="12"/>
      <c r="S340" s="10"/>
    </row>
    <row r="341" spans="1:19" s="8" customFormat="1" x14ac:dyDescent="0.2">
      <c r="A341" s="2"/>
      <c r="B341" s="10"/>
      <c r="K341" s="2"/>
      <c r="L341" s="2"/>
      <c r="N341" s="10"/>
      <c r="O341" s="12"/>
      <c r="S341" s="10"/>
    </row>
    <row r="342" spans="1:19" s="8" customFormat="1" x14ac:dyDescent="0.2">
      <c r="A342" s="2"/>
      <c r="B342" s="10"/>
      <c r="K342" s="2"/>
      <c r="L342" s="2"/>
      <c r="N342" s="10"/>
      <c r="O342" s="12"/>
      <c r="S342" s="10"/>
    </row>
    <row r="343" spans="1:19" s="8" customFormat="1" x14ac:dyDescent="0.2">
      <c r="A343" s="2"/>
      <c r="B343" s="10"/>
      <c r="K343" s="2"/>
      <c r="L343" s="2"/>
      <c r="N343" s="10"/>
      <c r="O343" s="12"/>
      <c r="S343" s="10"/>
    </row>
    <row r="344" spans="1:19" s="8" customFormat="1" x14ac:dyDescent="0.2">
      <c r="A344" s="2"/>
      <c r="B344" s="10"/>
      <c r="K344" s="2"/>
      <c r="L344" s="2"/>
      <c r="N344" s="10"/>
      <c r="O344" s="12"/>
      <c r="S344" s="10"/>
    </row>
    <row r="345" spans="1:19" s="8" customFormat="1" x14ac:dyDescent="0.2">
      <c r="A345" s="2"/>
      <c r="B345" s="10"/>
      <c r="K345" s="2"/>
      <c r="L345" s="2"/>
      <c r="N345" s="10"/>
      <c r="O345" s="12"/>
      <c r="S345" s="10"/>
    </row>
    <row r="346" spans="1:19" s="8" customFormat="1" x14ac:dyDescent="0.2">
      <c r="A346" s="2"/>
      <c r="B346" s="10"/>
      <c r="K346" s="2"/>
      <c r="L346" s="2"/>
      <c r="N346" s="10"/>
      <c r="O346" s="12"/>
      <c r="S346" s="10"/>
    </row>
    <row r="347" spans="1:19" s="8" customFormat="1" x14ac:dyDescent="0.2">
      <c r="A347" s="2"/>
      <c r="B347" s="10"/>
      <c r="K347" s="2"/>
      <c r="L347" s="2"/>
      <c r="N347" s="10"/>
      <c r="O347" s="12"/>
      <c r="S347" s="10"/>
    </row>
    <row r="348" spans="1:19" s="8" customFormat="1" x14ac:dyDescent="0.2">
      <c r="A348" s="2"/>
      <c r="B348" s="10"/>
      <c r="K348" s="2"/>
      <c r="L348" s="2"/>
      <c r="N348" s="10"/>
      <c r="O348" s="12"/>
      <c r="S348" s="10"/>
    </row>
    <row r="349" spans="1:19" s="8" customFormat="1" x14ac:dyDescent="0.2">
      <c r="A349" s="2"/>
      <c r="B349" s="10"/>
      <c r="K349" s="2"/>
      <c r="L349" s="2"/>
      <c r="N349" s="10"/>
      <c r="O349" s="12"/>
      <c r="S349" s="10"/>
    </row>
    <row r="350" spans="1:19" s="8" customFormat="1" x14ac:dyDescent="0.2">
      <c r="A350" s="2"/>
      <c r="B350" s="10"/>
      <c r="K350" s="2"/>
      <c r="L350" s="2"/>
      <c r="N350" s="10"/>
      <c r="O350" s="12"/>
      <c r="S350" s="10"/>
    </row>
    <row r="351" spans="1:19" s="8" customFormat="1" x14ac:dyDescent="0.2">
      <c r="A351" s="2"/>
      <c r="B351" s="10"/>
      <c r="K351" s="2"/>
      <c r="L351" s="2"/>
      <c r="N351" s="10"/>
      <c r="O351" s="12"/>
      <c r="S351" s="10"/>
    </row>
    <row r="352" spans="1:19" s="8" customFormat="1" x14ac:dyDescent="0.2">
      <c r="A352" s="2"/>
      <c r="B352" s="10"/>
      <c r="K352" s="2"/>
      <c r="L352" s="2"/>
      <c r="N352" s="10"/>
      <c r="O352" s="12"/>
      <c r="S352" s="10"/>
    </row>
    <row r="353" spans="1:19" s="8" customFormat="1" x14ac:dyDescent="0.2">
      <c r="A353" s="2"/>
      <c r="B353" s="10"/>
      <c r="K353" s="2"/>
      <c r="L353" s="2"/>
      <c r="N353" s="10"/>
      <c r="O353" s="12"/>
      <c r="S353" s="10"/>
    </row>
    <row r="354" spans="1:19" s="8" customFormat="1" x14ac:dyDescent="0.2">
      <c r="A354" s="2"/>
      <c r="B354" s="10"/>
      <c r="K354" s="2"/>
      <c r="L354" s="2"/>
      <c r="N354" s="10"/>
      <c r="O354" s="12"/>
      <c r="S354" s="10"/>
    </row>
    <row r="355" spans="1:19" s="8" customFormat="1" x14ac:dyDescent="0.2">
      <c r="A355" s="2"/>
      <c r="B355" s="10"/>
      <c r="K355" s="2"/>
      <c r="L355" s="2"/>
      <c r="N355" s="10"/>
      <c r="O355" s="12"/>
      <c r="S355" s="10"/>
    </row>
    <row r="356" spans="1:19" s="8" customFormat="1" x14ac:dyDescent="0.2">
      <c r="A356" s="2"/>
      <c r="B356" s="10"/>
      <c r="K356" s="2"/>
      <c r="L356" s="2"/>
      <c r="N356" s="10"/>
      <c r="O356" s="12"/>
      <c r="S356" s="10"/>
    </row>
    <row r="357" spans="1:19" s="8" customFormat="1" x14ac:dyDescent="0.2">
      <c r="A357" s="2"/>
      <c r="B357" s="10"/>
      <c r="K357" s="2"/>
      <c r="L357" s="2"/>
      <c r="N357" s="10"/>
      <c r="O357" s="12"/>
      <c r="S357" s="10"/>
    </row>
    <row r="358" spans="1:19" s="8" customFormat="1" x14ac:dyDescent="0.2">
      <c r="A358" s="2"/>
      <c r="B358" s="10"/>
      <c r="K358" s="2"/>
      <c r="L358" s="2"/>
      <c r="N358" s="10"/>
      <c r="O358" s="12"/>
      <c r="S358" s="10"/>
    </row>
    <row r="359" spans="1:19" s="8" customFormat="1" x14ac:dyDescent="0.2">
      <c r="A359" s="2"/>
      <c r="B359" s="10"/>
      <c r="K359" s="2"/>
      <c r="L359" s="2"/>
      <c r="N359" s="10"/>
      <c r="O359" s="12"/>
      <c r="S359" s="10"/>
    </row>
    <row r="360" spans="1:19" s="8" customFormat="1" x14ac:dyDescent="0.2">
      <c r="A360" s="2"/>
      <c r="B360" s="10"/>
      <c r="K360" s="2"/>
      <c r="L360" s="2"/>
      <c r="N360" s="10"/>
      <c r="O360" s="12"/>
      <c r="S360" s="10"/>
    </row>
    <row r="361" spans="1:19" s="8" customFormat="1" x14ac:dyDescent="0.2">
      <c r="A361" s="2"/>
      <c r="B361" s="10"/>
      <c r="K361" s="2"/>
      <c r="L361" s="2"/>
      <c r="N361" s="10"/>
      <c r="O361" s="12"/>
      <c r="S361" s="10"/>
    </row>
    <row r="362" spans="1:19" s="8" customFormat="1" x14ac:dyDescent="0.2">
      <c r="A362" s="2"/>
      <c r="B362" s="10"/>
      <c r="K362" s="2"/>
      <c r="L362" s="2"/>
      <c r="N362" s="10"/>
      <c r="O362" s="12"/>
      <c r="S362" s="10"/>
    </row>
    <row r="363" spans="1:19" s="8" customFormat="1" x14ac:dyDescent="0.2">
      <c r="A363" s="2"/>
      <c r="B363" s="10"/>
      <c r="K363" s="2"/>
      <c r="L363" s="2"/>
      <c r="N363" s="10"/>
      <c r="O363" s="12"/>
      <c r="S363" s="10"/>
    </row>
    <row r="364" spans="1:19" s="8" customFormat="1" x14ac:dyDescent="0.2">
      <c r="A364" s="2"/>
      <c r="B364" s="10"/>
      <c r="K364" s="2"/>
      <c r="L364" s="2"/>
      <c r="N364" s="10"/>
      <c r="O364" s="12"/>
      <c r="S364" s="10"/>
    </row>
    <row r="365" spans="1:19" s="8" customFormat="1" x14ac:dyDescent="0.2">
      <c r="A365" s="2"/>
      <c r="B365" s="10"/>
      <c r="K365" s="2"/>
      <c r="L365" s="2"/>
      <c r="N365" s="10"/>
      <c r="O365" s="12"/>
      <c r="S365" s="10"/>
    </row>
    <row r="366" spans="1:19" s="8" customFormat="1" x14ac:dyDescent="0.2">
      <c r="A366" s="2"/>
      <c r="B366" s="10"/>
      <c r="K366" s="2"/>
      <c r="L366" s="2"/>
      <c r="N366" s="10"/>
      <c r="O366" s="12"/>
      <c r="S366" s="10"/>
    </row>
    <row r="367" spans="1:19" s="8" customFormat="1" x14ac:dyDescent="0.2">
      <c r="A367" s="2"/>
      <c r="B367" s="10"/>
      <c r="K367" s="2"/>
      <c r="L367" s="2"/>
      <c r="N367" s="10"/>
      <c r="O367" s="12"/>
      <c r="S367" s="10"/>
    </row>
    <row r="368" spans="1:19" s="8" customFormat="1" x14ac:dyDescent="0.2">
      <c r="A368" s="2"/>
      <c r="B368" s="10"/>
      <c r="K368" s="2"/>
      <c r="L368" s="2"/>
      <c r="N368" s="10"/>
      <c r="O368" s="12"/>
      <c r="S368" s="10"/>
    </row>
    <row r="369" spans="1:19" s="8" customFormat="1" x14ac:dyDescent="0.2">
      <c r="A369" s="2"/>
      <c r="B369" s="10"/>
      <c r="K369" s="2"/>
      <c r="L369" s="2"/>
      <c r="N369" s="10"/>
      <c r="O369" s="12"/>
      <c r="S369" s="10"/>
    </row>
    <row r="370" spans="1:19" s="8" customFormat="1" x14ac:dyDescent="0.2">
      <c r="A370" s="2"/>
      <c r="B370" s="10"/>
      <c r="K370" s="2"/>
      <c r="L370" s="2"/>
      <c r="N370" s="10"/>
      <c r="O370" s="12"/>
      <c r="S370" s="10"/>
    </row>
    <row r="371" spans="1:19" s="8" customFormat="1" x14ac:dyDescent="0.2">
      <c r="A371" s="2"/>
      <c r="B371" s="10"/>
      <c r="K371" s="2"/>
      <c r="L371" s="2"/>
      <c r="N371" s="10"/>
      <c r="O371" s="12"/>
      <c r="S371" s="10"/>
    </row>
    <row r="372" spans="1:19" s="8" customFormat="1" x14ac:dyDescent="0.2">
      <c r="A372" s="2"/>
      <c r="B372" s="10"/>
      <c r="K372" s="2"/>
      <c r="L372" s="2"/>
      <c r="N372" s="10"/>
      <c r="O372" s="12"/>
      <c r="S372" s="10"/>
    </row>
    <row r="373" spans="1:19" s="8" customFormat="1" x14ac:dyDescent="0.2">
      <c r="A373" s="2"/>
      <c r="B373" s="10"/>
      <c r="K373" s="2"/>
      <c r="L373" s="2"/>
      <c r="N373" s="10"/>
      <c r="O373" s="12"/>
      <c r="S373" s="10"/>
    </row>
    <row r="374" spans="1:19" s="8" customFormat="1" x14ac:dyDescent="0.2">
      <c r="A374" s="2"/>
      <c r="B374" s="10"/>
      <c r="K374" s="2"/>
      <c r="L374" s="2"/>
      <c r="N374" s="10"/>
      <c r="O374" s="12"/>
      <c r="S374" s="10"/>
    </row>
    <row r="375" spans="1:19" s="8" customFormat="1" x14ac:dyDescent="0.2">
      <c r="A375" s="2"/>
      <c r="B375" s="10"/>
      <c r="K375" s="2"/>
      <c r="L375" s="2"/>
      <c r="N375" s="10"/>
      <c r="O375" s="12"/>
      <c r="S375" s="10"/>
    </row>
    <row r="376" spans="1:19" s="8" customFormat="1" x14ac:dyDescent="0.2">
      <c r="A376" s="2"/>
      <c r="B376" s="10"/>
      <c r="K376" s="2"/>
      <c r="L376" s="2"/>
      <c r="N376" s="10"/>
      <c r="O376" s="12"/>
      <c r="S376" s="10"/>
    </row>
    <row r="377" spans="1:19" s="8" customFormat="1" x14ac:dyDescent="0.2">
      <c r="A377" s="2"/>
      <c r="B377" s="10"/>
      <c r="K377" s="2"/>
      <c r="L377" s="2"/>
      <c r="N377" s="10"/>
      <c r="O377" s="12"/>
      <c r="S377" s="10"/>
    </row>
    <row r="378" spans="1:19" s="8" customFormat="1" x14ac:dyDescent="0.2">
      <c r="A378" s="2"/>
      <c r="B378" s="10"/>
      <c r="K378" s="2"/>
      <c r="L378" s="2"/>
      <c r="N378" s="10"/>
      <c r="O378" s="12"/>
      <c r="S378" s="10"/>
    </row>
    <row r="379" spans="1:19" s="8" customFormat="1" x14ac:dyDescent="0.2">
      <c r="A379" s="2"/>
      <c r="B379" s="10"/>
      <c r="K379" s="2"/>
      <c r="L379" s="2"/>
      <c r="N379" s="10"/>
      <c r="O379" s="12"/>
      <c r="S379" s="10"/>
    </row>
    <row r="380" spans="1:19" s="8" customFormat="1" x14ac:dyDescent="0.2">
      <c r="A380" s="2"/>
      <c r="B380" s="10"/>
      <c r="K380" s="2"/>
      <c r="L380" s="2"/>
      <c r="N380" s="10"/>
      <c r="O380" s="12"/>
      <c r="S380" s="10"/>
    </row>
    <row r="381" spans="1:19" s="8" customFormat="1" x14ac:dyDescent="0.2">
      <c r="A381" s="2"/>
      <c r="B381" s="10"/>
      <c r="K381" s="2"/>
      <c r="L381" s="2"/>
      <c r="N381" s="10"/>
      <c r="O381" s="12"/>
      <c r="S381" s="10"/>
    </row>
    <row r="382" spans="1:19" s="8" customFormat="1" x14ac:dyDescent="0.2">
      <c r="A382" s="2"/>
      <c r="B382" s="10"/>
      <c r="K382" s="2"/>
      <c r="L382" s="2"/>
      <c r="N382" s="10"/>
      <c r="O382" s="12"/>
      <c r="S382" s="10"/>
    </row>
    <row r="383" spans="1:19" s="8" customFormat="1" x14ac:dyDescent="0.2">
      <c r="A383" s="2"/>
      <c r="B383" s="10"/>
      <c r="K383" s="2"/>
      <c r="L383" s="2"/>
      <c r="N383" s="10"/>
      <c r="O383" s="12"/>
      <c r="S383" s="10"/>
    </row>
    <row r="384" spans="1:19" s="8" customFormat="1" x14ac:dyDescent="0.2">
      <c r="A384" s="2"/>
      <c r="B384" s="10"/>
      <c r="K384" s="2"/>
      <c r="L384" s="2"/>
      <c r="N384" s="10"/>
      <c r="O384" s="12"/>
      <c r="S384" s="10"/>
    </row>
    <row r="385" spans="1:19" s="8" customFormat="1" x14ac:dyDescent="0.2">
      <c r="A385" s="2"/>
      <c r="B385" s="10"/>
      <c r="K385" s="2"/>
      <c r="L385" s="2"/>
      <c r="N385" s="10"/>
      <c r="O385" s="12"/>
      <c r="S385" s="10"/>
    </row>
    <row r="386" spans="1:19" s="8" customFormat="1" x14ac:dyDescent="0.2">
      <c r="A386" s="2"/>
      <c r="B386" s="10"/>
      <c r="K386" s="2"/>
      <c r="L386" s="2"/>
      <c r="N386" s="10"/>
      <c r="O386" s="12"/>
      <c r="S386" s="10"/>
    </row>
    <row r="387" spans="1:19" s="8" customFormat="1" x14ac:dyDescent="0.2">
      <c r="A387" s="2"/>
      <c r="B387" s="10"/>
      <c r="K387" s="2"/>
      <c r="L387" s="2"/>
      <c r="N387" s="10"/>
      <c r="O387" s="12"/>
      <c r="S387" s="10"/>
    </row>
    <row r="388" spans="1:19" s="8" customFormat="1" x14ac:dyDescent="0.2">
      <c r="A388" s="2"/>
      <c r="B388" s="10"/>
      <c r="K388" s="2"/>
      <c r="L388" s="2"/>
      <c r="N388" s="10"/>
      <c r="O388" s="12"/>
      <c r="S388" s="10"/>
    </row>
    <row r="389" spans="1:19" s="8" customFormat="1" x14ac:dyDescent="0.2">
      <c r="A389" s="2"/>
      <c r="B389" s="10"/>
      <c r="K389" s="2"/>
      <c r="L389" s="2"/>
      <c r="N389" s="10"/>
      <c r="O389" s="12"/>
      <c r="S389" s="10"/>
    </row>
    <row r="390" spans="1:19" s="8" customFormat="1" x14ac:dyDescent="0.2">
      <c r="A390" s="2"/>
      <c r="B390" s="10"/>
      <c r="K390" s="2"/>
      <c r="L390" s="2"/>
      <c r="N390" s="10"/>
      <c r="O390" s="12"/>
      <c r="S390" s="10"/>
    </row>
    <row r="391" spans="1:19" s="8" customFormat="1" x14ac:dyDescent="0.2">
      <c r="A391" s="2"/>
      <c r="B391" s="10"/>
      <c r="K391" s="2"/>
      <c r="L391" s="2"/>
      <c r="N391" s="10"/>
      <c r="O391" s="12"/>
      <c r="S391" s="10"/>
    </row>
    <row r="392" spans="1:19" s="8" customFormat="1" x14ac:dyDescent="0.2">
      <c r="A392" s="2"/>
      <c r="B392" s="10"/>
      <c r="K392" s="2"/>
      <c r="L392" s="2"/>
      <c r="N392" s="10"/>
      <c r="O392" s="12"/>
      <c r="S392" s="10"/>
    </row>
    <row r="393" spans="1:19" s="8" customFormat="1" x14ac:dyDescent="0.2">
      <c r="A393" s="2"/>
      <c r="B393" s="10"/>
      <c r="K393" s="2"/>
      <c r="L393" s="2"/>
      <c r="N393" s="10"/>
      <c r="O393" s="12"/>
      <c r="S393" s="10"/>
    </row>
    <row r="394" spans="1:19" s="8" customFormat="1" x14ac:dyDescent="0.2">
      <c r="A394" s="2"/>
      <c r="B394" s="10"/>
      <c r="K394" s="2"/>
      <c r="L394" s="2"/>
      <c r="N394" s="10"/>
      <c r="O394" s="12"/>
      <c r="S394" s="10"/>
    </row>
    <row r="395" spans="1:19" s="8" customFormat="1" x14ac:dyDescent="0.2">
      <c r="A395" s="2"/>
      <c r="B395" s="10"/>
      <c r="K395" s="2"/>
      <c r="L395" s="2"/>
      <c r="N395" s="10"/>
      <c r="O395" s="12"/>
      <c r="S395" s="10"/>
    </row>
    <row r="396" spans="1:19" s="8" customFormat="1" x14ac:dyDescent="0.2">
      <c r="A396" s="2"/>
      <c r="B396" s="10"/>
      <c r="K396" s="2"/>
      <c r="L396" s="2"/>
      <c r="N396" s="10"/>
      <c r="O396" s="12"/>
      <c r="S396" s="10"/>
    </row>
    <row r="397" spans="1:19" s="8" customFormat="1" x14ac:dyDescent="0.2">
      <c r="A397" s="2"/>
      <c r="B397" s="10"/>
      <c r="K397" s="2"/>
      <c r="L397" s="2"/>
      <c r="N397" s="10"/>
      <c r="O397" s="12"/>
      <c r="S397" s="10"/>
    </row>
    <row r="398" spans="1:19" s="8" customFormat="1" x14ac:dyDescent="0.2">
      <c r="A398" s="2"/>
      <c r="B398" s="10"/>
      <c r="K398" s="2"/>
      <c r="L398" s="2"/>
      <c r="N398" s="10"/>
      <c r="O398" s="12"/>
      <c r="S398" s="10"/>
    </row>
    <row r="399" spans="1:19" s="8" customFormat="1" x14ac:dyDescent="0.2">
      <c r="A399" s="2"/>
      <c r="B399" s="10"/>
      <c r="K399" s="2"/>
      <c r="L399" s="2"/>
      <c r="N399" s="10"/>
      <c r="O399" s="12"/>
      <c r="S399" s="10"/>
    </row>
    <row r="400" spans="1:19" s="8" customFormat="1" x14ac:dyDescent="0.2">
      <c r="A400" s="2"/>
      <c r="B400" s="10"/>
      <c r="K400" s="2"/>
      <c r="L400" s="2"/>
      <c r="N400" s="10"/>
      <c r="O400" s="12"/>
      <c r="S400" s="10"/>
    </row>
    <row r="401" spans="1:19" s="8" customFormat="1" x14ac:dyDescent="0.2">
      <c r="A401" s="2"/>
      <c r="B401" s="10"/>
      <c r="K401" s="2"/>
      <c r="L401" s="2"/>
      <c r="N401" s="10"/>
      <c r="O401" s="12"/>
      <c r="S401" s="10"/>
    </row>
    <row r="402" spans="1:19" s="8" customFormat="1" x14ac:dyDescent="0.2">
      <c r="A402" s="2"/>
      <c r="B402" s="10"/>
      <c r="K402" s="2"/>
      <c r="L402" s="2"/>
      <c r="N402" s="10"/>
      <c r="O402" s="12"/>
      <c r="S402" s="10"/>
    </row>
    <row r="403" spans="1:19" s="8" customFormat="1" x14ac:dyDescent="0.2">
      <c r="A403" s="2"/>
      <c r="B403" s="10"/>
      <c r="K403" s="2"/>
      <c r="L403" s="2"/>
      <c r="N403" s="10"/>
      <c r="O403" s="12"/>
      <c r="S403" s="10"/>
    </row>
    <row r="404" spans="1:19" s="8" customFormat="1" x14ac:dyDescent="0.2">
      <c r="A404" s="2"/>
      <c r="B404" s="10"/>
      <c r="K404" s="2"/>
      <c r="L404" s="2"/>
      <c r="N404" s="10"/>
      <c r="O404" s="12"/>
      <c r="S404" s="10"/>
    </row>
    <row r="405" spans="1:19" s="8" customFormat="1" x14ac:dyDescent="0.2">
      <c r="A405" s="2"/>
      <c r="B405" s="10"/>
      <c r="K405" s="2"/>
      <c r="L405" s="2"/>
      <c r="N405" s="10"/>
      <c r="O405" s="12"/>
      <c r="S405" s="10"/>
    </row>
    <row r="406" spans="1:19" s="8" customFormat="1" x14ac:dyDescent="0.2">
      <c r="A406" s="2"/>
      <c r="B406" s="10"/>
      <c r="K406" s="2"/>
      <c r="L406" s="2"/>
      <c r="N406" s="10"/>
      <c r="O406" s="12"/>
      <c r="S406" s="10"/>
    </row>
    <row r="407" spans="1:19" s="8" customFormat="1" x14ac:dyDescent="0.2">
      <c r="A407" s="2"/>
      <c r="B407" s="10"/>
      <c r="K407" s="2"/>
      <c r="L407" s="2"/>
      <c r="N407" s="10"/>
      <c r="O407" s="12"/>
      <c r="S407" s="10"/>
    </row>
    <row r="408" spans="1:19" s="8" customFormat="1" x14ac:dyDescent="0.2">
      <c r="A408" s="2"/>
      <c r="B408" s="10"/>
      <c r="K408" s="2"/>
      <c r="L408" s="2"/>
      <c r="N408" s="10"/>
      <c r="O408" s="12"/>
      <c r="S408" s="10"/>
    </row>
    <row r="409" spans="1:19" s="8" customFormat="1" x14ac:dyDescent="0.2">
      <c r="A409" s="2"/>
      <c r="B409" s="10"/>
      <c r="K409" s="2"/>
      <c r="L409" s="2"/>
      <c r="N409" s="10"/>
      <c r="O409" s="12"/>
      <c r="S409" s="10"/>
    </row>
    <row r="410" spans="1:19" s="8" customFormat="1" x14ac:dyDescent="0.2">
      <c r="A410" s="2"/>
      <c r="B410" s="10"/>
      <c r="K410" s="2"/>
      <c r="L410" s="2"/>
      <c r="N410" s="10"/>
      <c r="O410" s="12"/>
      <c r="S410" s="10"/>
    </row>
    <row r="411" spans="1:19" s="8" customFormat="1" x14ac:dyDescent="0.2">
      <c r="A411" s="2"/>
      <c r="B411" s="10"/>
      <c r="K411" s="2"/>
      <c r="L411" s="2"/>
      <c r="N411" s="10"/>
      <c r="O411" s="12"/>
      <c r="S411" s="10"/>
    </row>
    <row r="412" spans="1:19" s="8" customFormat="1" x14ac:dyDescent="0.2">
      <c r="A412" s="2"/>
      <c r="B412" s="10"/>
      <c r="K412" s="2"/>
      <c r="L412" s="2"/>
      <c r="N412" s="10"/>
      <c r="O412" s="12"/>
      <c r="S412" s="10"/>
    </row>
    <row r="413" spans="1:19" s="8" customFormat="1" x14ac:dyDescent="0.2">
      <c r="A413" s="2"/>
      <c r="B413" s="10"/>
      <c r="K413" s="2"/>
      <c r="L413" s="2"/>
      <c r="N413" s="10"/>
      <c r="O413" s="12"/>
      <c r="S413" s="10"/>
    </row>
    <row r="414" spans="1:19" s="8" customFormat="1" x14ac:dyDescent="0.2">
      <c r="A414" s="2"/>
      <c r="B414" s="10"/>
      <c r="K414" s="2"/>
      <c r="L414" s="2"/>
      <c r="N414" s="10"/>
      <c r="O414" s="12"/>
      <c r="S414" s="10"/>
    </row>
    <row r="415" spans="1:19" s="8" customFormat="1" x14ac:dyDescent="0.2">
      <c r="A415" s="2"/>
      <c r="B415" s="10"/>
      <c r="K415" s="2"/>
      <c r="L415" s="2"/>
      <c r="N415" s="10"/>
      <c r="O415" s="12"/>
      <c r="S415" s="10"/>
    </row>
    <row r="416" spans="1:19" s="8" customFormat="1" x14ac:dyDescent="0.2">
      <c r="A416" s="2"/>
      <c r="B416" s="10"/>
      <c r="K416" s="2"/>
      <c r="L416" s="2"/>
      <c r="N416" s="10"/>
      <c r="O416" s="12"/>
      <c r="S416" s="10"/>
    </row>
    <row r="417" spans="1:19" s="8" customFormat="1" x14ac:dyDescent="0.2">
      <c r="A417" s="2"/>
      <c r="B417" s="10"/>
      <c r="K417" s="2"/>
      <c r="L417" s="2"/>
      <c r="N417" s="10"/>
      <c r="O417" s="12"/>
      <c r="S417" s="10"/>
    </row>
    <row r="418" spans="1:19" s="8" customFormat="1" x14ac:dyDescent="0.2">
      <c r="A418" s="2"/>
      <c r="B418" s="10"/>
      <c r="K418" s="2"/>
      <c r="L418" s="2"/>
      <c r="N418" s="10"/>
      <c r="O418" s="12"/>
      <c r="S418" s="10"/>
    </row>
    <row r="419" spans="1:19" s="8" customFormat="1" x14ac:dyDescent="0.2">
      <c r="A419" s="2"/>
      <c r="B419" s="10"/>
      <c r="K419" s="2"/>
      <c r="L419" s="2"/>
      <c r="N419" s="10"/>
      <c r="O419" s="12"/>
      <c r="S419" s="10"/>
    </row>
    <row r="420" spans="1:19" s="8" customFormat="1" x14ac:dyDescent="0.2">
      <c r="A420" s="2"/>
      <c r="B420" s="10"/>
      <c r="K420" s="2"/>
      <c r="L420" s="2"/>
      <c r="N420" s="10"/>
      <c r="O420" s="12"/>
      <c r="S420" s="10"/>
    </row>
    <row r="421" spans="1:19" s="8" customFormat="1" x14ac:dyDescent="0.2">
      <c r="A421" s="2"/>
      <c r="B421" s="10"/>
      <c r="K421" s="2"/>
      <c r="L421" s="2"/>
      <c r="N421" s="10"/>
      <c r="O421" s="12"/>
      <c r="S421" s="10"/>
    </row>
    <row r="422" spans="1:19" s="8" customFormat="1" x14ac:dyDescent="0.2">
      <c r="A422" s="2"/>
      <c r="B422" s="10"/>
      <c r="K422" s="2"/>
      <c r="L422" s="2"/>
      <c r="N422" s="10"/>
      <c r="O422" s="12"/>
      <c r="S422" s="10"/>
    </row>
    <row r="423" spans="1:19" s="8" customFormat="1" x14ac:dyDescent="0.2">
      <c r="A423" s="2"/>
      <c r="B423" s="10"/>
      <c r="K423" s="2"/>
      <c r="L423" s="2"/>
      <c r="N423" s="10"/>
      <c r="O423" s="12"/>
      <c r="S423" s="10"/>
    </row>
    <row r="424" spans="1:19" s="8" customFormat="1" x14ac:dyDescent="0.2">
      <c r="A424" s="2"/>
      <c r="B424" s="10"/>
      <c r="K424" s="2"/>
      <c r="L424" s="2"/>
      <c r="N424" s="10"/>
      <c r="O424" s="12"/>
      <c r="S424" s="10"/>
    </row>
    <row r="425" spans="1:19" s="8" customFormat="1" x14ac:dyDescent="0.2">
      <c r="A425" s="2"/>
      <c r="B425" s="10"/>
      <c r="K425" s="2"/>
      <c r="L425" s="2"/>
      <c r="N425" s="10"/>
      <c r="O425" s="12"/>
      <c r="S425" s="10"/>
    </row>
    <row r="426" spans="1:19" s="8" customFormat="1" x14ac:dyDescent="0.2">
      <c r="A426" s="2"/>
      <c r="B426" s="10"/>
      <c r="K426" s="2"/>
      <c r="L426" s="2"/>
      <c r="N426" s="10"/>
      <c r="O426" s="12"/>
      <c r="S426" s="10"/>
    </row>
    <row r="427" spans="1:19" s="8" customFormat="1" x14ac:dyDescent="0.2">
      <c r="A427" s="2"/>
      <c r="B427" s="10"/>
      <c r="K427" s="2"/>
      <c r="L427" s="2"/>
      <c r="N427" s="10"/>
      <c r="O427" s="12"/>
      <c r="S427" s="10"/>
    </row>
    <row r="428" spans="1:19" s="8" customFormat="1" x14ac:dyDescent="0.2">
      <c r="A428" s="2"/>
      <c r="B428" s="10"/>
      <c r="K428" s="2"/>
      <c r="L428" s="2"/>
      <c r="N428" s="10"/>
      <c r="O428" s="12"/>
      <c r="S428" s="10"/>
    </row>
    <row r="429" spans="1:19" s="8" customFormat="1" x14ac:dyDescent="0.2">
      <c r="A429" s="2"/>
      <c r="B429" s="10"/>
      <c r="K429" s="2"/>
      <c r="L429" s="2"/>
      <c r="N429" s="10"/>
      <c r="O429" s="12"/>
      <c r="S429" s="10"/>
    </row>
    <row r="430" spans="1:19" s="8" customFormat="1" x14ac:dyDescent="0.2">
      <c r="A430" s="2"/>
      <c r="B430" s="10"/>
      <c r="K430" s="2"/>
      <c r="L430" s="2"/>
      <c r="N430" s="10"/>
      <c r="O430" s="12"/>
      <c r="S430" s="10"/>
    </row>
    <row r="431" spans="1:19" s="8" customFormat="1" x14ac:dyDescent="0.2">
      <c r="A431" s="2"/>
      <c r="B431" s="10"/>
      <c r="K431" s="2"/>
      <c r="L431" s="2"/>
      <c r="N431" s="10"/>
      <c r="O431" s="12"/>
      <c r="S431" s="10"/>
    </row>
    <row r="432" spans="1:19" s="8" customFormat="1" x14ac:dyDescent="0.2">
      <c r="A432" s="2"/>
      <c r="B432" s="10"/>
      <c r="K432" s="2"/>
      <c r="L432" s="2"/>
      <c r="N432" s="10"/>
      <c r="O432" s="12"/>
      <c r="S432" s="10"/>
    </row>
    <row r="433" spans="1:19" s="8" customFormat="1" x14ac:dyDescent="0.2">
      <c r="A433" s="2"/>
      <c r="B433" s="10"/>
      <c r="K433" s="2"/>
      <c r="L433" s="2"/>
      <c r="N433" s="10"/>
      <c r="O433" s="12"/>
      <c r="S433" s="10"/>
    </row>
    <row r="434" spans="1:19" s="8" customFormat="1" x14ac:dyDescent="0.2">
      <c r="A434" s="2"/>
      <c r="B434" s="10"/>
      <c r="K434" s="2"/>
      <c r="L434" s="2"/>
      <c r="N434" s="10"/>
      <c r="O434" s="12"/>
      <c r="S434" s="10"/>
    </row>
    <row r="435" spans="1:19" s="8" customFormat="1" x14ac:dyDescent="0.2">
      <c r="A435" s="2"/>
      <c r="B435" s="10"/>
      <c r="K435" s="2"/>
      <c r="L435" s="2"/>
      <c r="N435" s="10"/>
      <c r="O435" s="12"/>
      <c r="S435" s="10"/>
    </row>
    <row r="436" spans="1:19" s="8" customFormat="1" x14ac:dyDescent="0.2">
      <c r="A436" s="2"/>
      <c r="B436" s="10"/>
      <c r="K436" s="2"/>
      <c r="L436" s="2"/>
      <c r="N436" s="10"/>
      <c r="O436" s="12"/>
      <c r="S436" s="10"/>
    </row>
    <row r="437" spans="1:19" s="8" customFormat="1" x14ac:dyDescent="0.2">
      <c r="A437" s="2"/>
      <c r="B437" s="10"/>
      <c r="K437" s="2"/>
      <c r="L437" s="2"/>
      <c r="N437" s="10"/>
      <c r="O437" s="12"/>
      <c r="S437" s="10"/>
    </row>
    <row r="438" spans="1:19" s="8" customFormat="1" x14ac:dyDescent="0.2">
      <c r="A438" s="2"/>
      <c r="B438" s="10"/>
      <c r="K438" s="2"/>
      <c r="L438" s="2"/>
      <c r="N438" s="10"/>
      <c r="O438" s="12"/>
      <c r="S438" s="10"/>
    </row>
    <row r="439" spans="1:19" s="8" customFormat="1" x14ac:dyDescent="0.2">
      <c r="A439" s="2"/>
      <c r="B439" s="10"/>
      <c r="K439" s="2"/>
      <c r="L439" s="2"/>
      <c r="N439" s="10"/>
      <c r="O439" s="12"/>
      <c r="S439" s="10"/>
    </row>
    <row r="440" spans="1:19" s="8" customFormat="1" x14ac:dyDescent="0.2">
      <c r="A440" s="2"/>
      <c r="B440" s="10"/>
      <c r="K440" s="2"/>
      <c r="L440" s="2"/>
      <c r="N440" s="10"/>
      <c r="O440" s="12"/>
      <c r="S440" s="10"/>
    </row>
    <row r="441" spans="1:19" s="8" customFormat="1" x14ac:dyDescent="0.2">
      <c r="A441" s="2"/>
      <c r="B441" s="10"/>
      <c r="K441" s="2"/>
      <c r="L441" s="2"/>
      <c r="N441" s="10"/>
      <c r="O441" s="12"/>
      <c r="S441" s="10"/>
    </row>
    <row r="442" spans="1:19" s="8" customFormat="1" x14ac:dyDescent="0.2">
      <c r="A442" s="2"/>
      <c r="B442" s="10"/>
      <c r="K442" s="2"/>
      <c r="L442" s="2"/>
      <c r="N442" s="10"/>
      <c r="O442" s="12"/>
      <c r="S442" s="10"/>
    </row>
    <row r="443" spans="1:19" s="8" customFormat="1" x14ac:dyDescent="0.2">
      <c r="A443" s="2"/>
      <c r="B443" s="10"/>
      <c r="K443" s="2"/>
      <c r="L443" s="2"/>
      <c r="N443" s="10"/>
      <c r="O443" s="12"/>
      <c r="S443" s="10"/>
    </row>
    <row r="444" spans="1:19" s="8" customFormat="1" x14ac:dyDescent="0.2">
      <c r="A444" s="2"/>
      <c r="B444" s="10"/>
      <c r="K444" s="2"/>
      <c r="L444" s="2"/>
      <c r="N444" s="10"/>
      <c r="O444" s="12"/>
      <c r="S444" s="10"/>
    </row>
    <row r="445" spans="1:19" s="8" customFormat="1" x14ac:dyDescent="0.2">
      <c r="A445" s="2"/>
      <c r="B445" s="10"/>
      <c r="K445" s="2"/>
      <c r="L445" s="2"/>
      <c r="N445" s="10"/>
      <c r="O445" s="12"/>
      <c r="S445" s="10"/>
    </row>
    <row r="446" spans="1:19" s="8" customFormat="1" x14ac:dyDescent="0.2">
      <c r="A446" s="2"/>
      <c r="B446" s="10"/>
      <c r="K446" s="2"/>
      <c r="L446" s="2"/>
      <c r="N446" s="10"/>
      <c r="O446" s="12"/>
      <c r="S446" s="10"/>
    </row>
    <row r="447" spans="1:19" s="8" customFormat="1" x14ac:dyDescent="0.2">
      <c r="A447" s="2"/>
      <c r="B447" s="10"/>
      <c r="K447" s="2"/>
      <c r="L447" s="2"/>
      <c r="N447" s="10"/>
      <c r="O447" s="12"/>
      <c r="S447" s="10"/>
    </row>
    <row r="448" spans="1:19" s="8" customFormat="1" x14ac:dyDescent="0.2">
      <c r="A448" s="2"/>
      <c r="B448" s="10"/>
      <c r="K448" s="2"/>
      <c r="L448" s="2"/>
      <c r="N448" s="10"/>
      <c r="O448" s="12"/>
      <c r="S448" s="10"/>
    </row>
    <row r="449" spans="1:19" s="8" customFormat="1" x14ac:dyDescent="0.2">
      <c r="A449" s="2"/>
      <c r="B449" s="10"/>
      <c r="K449" s="2"/>
      <c r="L449" s="2"/>
      <c r="N449" s="10"/>
      <c r="O449" s="12"/>
      <c r="S449" s="10"/>
    </row>
    <row r="450" spans="1:19" s="8" customFormat="1" x14ac:dyDescent="0.2">
      <c r="A450" s="2"/>
      <c r="B450" s="10"/>
      <c r="K450" s="2"/>
      <c r="L450" s="2"/>
      <c r="N450" s="10"/>
      <c r="O450" s="12"/>
      <c r="S450" s="10"/>
    </row>
    <row r="451" spans="1:19" s="8" customFormat="1" x14ac:dyDescent="0.2">
      <c r="A451" s="2"/>
      <c r="B451" s="10"/>
      <c r="K451" s="2"/>
      <c r="L451" s="2"/>
      <c r="N451" s="10"/>
      <c r="O451" s="12"/>
      <c r="S451" s="10"/>
    </row>
    <row r="452" spans="1:19" s="8" customFormat="1" x14ac:dyDescent="0.2">
      <c r="A452" s="2"/>
      <c r="B452" s="10"/>
      <c r="K452" s="2"/>
      <c r="L452" s="2"/>
      <c r="N452" s="10"/>
      <c r="O452" s="12"/>
      <c r="S452" s="10"/>
    </row>
    <row r="453" spans="1:19" s="8" customFormat="1" x14ac:dyDescent="0.2">
      <c r="A453" s="2"/>
      <c r="B453" s="10"/>
      <c r="K453" s="2"/>
      <c r="L453" s="2"/>
      <c r="N453" s="10"/>
      <c r="O453" s="12"/>
      <c r="S453" s="10"/>
    </row>
    <row r="454" spans="1:19" s="8" customFormat="1" x14ac:dyDescent="0.2">
      <c r="A454" s="2"/>
      <c r="B454" s="10"/>
      <c r="K454" s="2"/>
      <c r="L454" s="2"/>
      <c r="N454" s="10"/>
      <c r="O454" s="12"/>
      <c r="S454" s="10"/>
    </row>
    <row r="455" spans="1:19" s="8" customFormat="1" x14ac:dyDescent="0.2">
      <c r="A455" s="2"/>
      <c r="B455" s="10"/>
      <c r="K455" s="2"/>
      <c r="L455" s="2"/>
      <c r="N455" s="10"/>
      <c r="O455" s="12"/>
      <c r="S455" s="10"/>
    </row>
    <row r="456" spans="1:19" s="8" customFormat="1" x14ac:dyDescent="0.2">
      <c r="A456" s="2"/>
      <c r="B456" s="10"/>
      <c r="K456" s="2"/>
      <c r="L456" s="2"/>
      <c r="N456" s="10"/>
      <c r="O456" s="12"/>
      <c r="S456" s="10"/>
    </row>
    <row r="457" spans="1:19" s="8" customFormat="1" x14ac:dyDescent="0.2">
      <c r="A457" s="2"/>
      <c r="B457" s="10"/>
      <c r="K457" s="2"/>
      <c r="L457" s="2"/>
      <c r="N457" s="10"/>
      <c r="O457" s="12"/>
      <c r="S457" s="10"/>
    </row>
    <row r="458" spans="1:19" s="8" customFormat="1" x14ac:dyDescent="0.2">
      <c r="A458" s="2"/>
      <c r="B458" s="10"/>
      <c r="K458" s="2"/>
      <c r="L458" s="2"/>
      <c r="N458" s="10"/>
      <c r="O458" s="12"/>
      <c r="S458" s="10"/>
    </row>
    <row r="459" spans="1:19" s="8" customFormat="1" x14ac:dyDescent="0.2">
      <c r="A459" s="2"/>
      <c r="B459" s="10"/>
      <c r="K459" s="2"/>
      <c r="L459" s="2"/>
      <c r="N459" s="10"/>
      <c r="O459" s="12"/>
      <c r="S459" s="10"/>
    </row>
    <row r="460" spans="1:19" s="8" customFormat="1" x14ac:dyDescent="0.2">
      <c r="A460" s="2"/>
      <c r="B460" s="10"/>
      <c r="K460" s="2"/>
      <c r="L460" s="2"/>
      <c r="N460" s="10"/>
      <c r="O460" s="12"/>
      <c r="S460" s="10"/>
    </row>
    <row r="461" spans="1:19" s="8" customFormat="1" x14ac:dyDescent="0.2">
      <c r="A461" s="2"/>
      <c r="B461" s="10"/>
      <c r="K461" s="2"/>
      <c r="L461" s="2"/>
      <c r="N461" s="10"/>
      <c r="O461" s="12"/>
      <c r="S461" s="10"/>
    </row>
    <row r="462" spans="1:19" s="8" customFormat="1" x14ac:dyDescent="0.2">
      <c r="A462" s="2"/>
      <c r="B462" s="10"/>
      <c r="K462" s="2"/>
      <c r="L462" s="2"/>
      <c r="N462" s="10"/>
      <c r="O462" s="12"/>
      <c r="S462" s="10"/>
    </row>
    <row r="463" spans="1:19" s="8" customFormat="1" x14ac:dyDescent="0.2">
      <c r="A463" s="2"/>
      <c r="B463" s="10"/>
      <c r="K463" s="2"/>
      <c r="L463" s="2"/>
      <c r="N463" s="10"/>
      <c r="O463" s="12"/>
      <c r="S463" s="10"/>
    </row>
    <row r="464" spans="1:19" s="8" customFormat="1" x14ac:dyDescent="0.2">
      <c r="A464" s="2"/>
      <c r="B464" s="10"/>
      <c r="K464" s="2"/>
      <c r="L464" s="2"/>
      <c r="N464" s="10"/>
      <c r="O464" s="12"/>
      <c r="S464" s="10"/>
    </row>
    <row r="465" spans="1:19" s="8" customFormat="1" x14ac:dyDescent="0.2">
      <c r="A465" s="2"/>
      <c r="B465" s="10"/>
      <c r="K465" s="2"/>
      <c r="L465" s="2"/>
      <c r="N465" s="10"/>
      <c r="O465" s="12"/>
      <c r="S465" s="10"/>
    </row>
    <row r="466" spans="1:19" s="8" customFormat="1" x14ac:dyDescent="0.2">
      <c r="A466" s="2"/>
      <c r="B466" s="10"/>
      <c r="K466" s="2"/>
      <c r="L466" s="2"/>
      <c r="N466" s="10"/>
      <c r="O466" s="12"/>
      <c r="S466" s="10"/>
    </row>
    <row r="467" spans="1:19" s="8" customFormat="1" x14ac:dyDescent="0.2">
      <c r="A467" s="2"/>
      <c r="B467" s="10"/>
      <c r="K467" s="2"/>
      <c r="L467" s="2"/>
      <c r="N467" s="10"/>
      <c r="O467" s="12"/>
      <c r="S467" s="10"/>
    </row>
    <row r="468" spans="1:19" s="8" customFormat="1" x14ac:dyDescent="0.2">
      <c r="A468" s="2"/>
      <c r="B468" s="10"/>
      <c r="K468" s="2"/>
      <c r="L468" s="2"/>
      <c r="N468" s="10"/>
      <c r="O468" s="12"/>
      <c r="S468" s="10"/>
    </row>
    <row r="469" spans="1:19" s="8" customFormat="1" x14ac:dyDescent="0.2">
      <c r="A469" s="2"/>
      <c r="B469" s="10"/>
      <c r="K469" s="2"/>
      <c r="L469" s="2"/>
      <c r="N469" s="10"/>
      <c r="O469" s="12"/>
      <c r="S469" s="10"/>
    </row>
    <row r="470" spans="1:19" s="8" customFormat="1" x14ac:dyDescent="0.2">
      <c r="A470" s="2"/>
      <c r="B470" s="10"/>
      <c r="K470" s="2"/>
      <c r="L470" s="2"/>
      <c r="N470" s="10"/>
      <c r="O470" s="12"/>
      <c r="S470" s="10"/>
    </row>
    <row r="471" spans="1:19" s="8" customFormat="1" x14ac:dyDescent="0.2">
      <c r="A471" s="2"/>
      <c r="B471" s="10"/>
      <c r="K471" s="2"/>
      <c r="L471" s="2"/>
      <c r="N471" s="10"/>
      <c r="O471" s="12"/>
      <c r="S471" s="10"/>
    </row>
    <row r="472" spans="1:19" s="8" customFormat="1" x14ac:dyDescent="0.2">
      <c r="A472" s="2"/>
      <c r="B472" s="10"/>
      <c r="K472" s="2"/>
      <c r="L472" s="2"/>
      <c r="N472" s="10"/>
      <c r="O472" s="12"/>
      <c r="S472" s="10"/>
    </row>
    <row r="473" spans="1:19" s="8" customFormat="1" x14ac:dyDescent="0.2">
      <c r="A473" s="2"/>
      <c r="B473" s="10"/>
      <c r="K473" s="2"/>
      <c r="L473" s="2"/>
      <c r="N473" s="10"/>
      <c r="O473" s="12"/>
      <c r="S473" s="10"/>
    </row>
    <row r="474" spans="1:19" s="8" customFormat="1" x14ac:dyDescent="0.2">
      <c r="A474" s="2"/>
      <c r="B474" s="10"/>
      <c r="K474" s="2"/>
      <c r="L474" s="2"/>
      <c r="N474" s="10"/>
      <c r="O474" s="12"/>
      <c r="S474" s="10"/>
    </row>
    <row r="475" spans="1:19" s="8" customFormat="1" x14ac:dyDescent="0.2">
      <c r="A475" s="2"/>
      <c r="B475" s="10"/>
      <c r="K475" s="2"/>
      <c r="L475" s="2"/>
      <c r="N475" s="10"/>
      <c r="O475" s="12"/>
      <c r="S475" s="10"/>
    </row>
    <row r="476" spans="1:19" s="8" customFormat="1" x14ac:dyDescent="0.2">
      <c r="A476" s="2"/>
      <c r="B476" s="10"/>
      <c r="K476" s="2"/>
      <c r="L476" s="2"/>
      <c r="N476" s="10"/>
      <c r="O476" s="12"/>
      <c r="S476" s="10"/>
    </row>
    <row r="477" spans="1:19" s="8" customFormat="1" x14ac:dyDescent="0.2">
      <c r="A477" s="2"/>
      <c r="B477" s="10"/>
      <c r="K477" s="2"/>
      <c r="L477" s="2"/>
      <c r="N477" s="10"/>
      <c r="O477" s="12"/>
      <c r="S477" s="10"/>
    </row>
    <row r="478" spans="1:19" s="8" customFormat="1" x14ac:dyDescent="0.2">
      <c r="A478" s="2"/>
      <c r="B478" s="10"/>
      <c r="K478" s="2"/>
      <c r="L478" s="2"/>
      <c r="N478" s="10"/>
      <c r="O478" s="12"/>
      <c r="S478" s="10"/>
    </row>
    <row r="479" spans="1:19" s="8" customFormat="1" x14ac:dyDescent="0.2">
      <c r="A479" s="2"/>
      <c r="B479" s="10"/>
      <c r="K479" s="2"/>
      <c r="L479" s="2"/>
      <c r="N479" s="10"/>
      <c r="O479" s="12"/>
      <c r="S479" s="10"/>
    </row>
    <row r="480" spans="1:19" s="8" customFormat="1" x14ac:dyDescent="0.2">
      <c r="A480" s="2"/>
      <c r="B480" s="10"/>
      <c r="K480" s="2"/>
      <c r="L480" s="2"/>
      <c r="N480" s="10"/>
      <c r="O480" s="12"/>
      <c r="S480" s="10"/>
    </row>
    <row r="481" spans="1:19" s="8" customFormat="1" x14ac:dyDescent="0.2">
      <c r="A481" s="2"/>
      <c r="B481" s="10"/>
      <c r="K481" s="2"/>
      <c r="L481" s="2"/>
      <c r="N481" s="10"/>
      <c r="O481" s="12"/>
      <c r="S481" s="10"/>
    </row>
    <row r="482" spans="1:19" s="8" customFormat="1" x14ac:dyDescent="0.2">
      <c r="A482" s="2"/>
      <c r="B482" s="10"/>
      <c r="K482" s="2"/>
      <c r="L482" s="2"/>
      <c r="N482" s="10"/>
      <c r="O482" s="12"/>
      <c r="S482" s="10"/>
    </row>
    <row r="483" spans="1:19" s="8" customFormat="1" x14ac:dyDescent="0.2">
      <c r="A483" s="2"/>
      <c r="B483" s="10"/>
      <c r="K483" s="2"/>
      <c r="L483" s="2"/>
      <c r="N483" s="10"/>
      <c r="O483" s="12"/>
      <c r="S483" s="10"/>
    </row>
    <row r="484" spans="1:19" s="8" customFormat="1" x14ac:dyDescent="0.2">
      <c r="A484" s="2"/>
      <c r="B484" s="10"/>
      <c r="K484" s="2"/>
      <c r="L484" s="2"/>
      <c r="N484" s="10"/>
      <c r="O484" s="12"/>
      <c r="S484" s="10"/>
    </row>
    <row r="485" spans="1:19" s="8" customFormat="1" x14ac:dyDescent="0.2">
      <c r="A485" s="2"/>
      <c r="B485" s="10"/>
      <c r="K485" s="2"/>
      <c r="L485" s="2"/>
      <c r="N485" s="10"/>
      <c r="O485" s="12"/>
      <c r="S485" s="10"/>
    </row>
    <row r="486" spans="1:19" s="8" customFormat="1" x14ac:dyDescent="0.2">
      <c r="A486" s="2"/>
      <c r="B486" s="10"/>
      <c r="K486" s="2"/>
      <c r="L486" s="2"/>
      <c r="N486" s="10"/>
      <c r="O486" s="12"/>
      <c r="S486" s="10"/>
    </row>
    <row r="487" spans="1:19" s="8" customFormat="1" x14ac:dyDescent="0.2">
      <c r="A487" s="2"/>
      <c r="B487" s="10"/>
      <c r="K487" s="2"/>
      <c r="L487" s="2"/>
      <c r="N487" s="10"/>
      <c r="O487" s="12"/>
      <c r="S487" s="10"/>
    </row>
    <row r="488" spans="1:19" s="8" customFormat="1" x14ac:dyDescent="0.2">
      <c r="A488" s="2"/>
      <c r="B488" s="10"/>
      <c r="K488" s="2"/>
      <c r="L488" s="2"/>
      <c r="N488" s="10"/>
      <c r="O488" s="12"/>
      <c r="S488" s="10"/>
    </row>
    <row r="489" spans="1:19" s="8" customFormat="1" x14ac:dyDescent="0.2">
      <c r="A489" s="2"/>
      <c r="B489" s="10"/>
      <c r="K489" s="2"/>
      <c r="L489" s="2"/>
      <c r="N489" s="10"/>
      <c r="O489" s="12"/>
      <c r="S489" s="10"/>
    </row>
    <row r="490" spans="1:19" s="8" customFormat="1" x14ac:dyDescent="0.2">
      <c r="A490" s="2"/>
      <c r="B490" s="10"/>
      <c r="K490" s="2"/>
      <c r="L490" s="2"/>
      <c r="N490" s="10"/>
      <c r="O490" s="12"/>
      <c r="S490" s="10"/>
    </row>
    <row r="491" spans="1:19" s="8" customFormat="1" x14ac:dyDescent="0.2">
      <c r="A491" s="2"/>
      <c r="B491" s="10"/>
      <c r="K491" s="2"/>
      <c r="L491" s="2"/>
      <c r="N491" s="10"/>
      <c r="O491" s="12"/>
      <c r="S491" s="10"/>
    </row>
    <row r="492" spans="1:19" s="8" customFormat="1" x14ac:dyDescent="0.2">
      <c r="A492" s="2"/>
      <c r="B492" s="10"/>
      <c r="K492" s="2"/>
      <c r="L492" s="2"/>
      <c r="N492" s="10"/>
      <c r="O492" s="12"/>
      <c r="S492" s="10"/>
    </row>
    <row r="493" spans="1:19" s="8" customFormat="1" x14ac:dyDescent="0.2">
      <c r="A493" s="2"/>
      <c r="B493" s="10"/>
      <c r="K493" s="2"/>
      <c r="L493" s="2"/>
      <c r="N493" s="10"/>
      <c r="O493" s="12"/>
      <c r="S493" s="10"/>
    </row>
    <row r="494" spans="1:19" s="8" customFormat="1" x14ac:dyDescent="0.2">
      <c r="A494" s="2"/>
      <c r="B494" s="10"/>
      <c r="K494" s="2"/>
      <c r="L494" s="2"/>
      <c r="N494" s="10"/>
      <c r="O494" s="12"/>
      <c r="S494" s="10"/>
    </row>
    <row r="495" spans="1:19" s="8" customFormat="1" x14ac:dyDescent="0.2">
      <c r="A495" s="2"/>
      <c r="B495" s="10"/>
      <c r="K495" s="2"/>
      <c r="L495" s="2"/>
      <c r="N495" s="10"/>
      <c r="O495" s="12"/>
      <c r="S495" s="10"/>
    </row>
    <row r="496" spans="1:19" s="8" customFormat="1" x14ac:dyDescent="0.2">
      <c r="A496" s="2"/>
      <c r="B496" s="10"/>
      <c r="K496" s="2"/>
      <c r="L496" s="2"/>
      <c r="N496" s="10"/>
      <c r="O496" s="12"/>
      <c r="S496" s="10"/>
    </row>
    <row r="497" spans="1:19" s="8" customFormat="1" x14ac:dyDescent="0.2">
      <c r="A497" s="2"/>
      <c r="B497" s="10"/>
      <c r="K497" s="2"/>
      <c r="L497" s="2"/>
      <c r="N497" s="10"/>
      <c r="O497" s="12"/>
      <c r="S497" s="10"/>
    </row>
    <row r="498" spans="1:19" s="8" customFormat="1" x14ac:dyDescent="0.2">
      <c r="A498" s="2"/>
      <c r="B498" s="10"/>
      <c r="K498" s="2"/>
      <c r="L498" s="2"/>
      <c r="N498" s="10"/>
      <c r="O498" s="12"/>
      <c r="S498" s="10"/>
    </row>
    <row r="499" spans="1:19" s="8" customFormat="1" x14ac:dyDescent="0.2">
      <c r="A499" s="2"/>
      <c r="B499" s="10"/>
      <c r="K499" s="2"/>
      <c r="L499" s="2"/>
      <c r="N499" s="10"/>
      <c r="O499" s="12"/>
      <c r="S499" s="10"/>
    </row>
    <row r="500" spans="1:19" s="8" customFormat="1" x14ac:dyDescent="0.2">
      <c r="A500" s="2"/>
      <c r="B500" s="10"/>
      <c r="K500" s="2"/>
      <c r="L500" s="2"/>
      <c r="N500" s="10"/>
      <c r="O500" s="12"/>
      <c r="S500" s="10"/>
    </row>
    <row r="501" spans="1:19" s="8" customFormat="1" x14ac:dyDescent="0.2">
      <c r="A501" s="2"/>
      <c r="B501" s="10"/>
      <c r="K501" s="2"/>
      <c r="L501" s="2"/>
      <c r="N501" s="10"/>
      <c r="O501" s="12"/>
      <c r="S501" s="10"/>
    </row>
    <row r="502" spans="1:19" s="8" customFormat="1" x14ac:dyDescent="0.2">
      <c r="A502" s="2"/>
      <c r="B502" s="10"/>
      <c r="K502" s="2"/>
      <c r="L502" s="2"/>
      <c r="N502" s="10"/>
      <c r="O502" s="12"/>
      <c r="S502" s="10"/>
    </row>
    <row r="503" spans="1:19" s="8" customFormat="1" x14ac:dyDescent="0.2">
      <c r="A503" s="2"/>
      <c r="B503" s="10"/>
      <c r="K503" s="2"/>
      <c r="L503" s="2"/>
      <c r="N503" s="10"/>
      <c r="O503" s="12"/>
      <c r="S503" s="10"/>
    </row>
    <row r="504" spans="1:19" s="8" customFormat="1" x14ac:dyDescent="0.2">
      <c r="A504" s="2"/>
      <c r="B504" s="10"/>
      <c r="K504" s="2"/>
      <c r="L504" s="2"/>
      <c r="N504" s="10"/>
      <c r="O504" s="12"/>
      <c r="S504" s="10"/>
    </row>
    <row r="505" spans="1:19" s="8" customFormat="1" x14ac:dyDescent="0.2">
      <c r="A505" s="2"/>
      <c r="B505" s="10"/>
      <c r="K505" s="2"/>
      <c r="L505" s="2"/>
      <c r="N505" s="10"/>
      <c r="O505" s="12"/>
      <c r="S505" s="10"/>
    </row>
    <row r="506" spans="1:19" s="8" customFormat="1" x14ac:dyDescent="0.2">
      <c r="A506" s="2"/>
      <c r="B506" s="10"/>
      <c r="K506" s="2"/>
      <c r="L506" s="2"/>
      <c r="N506" s="10"/>
      <c r="O506" s="12"/>
      <c r="S506" s="10"/>
    </row>
    <row r="507" spans="1:19" s="8" customFormat="1" x14ac:dyDescent="0.2">
      <c r="A507" s="2"/>
      <c r="B507" s="10"/>
      <c r="K507" s="2"/>
      <c r="L507" s="2"/>
      <c r="N507" s="10"/>
      <c r="O507" s="12"/>
      <c r="S507" s="10"/>
    </row>
    <row r="508" spans="1:19" s="8" customFormat="1" x14ac:dyDescent="0.2">
      <c r="A508" s="2"/>
      <c r="B508" s="10"/>
      <c r="K508" s="2"/>
      <c r="L508" s="2"/>
      <c r="N508" s="10"/>
      <c r="O508" s="12"/>
      <c r="S508" s="10"/>
    </row>
    <row r="509" spans="1:19" s="8" customFormat="1" x14ac:dyDescent="0.2">
      <c r="A509" s="2"/>
      <c r="B509" s="10"/>
      <c r="K509" s="2"/>
      <c r="L509" s="2"/>
      <c r="N509" s="10"/>
      <c r="O509" s="12"/>
      <c r="S509" s="10"/>
    </row>
    <row r="510" spans="1:19" s="8" customFormat="1" x14ac:dyDescent="0.2">
      <c r="A510" s="2"/>
      <c r="B510" s="10"/>
      <c r="K510" s="2"/>
      <c r="L510" s="2"/>
      <c r="N510" s="10"/>
      <c r="O510" s="12"/>
      <c r="S510" s="10"/>
    </row>
    <row r="511" spans="1:19" s="8" customFormat="1" x14ac:dyDescent="0.2">
      <c r="A511" s="2"/>
      <c r="B511" s="10"/>
      <c r="K511" s="2"/>
      <c r="L511" s="2"/>
      <c r="N511" s="10"/>
      <c r="O511" s="12"/>
      <c r="S511" s="10"/>
    </row>
    <row r="512" spans="1:19" s="8" customFormat="1" x14ac:dyDescent="0.2">
      <c r="A512" s="2"/>
      <c r="B512" s="10"/>
      <c r="K512" s="2"/>
      <c r="L512" s="2"/>
      <c r="N512" s="10"/>
      <c r="O512" s="12"/>
      <c r="S512" s="10"/>
    </row>
    <row r="513" spans="1:19" s="8" customFormat="1" x14ac:dyDescent="0.2">
      <c r="A513" s="2"/>
      <c r="B513" s="10"/>
      <c r="K513" s="2"/>
      <c r="L513" s="2"/>
      <c r="N513" s="10"/>
      <c r="O513" s="12"/>
      <c r="S513" s="10"/>
    </row>
    <row r="514" spans="1:19" s="8" customFormat="1" x14ac:dyDescent="0.2">
      <c r="A514" s="2"/>
      <c r="B514" s="10"/>
      <c r="K514" s="2"/>
      <c r="L514" s="2"/>
      <c r="N514" s="10"/>
      <c r="O514" s="12"/>
      <c r="S514" s="10"/>
    </row>
    <row r="515" spans="1:19" s="8" customFormat="1" x14ac:dyDescent="0.2">
      <c r="A515" s="2"/>
      <c r="B515" s="10"/>
      <c r="K515" s="2"/>
      <c r="L515" s="2"/>
      <c r="N515" s="10"/>
      <c r="O515" s="12"/>
      <c r="S515" s="10"/>
    </row>
    <row r="516" spans="1:19" s="8" customFormat="1" x14ac:dyDescent="0.2">
      <c r="A516" s="2"/>
      <c r="B516" s="10"/>
      <c r="K516" s="2"/>
      <c r="L516" s="2"/>
      <c r="N516" s="10"/>
      <c r="O516" s="12"/>
      <c r="S516" s="10"/>
    </row>
    <row r="517" spans="1:19" s="8" customFormat="1" x14ac:dyDescent="0.2">
      <c r="A517" s="2"/>
      <c r="B517" s="10"/>
      <c r="K517" s="2"/>
      <c r="L517" s="2"/>
      <c r="N517" s="10"/>
      <c r="O517" s="12"/>
      <c r="S517" s="10"/>
    </row>
    <row r="518" spans="1:19" s="8" customFormat="1" x14ac:dyDescent="0.2">
      <c r="A518" s="2"/>
      <c r="B518" s="10"/>
      <c r="K518" s="2"/>
      <c r="L518" s="2"/>
      <c r="N518" s="10"/>
      <c r="O518" s="12"/>
      <c r="S518" s="10"/>
    </row>
    <row r="519" spans="1:19" s="8" customFormat="1" x14ac:dyDescent="0.2">
      <c r="A519" s="2"/>
      <c r="B519" s="10"/>
      <c r="K519" s="2"/>
      <c r="L519" s="2"/>
      <c r="N519" s="10"/>
      <c r="O519" s="12"/>
      <c r="S519" s="10"/>
    </row>
    <row r="520" spans="1:19" s="8" customFormat="1" x14ac:dyDescent="0.2">
      <c r="A520" s="2"/>
      <c r="B520" s="10"/>
      <c r="K520" s="2"/>
      <c r="L520" s="2"/>
      <c r="N520" s="10"/>
      <c r="O520" s="12"/>
      <c r="S520" s="10"/>
    </row>
    <row r="521" spans="1:19" s="8" customFormat="1" x14ac:dyDescent="0.2">
      <c r="A521" s="2"/>
      <c r="B521" s="10"/>
      <c r="K521" s="2"/>
      <c r="L521" s="2"/>
      <c r="N521" s="10"/>
      <c r="O521" s="12"/>
      <c r="S521" s="10"/>
    </row>
    <row r="522" spans="1:19" s="8" customFormat="1" x14ac:dyDescent="0.2">
      <c r="A522" s="2"/>
      <c r="B522" s="10"/>
      <c r="K522" s="2"/>
      <c r="L522" s="2"/>
      <c r="N522" s="10"/>
      <c r="O522" s="12"/>
      <c r="S522" s="10"/>
    </row>
    <row r="523" spans="1:19" s="8" customFormat="1" x14ac:dyDescent="0.2">
      <c r="A523" s="2"/>
      <c r="B523" s="10"/>
      <c r="K523" s="2"/>
      <c r="L523" s="2"/>
      <c r="N523" s="10"/>
      <c r="O523" s="12"/>
      <c r="S523" s="10"/>
    </row>
    <row r="524" spans="1:19" s="8" customFormat="1" x14ac:dyDescent="0.2">
      <c r="A524" s="2"/>
      <c r="B524" s="10"/>
      <c r="K524" s="2"/>
      <c r="L524" s="2"/>
      <c r="N524" s="10"/>
      <c r="O524" s="12"/>
      <c r="S524" s="10"/>
    </row>
    <row r="525" spans="1:19" s="8" customFormat="1" x14ac:dyDescent="0.2">
      <c r="A525" s="2"/>
      <c r="B525" s="10"/>
      <c r="K525" s="2"/>
      <c r="L525" s="2"/>
      <c r="N525" s="10"/>
      <c r="O525" s="12"/>
      <c r="S525" s="10"/>
    </row>
    <row r="526" spans="1:19" s="8" customFormat="1" x14ac:dyDescent="0.2">
      <c r="A526" s="2"/>
      <c r="B526" s="10"/>
      <c r="K526" s="2"/>
      <c r="L526" s="2"/>
      <c r="N526" s="10"/>
      <c r="O526" s="12"/>
      <c r="S526" s="10"/>
    </row>
    <row r="527" spans="1:19" s="8" customFormat="1" x14ac:dyDescent="0.2">
      <c r="A527" s="2"/>
      <c r="B527" s="10"/>
      <c r="K527" s="2"/>
      <c r="L527" s="2"/>
      <c r="N527" s="10"/>
      <c r="O527" s="12"/>
      <c r="S527" s="10"/>
    </row>
    <row r="528" spans="1:19" s="8" customFormat="1" x14ac:dyDescent="0.2">
      <c r="A528" s="2"/>
      <c r="B528" s="10"/>
      <c r="K528" s="2"/>
      <c r="L528" s="2"/>
      <c r="N528" s="10"/>
      <c r="O528" s="12"/>
      <c r="S528" s="10"/>
    </row>
    <row r="529" spans="1:19" s="8" customFormat="1" x14ac:dyDescent="0.2">
      <c r="A529" s="2"/>
      <c r="B529" s="10"/>
      <c r="K529" s="2"/>
      <c r="L529" s="2"/>
      <c r="N529" s="10"/>
      <c r="O529" s="12"/>
      <c r="S529" s="10"/>
    </row>
    <row r="530" spans="1:19" s="8" customFormat="1" x14ac:dyDescent="0.2">
      <c r="A530" s="2"/>
      <c r="B530" s="10"/>
      <c r="K530" s="2"/>
      <c r="L530" s="2"/>
      <c r="N530" s="10"/>
      <c r="O530" s="12"/>
      <c r="S530" s="10"/>
    </row>
    <row r="531" spans="1:19" s="8" customFormat="1" x14ac:dyDescent="0.2">
      <c r="A531" s="2"/>
      <c r="B531" s="10"/>
      <c r="K531" s="2"/>
      <c r="L531" s="2"/>
      <c r="N531" s="10"/>
      <c r="O531" s="12"/>
      <c r="S531" s="10"/>
    </row>
    <row r="532" spans="1:19" s="8" customFormat="1" x14ac:dyDescent="0.2">
      <c r="A532" s="2"/>
      <c r="B532" s="10"/>
      <c r="K532" s="2"/>
      <c r="L532" s="2"/>
      <c r="N532" s="10"/>
      <c r="O532" s="12"/>
      <c r="S532" s="10"/>
    </row>
    <row r="533" spans="1:19" s="8" customFormat="1" x14ac:dyDescent="0.2">
      <c r="A533" s="2"/>
      <c r="B533" s="10"/>
      <c r="K533" s="2"/>
      <c r="L533" s="2"/>
      <c r="N533" s="10"/>
      <c r="O533" s="12"/>
      <c r="S533" s="10"/>
    </row>
    <row r="534" spans="1:19" s="8" customFormat="1" x14ac:dyDescent="0.2">
      <c r="A534" s="2"/>
      <c r="B534" s="10"/>
      <c r="K534" s="2"/>
      <c r="L534" s="2"/>
      <c r="N534" s="10"/>
      <c r="O534" s="12"/>
      <c r="S534" s="10"/>
    </row>
    <row r="535" spans="1:19" s="8" customFormat="1" x14ac:dyDescent="0.2">
      <c r="A535" s="2"/>
      <c r="B535" s="10"/>
      <c r="K535" s="2"/>
      <c r="L535" s="2"/>
      <c r="N535" s="10"/>
      <c r="O535" s="12"/>
      <c r="S535" s="10"/>
    </row>
    <row r="536" spans="1:19" s="8" customFormat="1" x14ac:dyDescent="0.2">
      <c r="A536" s="2"/>
      <c r="B536" s="10"/>
      <c r="K536" s="2"/>
      <c r="L536" s="2"/>
      <c r="N536" s="10"/>
      <c r="O536" s="12"/>
      <c r="S536" s="10"/>
    </row>
    <row r="537" spans="1:19" s="8" customFormat="1" x14ac:dyDescent="0.2">
      <c r="A537" s="2"/>
      <c r="B537" s="10"/>
      <c r="K537" s="2"/>
      <c r="L537" s="2"/>
      <c r="N537" s="10"/>
      <c r="O537" s="12"/>
      <c r="S537" s="10"/>
    </row>
    <row r="538" spans="1:19" s="8" customFormat="1" x14ac:dyDescent="0.2">
      <c r="A538" s="2"/>
      <c r="B538" s="10"/>
      <c r="K538" s="2"/>
      <c r="L538" s="2"/>
      <c r="N538" s="10"/>
      <c r="O538" s="12"/>
      <c r="S538" s="10"/>
    </row>
    <row r="539" spans="1:19" s="8" customFormat="1" x14ac:dyDescent="0.2">
      <c r="A539" s="2"/>
      <c r="B539" s="10"/>
      <c r="K539" s="2"/>
      <c r="L539" s="2"/>
      <c r="N539" s="10"/>
      <c r="O539" s="12"/>
      <c r="S539" s="10"/>
    </row>
    <row r="540" spans="1:19" s="8" customFormat="1" x14ac:dyDescent="0.2">
      <c r="A540" s="2"/>
      <c r="B540" s="10"/>
      <c r="K540" s="2"/>
      <c r="L540" s="2"/>
      <c r="N540" s="10"/>
      <c r="O540" s="12"/>
      <c r="S540" s="10"/>
    </row>
    <row r="541" spans="1:19" s="8" customFormat="1" x14ac:dyDescent="0.2">
      <c r="A541" s="2"/>
      <c r="B541" s="10"/>
      <c r="K541" s="2"/>
      <c r="L541" s="2"/>
      <c r="N541" s="10"/>
      <c r="O541" s="12"/>
      <c r="S541" s="10"/>
    </row>
    <row r="542" spans="1:19" s="8" customFormat="1" x14ac:dyDescent="0.2">
      <c r="A542" s="2"/>
      <c r="B542" s="10"/>
      <c r="K542" s="2"/>
      <c r="L542" s="2"/>
      <c r="N542" s="10"/>
      <c r="O542" s="12"/>
      <c r="S542" s="10"/>
    </row>
    <row r="543" spans="1:19" s="8" customFormat="1" x14ac:dyDescent="0.2">
      <c r="A543" s="2"/>
      <c r="B543" s="10"/>
      <c r="K543" s="2"/>
      <c r="L543" s="2"/>
      <c r="N543" s="10"/>
      <c r="O543" s="12"/>
      <c r="S543" s="10"/>
    </row>
    <row r="544" spans="1:19" s="8" customFormat="1" x14ac:dyDescent="0.2">
      <c r="A544" s="2"/>
      <c r="B544" s="10"/>
      <c r="K544" s="2"/>
      <c r="L544" s="2"/>
      <c r="N544" s="10"/>
      <c r="O544" s="12"/>
      <c r="S544" s="10"/>
    </row>
    <row r="545" spans="1:19" s="8" customFormat="1" x14ac:dyDescent="0.2">
      <c r="A545" s="2"/>
      <c r="B545" s="10"/>
      <c r="K545" s="2"/>
      <c r="L545" s="2"/>
      <c r="N545" s="10"/>
      <c r="O545" s="12"/>
      <c r="S545" s="10"/>
    </row>
    <row r="546" spans="1:19" s="8" customFormat="1" x14ac:dyDescent="0.2">
      <c r="A546" s="2"/>
      <c r="B546" s="10"/>
      <c r="K546" s="2"/>
      <c r="L546" s="2"/>
      <c r="N546" s="10"/>
      <c r="O546" s="12"/>
      <c r="S546" s="10"/>
    </row>
    <row r="547" spans="1:19" s="8" customFormat="1" x14ac:dyDescent="0.2">
      <c r="A547" s="2"/>
      <c r="B547" s="10"/>
      <c r="K547" s="2"/>
      <c r="L547" s="2"/>
      <c r="N547" s="10"/>
      <c r="O547" s="12"/>
      <c r="S547" s="10"/>
    </row>
    <row r="548" spans="1:19" s="8" customFormat="1" x14ac:dyDescent="0.2">
      <c r="A548" s="2"/>
      <c r="B548" s="10"/>
      <c r="K548" s="2"/>
      <c r="L548" s="2"/>
      <c r="N548" s="10"/>
      <c r="O548" s="12"/>
      <c r="S548" s="10"/>
    </row>
    <row r="549" spans="1:19" s="8" customFormat="1" x14ac:dyDescent="0.2">
      <c r="A549" s="2"/>
      <c r="B549" s="10"/>
      <c r="K549" s="2"/>
      <c r="L549" s="2"/>
      <c r="N549" s="10"/>
      <c r="O549" s="12"/>
      <c r="S549" s="10"/>
    </row>
    <row r="550" spans="1:19" s="8" customFormat="1" x14ac:dyDescent="0.2">
      <c r="A550" s="2"/>
      <c r="B550" s="10"/>
      <c r="K550" s="2"/>
      <c r="L550" s="2"/>
      <c r="N550" s="10"/>
      <c r="O550" s="12"/>
      <c r="S550" s="10"/>
    </row>
    <row r="551" spans="1:19" s="8" customFormat="1" x14ac:dyDescent="0.2">
      <c r="A551" s="2"/>
      <c r="B551" s="10"/>
      <c r="K551" s="2"/>
      <c r="L551" s="2"/>
      <c r="N551" s="10"/>
      <c r="O551" s="12"/>
      <c r="S551" s="10"/>
    </row>
    <row r="552" spans="1:19" s="8" customFormat="1" x14ac:dyDescent="0.2">
      <c r="A552" s="2"/>
      <c r="B552" s="10"/>
      <c r="K552" s="2"/>
      <c r="L552" s="2"/>
      <c r="N552" s="10"/>
      <c r="O552" s="12"/>
      <c r="S552" s="10"/>
    </row>
    <row r="553" spans="1:19" s="8" customFormat="1" x14ac:dyDescent="0.2">
      <c r="A553" s="2"/>
      <c r="B553" s="10"/>
      <c r="K553" s="2"/>
      <c r="L553" s="2"/>
      <c r="N553" s="10"/>
      <c r="O553" s="12"/>
      <c r="S553" s="10"/>
    </row>
    <row r="554" spans="1:19" s="8" customFormat="1" x14ac:dyDescent="0.2">
      <c r="A554" s="2"/>
      <c r="B554" s="10"/>
      <c r="K554" s="2"/>
      <c r="L554" s="2"/>
      <c r="N554" s="10"/>
      <c r="O554" s="12"/>
      <c r="S554" s="10"/>
    </row>
    <row r="555" spans="1:19" s="8" customFormat="1" x14ac:dyDescent="0.2">
      <c r="A555" s="2"/>
      <c r="B555" s="10"/>
      <c r="K555" s="2"/>
      <c r="L555" s="2"/>
      <c r="N555" s="10"/>
      <c r="O555" s="12"/>
      <c r="S555" s="10"/>
    </row>
    <row r="556" spans="1:19" s="8" customFormat="1" x14ac:dyDescent="0.2">
      <c r="A556" s="2"/>
      <c r="B556" s="10"/>
      <c r="K556" s="2"/>
      <c r="L556" s="2"/>
      <c r="N556" s="10"/>
      <c r="O556" s="12"/>
      <c r="S556" s="10"/>
    </row>
    <row r="557" spans="1:19" s="8" customFormat="1" x14ac:dyDescent="0.2">
      <c r="A557" s="2"/>
      <c r="B557" s="10"/>
      <c r="K557" s="2"/>
      <c r="L557" s="2"/>
      <c r="N557" s="10"/>
      <c r="O557" s="12"/>
      <c r="S557" s="10"/>
    </row>
    <row r="558" spans="1:19" s="8" customFormat="1" x14ac:dyDescent="0.2">
      <c r="A558" s="2"/>
      <c r="B558" s="10"/>
      <c r="K558" s="2"/>
      <c r="L558" s="2"/>
      <c r="N558" s="10"/>
      <c r="O558" s="12"/>
      <c r="S558" s="10"/>
    </row>
    <row r="559" spans="1:19" s="8" customFormat="1" x14ac:dyDescent="0.2">
      <c r="A559" s="2"/>
      <c r="B559" s="10"/>
      <c r="K559" s="2"/>
      <c r="L559" s="2"/>
      <c r="N559" s="10"/>
      <c r="O559" s="12"/>
      <c r="S559" s="10"/>
    </row>
    <row r="560" spans="1:19" s="8" customFormat="1" x14ac:dyDescent="0.2">
      <c r="A560" s="2"/>
      <c r="B560" s="10"/>
      <c r="K560" s="2"/>
      <c r="L560" s="2"/>
      <c r="N560" s="10"/>
      <c r="O560" s="12"/>
      <c r="S560" s="10"/>
    </row>
    <row r="561" spans="1:19" s="8" customFormat="1" x14ac:dyDescent="0.2">
      <c r="A561" s="2"/>
      <c r="B561" s="10"/>
      <c r="K561" s="2"/>
      <c r="L561" s="2"/>
      <c r="N561" s="10"/>
      <c r="O561" s="12"/>
      <c r="S561" s="10"/>
    </row>
    <row r="562" spans="1:19" s="8" customFormat="1" x14ac:dyDescent="0.2">
      <c r="A562" s="2"/>
      <c r="B562" s="10"/>
      <c r="K562" s="2"/>
      <c r="L562" s="2"/>
      <c r="N562" s="10"/>
      <c r="O562" s="12"/>
      <c r="S562" s="10"/>
    </row>
    <row r="563" spans="1:19" s="8" customFormat="1" x14ac:dyDescent="0.2">
      <c r="A563" s="2"/>
      <c r="B563" s="10"/>
      <c r="K563" s="2"/>
      <c r="L563" s="2"/>
      <c r="N563" s="10"/>
      <c r="O563" s="12"/>
      <c r="S563" s="10"/>
    </row>
    <row r="564" spans="1:19" s="8" customFormat="1" x14ac:dyDescent="0.2">
      <c r="A564" s="2"/>
      <c r="B564" s="10"/>
      <c r="K564" s="2"/>
      <c r="L564" s="2"/>
      <c r="N564" s="10"/>
      <c r="O564" s="12"/>
      <c r="S564" s="10"/>
    </row>
    <row r="565" spans="1:19" s="8" customFormat="1" x14ac:dyDescent="0.2">
      <c r="A565" s="2"/>
      <c r="B565" s="10"/>
      <c r="K565" s="2"/>
      <c r="L565" s="2"/>
      <c r="N565" s="10"/>
      <c r="O565" s="12"/>
      <c r="S565" s="10"/>
    </row>
    <row r="566" spans="1:19" s="8" customFormat="1" x14ac:dyDescent="0.2">
      <c r="A566" s="2"/>
      <c r="B566" s="10"/>
      <c r="K566" s="2"/>
      <c r="L566" s="2"/>
      <c r="N566" s="10"/>
      <c r="O566" s="12"/>
      <c r="S566" s="10"/>
    </row>
    <row r="567" spans="1:19" s="8" customFormat="1" x14ac:dyDescent="0.2">
      <c r="A567" s="2"/>
      <c r="B567" s="10"/>
      <c r="K567" s="2"/>
      <c r="L567" s="2"/>
      <c r="N567" s="10"/>
      <c r="O567" s="12"/>
      <c r="S567" s="10"/>
    </row>
    <row r="568" spans="1:19" s="8" customFormat="1" x14ac:dyDescent="0.2">
      <c r="A568" s="2"/>
      <c r="B568" s="10"/>
      <c r="K568" s="2"/>
      <c r="L568" s="2"/>
      <c r="N568" s="10"/>
      <c r="O568" s="12"/>
      <c r="S568" s="10"/>
    </row>
    <row r="569" spans="1:19" s="8" customFormat="1" x14ac:dyDescent="0.2">
      <c r="A569" s="2"/>
      <c r="B569" s="10"/>
      <c r="K569" s="2"/>
      <c r="L569" s="2"/>
      <c r="N569" s="10"/>
      <c r="O569" s="12"/>
      <c r="S569" s="10"/>
    </row>
    <row r="570" spans="1:19" s="8" customFormat="1" x14ac:dyDescent="0.2">
      <c r="A570" s="2"/>
      <c r="B570" s="10"/>
      <c r="K570" s="2"/>
      <c r="L570" s="2"/>
      <c r="N570" s="10"/>
      <c r="O570" s="12"/>
      <c r="S570" s="10"/>
    </row>
    <row r="571" spans="1:19" s="8" customFormat="1" x14ac:dyDescent="0.2">
      <c r="A571" s="2"/>
      <c r="B571" s="10"/>
      <c r="K571" s="2"/>
      <c r="L571" s="2"/>
      <c r="N571" s="10"/>
      <c r="O571" s="12"/>
      <c r="S571" s="10"/>
    </row>
    <row r="572" spans="1:19" s="8" customFormat="1" x14ac:dyDescent="0.2">
      <c r="A572" s="2"/>
      <c r="B572" s="10"/>
      <c r="K572" s="2"/>
      <c r="L572" s="2"/>
      <c r="N572" s="10"/>
      <c r="O572" s="12"/>
      <c r="S572" s="10"/>
    </row>
    <row r="573" spans="1:19" s="8" customFormat="1" x14ac:dyDescent="0.2">
      <c r="A573" s="2"/>
      <c r="B573" s="10"/>
      <c r="K573" s="2"/>
      <c r="L573" s="2"/>
      <c r="N573" s="10"/>
      <c r="O573" s="12"/>
      <c r="S573" s="10"/>
    </row>
    <row r="574" spans="1:19" s="8" customFormat="1" x14ac:dyDescent="0.2">
      <c r="A574" s="2"/>
      <c r="B574" s="10"/>
      <c r="K574" s="2"/>
      <c r="L574" s="2"/>
      <c r="N574" s="10"/>
      <c r="O574" s="12"/>
      <c r="S574" s="10"/>
    </row>
    <row r="575" spans="1:19" s="8" customFormat="1" x14ac:dyDescent="0.2">
      <c r="A575" s="2"/>
      <c r="B575" s="10"/>
      <c r="K575" s="2"/>
      <c r="L575" s="2"/>
      <c r="N575" s="10"/>
      <c r="O575" s="12"/>
      <c r="S575" s="10"/>
    </row>
    <row r="576" spans="1:19" s="8" customFormat="1" x14ac:dyDescent="0.2">
      <c r="A576" s="2"/>
      <c r="B576" s="10"/>
      <c r="K576" s="2"/>
      <c r="L576" s="2"/>
      <c r="N576" s="10"/>
      <c r="O576" s="12"/>
      <c r="S576" s="10"/>
    </row>
    <row r="577" spans="1:19" s="8" customFormat="1" x14ac:dyDescent="0.2">
      <c r="A577" s="2"/>
      <c r="B577" s="10"/>
      <c r="K577" s="2"/>
      <c r="L577" s="2"/>
      <c r="N577" s="10"/>
      <c r="O577" s="12"/>
      <c r="S577" s="10"/>
    </row>
    <row r="578" spans="1:19" s="8" customFormat="1" x14ac:dyDescent="0.2">
      <c r="A578" s="2"/>
      <c r="B578" s="10"/>
      <c r="K578" s="2"/>
      <c r="L578" s="2"/>
      <c r="N578" s="10"/>
      <c r="O578" s="12"/>
      <c r="S578" s="10"/>
    </row>
    <row r="579" spans="1:19" s="8" customFormat="1" x14ac:dyDescent="0.2">
      <c r="A579" s="2"/>
      <c r="B579" s="10"/>
      <c r="K579" s="2"/>
      <c r="L579" s="2"/>
      <c r="N579" s="10"/>
      <c r="O579" s="12"/>
      <c r="S579" s="10"/>
    </row>
    <row r="580" spans="1:19" s="8" customFormat="1" x14ac:dyDescent="0.2">
      <c r="A580" s="2"/>
      <c r="B580" s="10"/>
      <c r="K580" s="2"/>
      <c r="L580" s="2"/>
      <c r="N580" s="10"/>
      <c r="O580" s="12"/>
      <c r="S580" s="10"/>
    </row>
    <row r="581" spans="1:19" s="8" customFormat="1" x14ac:dyDescent="0.2">
      <c r="A581" s="2"/>
      <c r="B581" s="10"/>
      <c r="K581" s="2"/>
      <c r="L581" s="2"/>
      <c r="N581" s="10"/>
      <c r="O581" s="12"/>
      <c r="S581" s="10"/>
    </row>
    <row r="582" spans="1:19" s="8" customFormat="1" x14ac:dyDescent="0.2">
      <c r="A582" s="2"/>
      <c r="B582" s="10"/>
      <c r="K582" s="2"/>
      <c r="L582" s="2"/>
      <c r="N582" s="10"/>
      <c r="O582" s="12"/>
      <c r="S582" s="10"/>
    </row>
    <row r="583" spans="1:19" s="8" customFormat="1" x14ac:dyDescent="0.2">
      <c r="A583" s="2"/>
      <c r="B583" s="10"/>
      <c r="K583" s="2"/>
      <c r="L583" s="2"/>
      <c r="N583" s="10"/>
      <c r="O583" s="12"/>
      <c r="S583" s="10"/>
    </row>
    <row r="584" spans="1:19" s="8" customFormat="1" x14ac:dyDescent="0.2">
      <c r="A584" s="2"/>
      <c r="B584" s="10"/>
      <c r="K584" s="2"/>
      <c r="L584" s="2"/>
      <c r="N584" s="10"/>
      <c r="O584" s="12"/>
      <c r="S584" s="10"/>
    </row>
    <row r="585" spans="1:19" s="8" customFormat="1" x14ac:dyDescent="0.2">
      <c r="A585" s="2"/>
      <c r="B585" s="10"/>
      <c r="K585" s="2"/>
      <c r="L585" s="2"/>
      <c r="N585" s="10"/>
      <c r="O585" s="12"/>
      <c r="S585" s="10"/>
    </row>
    <row r="586" spans="1:19" s="8" customFormat="1" x14ac:dyDescent="0.2">
      <c r="A586" s="2"/>
      <c r="B586" s="10"/>
      <c r="K586" s="2"/>
      <c r="L586" s="2"/>
      <c r="N586" s="10"/>
      <c r="O586" s="12"/>
      <c r="S586" s="10"/>
    </row>
    <row r="587" spans="1:19" s="8" customFormat="1" x14ac:dyDescent="0.2">
      <c r="A587" s="2"/>
      <c r="B587" s="10"/>
      <c r="K587" s="2"/>
      <c r="L587" s="2"/>
      <c r="N587" s="10"/>
      <c r="O587" s="12"/>
      <c r="S587" s="10"/>
    </row>
    <row r="588" spans="1:19" s="8" customFormat="1" x14ac:dyDescent="0.2">
      <c r="A588" s="2"/>
      <c r="B588" s="10"/>
      <c r="K588" s="2"/>
      <c r="L588" s="2"/>
      <c r="N588" s="10"/>
      <c r="O588" s="12"/>
      <c r="S588" s="10"/>
    </row>
    <row r="589" spans="1:19" s="8" customFormat="1" x14ac:dyDescent="0.2">
      <c r="A589" s="2"/>
      <c r="B589" s="10"/>
      <c r="K589" s="2"/>
      <c r="L589" s="2"/>
      <c r="N589" s="10"/>
      <c r="O589" s="12"/>
      <c r="S589" s="10"/>
    </row>
    <row r="590" spans="1:19" s="8" customFormat="1" x14ac:dyDescent="0.2">
      <c r="A590" s="2"/>
      <c r="B590" s="10"/>
      <c r="K590" s="2"/>
      <c r="L590" s="2"/>
      <c r="N590" s="10"/>
      <c r="O590" s="12"/>
      <c r="S590" s="10"/>
    </row>
    <row r="591" spans="1:19" s="8" customFormat="1" x14ac:dyDescent="0.2">
      <c r="A591" s="2"/>
      <c r="B591" s="10"/>
      <c r="K591" s="2"/>
      <c r="L591" s="2"/>
      <c r="N591" s="10"/>
      <c r="O591" s="12"/>
      <c r="S591" s="10"/>
    </row>
    <row r="592" spans="1:19" s="8" customFormat="1" x14ac:dyDescent="0.2">
      <c r="A592" s="2"/>
      <c r="B592" s="10"/>
      <c r="K592" s="2"/>
      <c r="L592" s="2"/>
      <c r="N592" s="10"/>
      <c r="O592" s="12"/>
      <c r="S592" s="10"/>
    </row>
    <row r="593" spans="1:19" s="8" customFormat="1" x14ac:dyDescent="0.2">
      <c r="A593" s="2"/>
      <c r="B593" s="10"/>
      <c r="K593" s="2"/>
      <c r="L593" s="2"/>
      <c r="N593" s="10"/>
      <c r="O593" s="12"/>
      <c r="S593" s="10"/>
    </row>
    <row r="594" spans="1:19" s="8" customFormat="1" x14ac:dyDescent="0.2">
      <c r="A594" s="2"/>
      <c r="B594" s="10"/>
      <c r="K594" s="2"/>
      <c r="L594" s="2"/>
      <c r="N594" s="10"/>
      <c r="O594" s="12"/>
      <c r="S594" s="10"/>
    </row>
    <row r="595" spans="1:19" s="8" customFormat="1" x14ac:dyDescent="0.2">
      <c r="A595" s="2"/>
      <c r="B595" s="10"/>
      <c r="K595" s="2"/>
      <c r="L595" s="2"/>
      <c r="N595" s="10"/>
      <c r="O595" s="12"/>
      <c r="S595" s="10"/>
    </row>
    <row r="596" spans="1:19" s="8" customFormat="1" x14ac:dyDescent="0.2">
      <c r="A596" s="2"/>
      <c r="B596" s="10"/>
      <c r="K596" s="2"/>
      <c r="L596" s="2"/>
      <c r="N596" s="10"/>
      <c r="O596" s="12"/>
      <c r="S596" s="10"/>
    </row>
    <row r="597" spans="1:19" s="8" customFormat="1" x14ac:dyDescent="0.2">
      <c r="A597" s="2"/>
      <c r="B597" s="10"/>
      <c r="K597" s="2"/>
      <c r="L597" s="2"/>
      <c r="N597" s="10"/>
      <c r="O597" s="12"/>
      <c r="S597" s="10"/>
    </row>
    <row r="598" spans="1:19" s="8" customFormat="1" x14ac:dyDescent="0.2">
      <c r="A598" s="2"/>
      <c r="B598" s="10"/>
      <c r="K598" s="2"/>
      <c r="L598" s="2"/>
      <c r="N598" s="10"/>
      <c r="O598" s="12"/>
      <c r="S598" s="10"/>
    </row>
    <row r="599" spans="1:19" s="8" customFormat="1" x14ac:dyDescent="0.2">
      <c r="A599" s="2"/>
      <c r="B599" s="10"/>
      <c r="K599" s="2"/>
      <c r="L599" s="2"/>
      <c r="N599" s="10"/>
      <c r="O599" s="12"/>
      <c r="S599" s="10"/>
    </row>
    <row r="600" spans="1:19" s="8" customFormat="1" x14ac:dyDescent="0.2">
      <c r="A600" s="2"/>
      <c r="B600" s="10"/>
      <c r="K600" s="2"/>
      <c r="L600" s="2"/>
      <c r="N600" s="10"/>
      <c r="O600" s="12"/>
      <c r="S600" s="10"/>
    </row>
    <row r="601" spans="1:19" s="8" customFormat="1" x14ac:dyDescent="0.2">
      <c r="A601" s="2"/>
      <c r="B601" s="10"/>
      <c r="K601" s="2"/>
      <c r="L601" s="2"/>
      <c r="N601" s="10"/>
      <c r="O601" s="12"/>
      <c r="S601" s="10"/>
    </row>
    <row r="602" spans="1:19" s="8" customFormat="1" x14ac:dyDescent="0.2">
      <c r="A602" s="2"/>
      <c r="B602" s="10"/>
      <c r="K602" s="2"/>
      <c r="L602" s="2"/>
      <c r="N602" s="10"/>
      <c r="O602" s="12"/>
      <c r="S602" s="10"/>
    </row>
    <row r="603" spans="1:19" s="8" customFormat="1" x14ac:dyDescent="0.2">
      <c r="A603" s="2"/>
      <c r="B603" s="10"/>
      <c r="K603" s="2"/>
      <c r="L603" s="2"/>
      <c r="N603" s="10"/>
      <c r="O603" s="12"/>
      <c r="S603" s="10"/>
    </row>
    <row r="604" spans="1:19" s="8" customFormat="1" x14ac:dyDescent="0.2">
      <c r="A604" s="2"/>
      <c r="B604" s="10"/>
      <c r="K604" s="2"/>
      <c r="L604" s="2"/>
      <c r="N604" s="10"/>
      <c r="O604" s="12"/>
      <c r="S604" s="10"/>
    </row>
    <row r="605" spans="1:19" s="8" customFormat="1" x14ac:dyDescent="0.2">
      <c r="A605" s="2"/>
      <c r="B605" s="10"/>
      <c r="K605" s="2"/>
      <c r="L605" s="2"/>
      <c r="N605" s="10"/>
      <c r="O605" s="12"/>
      <c r="S605" s="10"/>
    </row>
    <row r="606" spans="1:19" s="8" customFormat="1" x14ac:dyDescent="0.2">
      <c r="A606" s="2"/>
      <c r="B606" s="10"/>
      <c r="K606" s="2"/>
      <c r="L606" s="2"/>
      <c r="N606" s="10"/>
      <c r="O606" s="12"/>
      <c r="S606" s="10"/>
    </row>
    <row r="607" spans="1:19" s="8" customFormat="1" x14ac:dyDescent="0.2">
      <c r="A607" s="2"/>
      <c r="B607" s="10"/>
      <c r="K607" s="2"/>
      <c r="L607" s="2"/>
      <c r="N607" s="10"/>
      <c r="O607" s="12"/>
      <c r="S607" s="10"/>
    </row>
    <row r="608" spans="1:19" s="8" customFormat="1" x14ac:dyDescent="0.2">
      <c r="A608" s="2"/>
      <c r="B608" s="10"/>
      <c r="K608" s="2"/>
      <c r="L608" s="2"/>
      <c r="N608" s="10"/>
      <c r="O608" s="12"/>
      <c r="S608" s="10"/>
    </row>
    <row r="609" spans="1:19" s="8" customFormat="1" x14ac:dyDescent="0.2">
      <c r="A609" s="2"/>
      <c r="B609" s="10"/>
      <c r="K609" s="2"/>
      <c r="L609" s="2"/>
      <c r="N609" s="10"/>
      <c r="O609" s="12"/>
      <c r="S609" s="10"/>
    </row>
    <row r="610" spans="1:19" s="8" customFormat="1" x14ac:dyDescent="0.2">
      <c r="A610" s="2"/>
      <c r="B610" s="10"/>
      <c r="K610" s="2"/>
      <c r="L610" s="2"/>
      <c r="N610" s="10"/>
      <c r="O610" s="12"/>
      <c r="S610" s="10"/>
    </row>
    <row r="611" spans="1:19" s="8" customFormat="1" x14ac:dyDescent="0.2">
      <c r="A611" s="2"/>
      <c r="B611" s="10"/>
      <c r="K611" s="2"/>
      <c r="L611" s="2"/>
      <c r="N611" s="10"/>
      <c r="O611" s="12"/>
      <c r="S611" s="10"/>
    </row>
    <row r="612" spans="1:19" s="8" customFormat="1" x14ac:dyDescent="0.2">
      <c r="A612" s="2"/>
      <c r="B612" s="10"/>
      <c r="K612" s="2"/>
      <c r="L612" s="2"/>
      <c r="N612" s="10"/>
      <c r="O612" s="12"/>
      <c r="S612" s="10"/>
    </row>
    <row r="613" spans="1:19" s="8" customFormat="1" x14ac:dyDescent="0.2">
      <c r="A613" s="2"/>
      <c r="B613" s="10"/>
      <c r="K613" s="2"/>
      <c r="L613" s="2"/>
      <c r="N613" s="10"/>
      <c r="O613" s="12"/>
      <c r="S613" s="10"/>
    </row>
    <row r="614" spans="1:19" s="8" customFormat="1" x14ac:dyDescent="0.2">
      <c r="A614" s="2"/>
      <c r="B614" s="10"/>
      <c r="K614" s="2"/>
      <c r="L614" s="2"/>
      <c r="N614" s="10"/>
      <c r="O614" s="12"/>
      <c r="S614" s="10"/>
    </row>
    <row r="615" spans="1:19" s="8" customFormat="1" x14ac:dyDescent="0.2">
      <c r="A615" s="2"/>
      <c r="B615" s="10"/>
      <c r="K615" s="2"/>
      <c r="L615" s="2"/>
      <c r="N615" s="10"/>
      <c r="O615" s="12"/>
      <c r="S615" s="10"/>
    </row>
    <row r="616" spans="1:19" s="8" customFormat="1" x14ac:dyDescent="0.2">
      <c r="A616" s="2"/>
      <c r="B616" s="10"/>
      <c r="K616" s="2"/>
      <c r="L616" s="2"/>
      <c r="N616" s="10"/>
      <c r="O616" s="12"/>
      <c r="S616" s="10"/>
    </row>
    <row r="617" spans="1:19" s="8" customFormat="1" x14ac:dyDescent="0.2">
      <c r="A617" s="2"/>
      <c r="B617" s="10"/>
      <c r="K617" s="2"/>
      <c r="L617" s="2"/>
      <c r="N617" s="10"/>
      <c r="O617" s="12"/>
      <c r="S617" s="10"/>
    </row>
    <row r="618" spans="1:19" s="8" customFormat="1" x14ac:dyDescent="0.2">
      <c r="A618" s="2"/>
      <c r="B618" s="10"/>
      <c r="K618" s="2"/>
      <c r="L618" s="2"/>
      <c r="N618" s="10"/>
      <c r="O618" s="12"/>
      <c r="S618" s="10"/>
    </row>
    <row r="619" spans="1:19" s="8" customFormat="1" x14ac:dyDescent="0.2">
      <c r="A619" s="2"/>
      <c r="B619" s="10"/>
      <c r="K619" s="2"/>
      <c r="L619" s="2"/>
      <c r="N619" s="10"/>
      <c r="O619" s="12"/>
      <c r="S619" s="10"/>
    </row>
    <row r="620" spans="1:19" s="8" customFormat="1" x14ac:dyDescent="0.2">
      <c r="A620" s="2"/>
      <c r="B620" s="10"/>
      <c r="K620" s="2"/>
      <c r="L620" s="2"/>
      <c r="N620" s="10"/>
      <c r="O620" s="12"/>
      <c r="S620" s="10"/>
    </row>
    <row r="621" spans="1:19" s="8" customFormat="1" x14ac:dyDescent="0.2">
      <c r="A621" s="2"/>
      <c r="B621" s="10"/>
      <c r="K621" s="2"/>
      <c r="L621" s="2"/>
      <c r="N621" s="10"/>
      <c r="O621" s="12"/>
      <c r="S621" s="10"/>
    </row>
    <row r="622" spans="1:19" s="8" customFormat="1" x14ac:dyDescent="0.2">
      <c r="A622" s="2"/>
      <c r="B622" s="10"/>
      <c r="K622" s="2"/>
      <c r="L622" s="2"/>
      <c r="N622" s="10"/>
      <c r="O622" s="12"/>
      <c r="S622" s="10"/>
    </row>
    <row r="623" spans="1:19" s="8" customFormat="1" x14ac:dyDescent="0.2">
      <c r="A623" s="2"/>
      <c r="B623" s="10"/>
      <c r="K623" s="2"/>
      <c r="L623" s="2"/>
      <c r="N623" s="10"/>
      <c r="O623" s="12"/>
      <c r="S623" s="10"/>
    </row>
    <row r="624" spans="1:19" s="8" customFormat="1" x14ac:dyDescent="0.2">
      <c r="A624" s="2"/>
      <c r="B624" s="10"/>
      <c r="K624" s="2"/>
      <c r="L624" s="2"/>
      <c r="N624" s="10"/>
      <c r="O624" s="12"/>
      <c r="S624" s="10"/>
    </row>
    <row r="625" spans="1:19" s="8" customFormat="1" x14ac:dyDescent="0.2">
      <c r="A625" s="2"/>
      <c r="B625" s="10"/>
      <c r="K625" s="2"/>
      <c r="L625" s="2"/>
      <c r="N625" s="10"/>
      <c r="O625" s="12"/>
      <c r="S625" s="10"/>
    </row>
    <row r="626" spans="1:19" s="8" customFormat="1" x14ac:dyDescent="0.2">
      <c r="A626" s="2"/>
      <c r="B626" s="10"/>
      <c r="K626" s="2"/>
      <c r="L626" s="2"/>
      <c r="N626" s="10"/>
      <c r="O626" s="12"/>
      <c r="S626" s="10"/>
    </row>
    <row r="627" spans="1:19" s="8" customFormat="1" x14ac:dyDescent="0.2">
      <c r="A627" s="2"/>
      <c r="B627" s="10"/>
      <c r="K627" s="2"/>
      <c r="L627" s="2"/>
      <c r="N627" s="10"/>
      <c r="O627" s="12"/>
      <c r="S627" s="10"/>
    </row>
    <row r="628" spans="1:19" s="8" customFormat="1" x14ac:dyDescent="0.2">
      <c r="A628" s="2"/>
      <c r="B628" s="10"/>
      <c r="K628" s="2"/>
      <c r="L628" s="2"/>
      <c r="N628" s="10"/>
      <c r="O628" s="12"/>
      <c r="S628" s="10"/>
    </row>
    <row r="629" spans="1:19" s="8" customFormat="1" x14ac:dyDescent="0.2">
      <c r="A629" s="2"/>
      <c r="B629" s="10"/>
      <c r="K629" s="2"/>
      <c r="L629" s="2"/>
      <c r="N629" s="10"/>
      <c r="O629" s="12"/>
      <c r="S629" s="10"/>
    </row>
    <row r="630" spans="1:19" s="8" customFormat="1" x14ac:dyDescent="0.2">
      <c r="A630" s="2"/>
      <c r="B630" s="10"/>
      <c r="K630" s="2"/>
      <c r="L630" s="2"/>
      <c r="N630" s="10"/>
      <c r="O630" s="12"/>
      <c r="S630" s="10"/>
    </row>
    <row r="631" spans="1:19" s="8" customFormat="1" x14ac:dyDescent="0.2">
      <c r="A631" s="2"/>
      <c r="B631" s="10"/>
      <c r="K631" s="2"/>
      <c r="L631" s="2"/>
      <c r="N631" s="10"/>
      <c r="O631" s="12"/>
      <c r="S631" s="10"/>
    </row>
    <row r="632" spans="1:19" s="8" customFormat="1" x14ac:dyDescent="0.2">
      <c r="A632" s="2"/>
      <c r="B632" s="10"/>
      <c r="K632" s="2"/>
      <c r="L632" s="2"/>
      <c r="N632" s="10"/>
      <c r="O632" s="12"/>
      <c r="S632" s="10"/>
    </row>
    <row r="633" spans="1:19" s="8" customFormat="1" x14ac:dyDescent="0.2">
      <c r="A633" s="2"/>
      <c r="B633" s="10"/>
      <c r="K633" s="2"/>
      <c r="L633" s="2"/>
      <c r="N633" s="10"/>
      <c r="O633" s="12"/>
      <c r="S633" s="10"/>
    </row>
    <row r="634" spans="1:19" s="8" customFormat="1" x14ac:dyDescent="0.2">
      <c r="A634" s="2"/>
      <c r="B634" s="10"/>
      <c r="K634" s="2"/>
      <c r="L634" s="2"/>
      <c r="N634" s="10"/>
      <c r="O634" s="12"/>
      <c r="S634" s="10"/>
    </row>
    <row r="635" spans="1:19" s="8" customFormat="1" x14ac:dyDescent="0.2">
      <c r="A635" s="2"/>
      <c r="B635" s="10"/>
      <c r="K635" s="2"/>
      <c r="L635" s="2"/>
      <c r="N635" s="10"/>
      <c r="O635" s="12"/>
      <c r="S635" s="10"/>
    </row>
    <row r="636" spans="1:19" s="8" customFormat="1" x14ac:dyDescent="0.2">
      <c r="A636" s="2"/>
      <c r="B636" s="10"/>
      <c r="K636" s="2"/>
      <c r="L636" s="2"/>
      <c r="N636" s="10"/>
      <c r="O636" s="12"/>
      <c r="S636" s="10"/>
    </row>
    <row r="637" spans="1:19" s="8" customFormat="1" x14ac:dyDescent="0.2">
      <c r="A637" s="2"/>
      <c r="B637" s="10"/>
      <c r="K637" s="2"/>
      <c r="L637" s="2"/>
      <c r="N637" s="10"/>
      <c r="O637" s="12"/>
      <c r="S637" s="10"/>
    </row>
    <row r="638" spans="1:19" s="8" customFormat="1" x14ac:dyDescent="0.2">
      <c r="A638" s="2"/>
      <c r="B638" s="10"/>
      <c r="K638" s="2"/>
      <c r="L638" s="2"/>
      <c r="N638" s="10"/>
      <c r="O638" s="12"/>
      <c r="S638" s="10"/>
    </row>
    <row r="639" spans="1:19" s="8" customFormat="1" x14ac:dyDescent="0.2">
      <c r="A639" s="2"/>
      <c r="B639" s="10"/>
      <c r="K639" s="2"/>
      <c r="L639" s="2"/>
      <c r="N639" s="10"/>
      <c r="O639" s="12"/>
      <c r="S639" s="10"/>
    </row>
    <row r="640" spans="1:19" s="8" customFormat="1" x14ac:dyDescent="0.2">
      <c r="A640" s="2"/>
      <c r="B640" s="10"/>
      <c r="K640" s="2"/>
      <c r="L640" s="2"/>
      <c r="N640" s="10"/>
      <c r="O640" s="12"/>
      <c r="S640" s="10"/>
    </row>
    <row r="641" spans="1:19" s="8" customFormat="1" x14ac:dyDescent="0.2">
      <c r="A641" s="2"/>
      <c r="B641" s="10"/>
      <c r="K641" s="2"/>
      <c r="L641" s="2"/>
      <c r="N641" s="10"/>
      <c r="O641" s="12"/>
      <c r="S641" s="10"/>
    </row>
    <row r="642" spans="1:19" s="8" customFormat="1" x14ac:dyDescent="0.2">
      <c r="A642" s="2"/>
      <c r="B642" s="10"/>
      <c r="K642" s="2"/>
      <c r="L642" s="2"/>
      <c r="N642" s="10"/>
      <c r="O642" s="12"/>
      <c r="S642" s="10"/>
    </row>
    <row r="643" spans="1:19" s="8" customFormat="1" x14ac:dyDescent="0.2">
      <c r="A643" s="2"/>
      <c r="B643" s="10"/>
      <c r="K643" s="2"/>
      <c r="L643" s="2"/>
      <c r="N643" s="10"/>
      <c r="O643" s="12"/>
      <c r="S643" s="10"/>
    </row>
    <row r="644" spans="1:19" s="8" customFormat="1" x14ac:dyDescent="0.2">
      <c r="A644" s="2"/>
      <c r="B644" s="10"/>
      <c r="K644" s="2"/>
      <c r="L644" s="2"/>
      <c r="N644" s="10"/>
      <c r="O644" s="12"/>
      <c r="S644" s="10"/>
    </row>
    <row r="645" spans="1:19" s="8" customFormat="1" x14ac:dyDescent="0.2">
      <c r="A645" s="2"/>
      <c r="B645" s="10"/>
      <c r="K645" s="2"/>
      <c r="L645" s="2"/>
      <c r="N645" s="10"/>
      <c r="O645" s="12"/>
      <c r="S645" s="10"/>
    </row>
    <row r="646" spans="1:19" s="8" customFormat="1" x14ac:dyDescent="0.2">
      <c r="A646" s="2"/>
      <c r="B646" s="10"/>
      <c r="K646" s="2"/>
      <c r="L646" s="2"/>
      <c r="N646" s="10"/>
      <c r="O646" s="12"/>
      <c r="S646" s="10"/>
    </row>
    <row r="647" spans="1:19" s="8" customFormat="1" x14ac:dyDescent="0.2">
      <c r="A647" s="2"/>
      <c r="B647" s="10"/>
      <c r="K647" s="2"/>
      <c r="L647" s="2"/>
      <c r="N647" s="10"/>
      <c r="O647" s="12"/>
      <c r="S647" s="10"/>
    </row>
    <row r="648" spans="1:19" s="8" customFormat="1" x14ac:dyDescent="0.2">
      <c r="A648" s="2"/>
      <c r="B648" s="10"/>
      <c r="K648" s="2"/>
      <c r="L648" s="2"/>
      <c r="N648" s="10"/>
      <c r="O648" s="12"/>
      <c r="S648" s="10"/>
    </row>
    <row r="649" spans="1:19" s="8" customFormat="1" x14ac:dyDescent="0.2">
      <c r="A649" s="2"/>
      <c r="B649" s="10"/>
      <c r="K649" s="2"/>
      <c r="L649" s="2"/>
      <c r="N649" s="10"/>
      <c r="O649" s="12"/>
      <c r="S649" s="10"/>
    </row>
    <row r="650" spans="1:19" s="8" customFormat="1" x14ac:dyDescent="0.2">
      <c r="A650" s="2"/>
      <c r="B650" s="10"/>
      <c r="K650" s="2"/>
      <c r="L650" s="2"/>
      <c r="N650" s="10"/>
      <c r="O650" s="12"/>
      <c r="S650" s="10"/>
    </row>
    <row r="651" spans="1:19" s="8" customFormat="1" x14ac:dyDescent="0.2">
      <c r="A651" s="2"/>
      <c r="B651" s="10"/>
      <c r="K651" s="2"/>
      <c r="L651" s="2"/>
      <c r="N651" s="10"/>
      <c r="O651" s="12"/>
      <c r="S651" s="10"/>
    </row>
    <row r="652" spans="1:19" s="8" customFormat="1" x14ac:dyDescent="0.2">
      <c r="A652" s="2"/>
      <c r="B652" s="10"/>
      <c r="K652" s="2"/>
      <c r="L652" s="2"/>
      <c r="N652" s="10"/>
      <c r="O652" s="12"/>
      <c r="S652" s="10"/>
    </row>
    <row r="653" spans="1:19" s="8" customFormat="1" x14ac:dyDescent="0.2">
      <c r="A653" s="2"/>
      <c r="B653" s="10"/>
      <c r="K653" s="2"/>
      <c r="L653" s="2"/>
      <c r="N653" s="10"/>
      <c r="O653" s="12"/>
      <c r="S653" s="10"/>
    </row>
    <row r="654" spans="1:19" s="8" customFormat="1" x14ac:dyDescent="0.2">
      <c r="A654" s="2"/>
      <c r="B654" s="10"/>
      <c r="K654" s="2"/>
      <c r="L654" s="2"/>
      <c r="N654" s="10"/>
      <c r="O654" s="12"/>
      <c r="S654" s="10"/>
    </row>
    <row r="655" spans="1:19" s="8" customFormat="1" x14ac:dyDescent="0.2">
      <c r="A655" s="2"/>
      <c r="B655" s="10"/>
      <c r="K655" s="2"/>
      <c r="L655" s="2"/>
      <c r="N655" s="10"/>
      <c r="O655" s="12"/>
      <c r="S655" s="10"/>
    </row>
    <row r="656" spans="1:19" s="8" customFormat="1" x14ac:dyDescent="0.2">
      <c r="A656" s="2"/>
      <c r="B656" s="10"/>
      <c r="K656" s="2"/>
      <c r="L656" s="2"/>
      <c r="N656" s="10"/>
      <c r="O656" s="12"/>
      <c r="S656" s="10"/>
    </row>
    <row r="657" spans="1:19" s="8" customFormat="1" x14ac:dyDescent="0.2">
      <c r="A657" s="2"/>
      <c r="B657" s="10"/>
      <c r="K657" s="2"/>
      <c r="L657" s="2"/>
      <c r="N657" s="10"/>
      <c r="O657" s="12"/>
      <c r="S657" s="10"/>
    </row>
    <row r="658" spans="1:19" s="8" customFormat="1" x14ac:dyDescent="0.2">
      <c r="A658" s="2"/>
      <c r="B658" s="10"/>
      <c r="K658" s="2"/>
      <c r="L658" s="2"/>
      <c r="N658" s="10"/>
      <c r="O658" s="12"/>
      <c r="S658" s="10"/>
    </row>
    <row r="659" spans="1:19" s="8" customFormat="1" x14ac:dyDescent="0.2">
      <c r="A659" s="2"/>
      <c r="B659" s="10"/>
      <c r="K659" s="2"/>
      <c r="L659" s="2"/>
      <c r="N659" s="10"/>
      <c r="O659" s="12"/>
      <c r="S659" s="10"/>
    </row>
    <row r="660" spans="1:19" s="8" customFormat="1" x14ac:dyDescent="0.2">
      <c r="A660" s="2"/>
      <c r="B660" s="10"/>
      <c r="K660" s="2"/>
      <c r="L660" s="2"/>
      <c r="N660" s="10"/>
      <c r="O660" s="12"/>
      <c r="S660" s="10"/>
    </row>
    <row r="661" spans="1:19" s="8" customFormat="1" x14ac:dyDescent="0.2">
      <c r="A661" s="2"/>
      <c r="B661" s="10"/>
      <c r="K661" s="2"/>
      <c r="L661" s="2"/>
      <c r="N661" s="10"/>
      <c r="O661" s="12"/>
      <c r="S661" s="10"/>
    </row>
    <row r="662" spans="1:19" s="8" customFormat="1" x14ac:dyDescent="0.2">
      <c r="A662" s="2"/>
      <c r="B662" s="10"/>
      <c r="K662" s="2"/>
      <c r="L662" s="2"/>
      <c r="N662" s="10"/>
      <c r="O662" s="12"/>
      <c r="S662" s="10"/>
    </row>
    <row r="663" spans="1:19" s="8" customFormat="1" x14ac:dyDescent="0.2">
      <c r="A663" s="2"/>
      <c r="B663" s="10"/>
      <c r="K663" s="2"/>
      <c r="L663" s="2"/>
      <c r="N663" s="10"/>
      <c r="O663" s="12"/>
      <c r="S663" s="10"/>
    </row>
    <row r="664" spans="1:19" s="8" customFormat="1" x14ac:dyDescent="0.2">
      <c r="A664" s="2"/>
      <c r="B664" s="10"/>
      <c r="K664" s="2"/>
      <c r="L664" s="2"/>
      <c r="N664" s="10"/>
      <c r="O664" s="12"/>
      <c r="S664" s="10"/>
    </row>
    <row r="665" spans="1:19" s="8" customFormat="1" x14ac:dyDescent="0.2">
      <c r="A665" s="2"/>
      <c r="B665" s="10"/>
      <c r="K665" s="2"/>
      <c r="L665" s="2"/>
      <c r="N665" s="10"/>
      <c r="O665" s="12"/>
      <c r="S665" s="10"/>
    </row>
    <row r="666" spans="1:19" s="8" customFormat="1" x14ac:dyDescent="0.2">
      <c r="A666" s="2"/>
      <c r="B666" s="10"/>
      <c r="K666" s="2"/>
      <c r="L666" s="2"/>
      <c r="N666" s="10"/>
      <c r="O666" s="12"/>
      <c r="S666" s="10"/>
    </row>
    <row r="667" spans="1:19" s="8" customFormat="1" x14ac:dyDescent="0.2">
      <c r="A667" s="2"/>
      <c r="B667" s="10"/>
      <c r="K667" s="2"/>
      <c r="L667" s="2"/>
      <c r="N667" s="10"/>
      <c r="O667" s="12"/>
      <c r="S667" s="10"/>
    </row>
    <row r="668" spans="1:19" s="8" customFormat="1" x14ac:dyDescent="0.2">
      <c r="A668" s="2"/>
      <c r="B668" s="10"/>
      <c r="K668" s="2"/>
      <c r="L668" s="2"/>
      <c r="N668" s="10"/>
      <c r="O668" s="12"/>
      <c r="S668" s="10"/>
    </row>
    <row r="669" spans="1:19" s="8" customFormat="1" x14ac:dyDescent="0.2">
      <c r="A669" s="2"/>
      <c r="B669" s="10"/>
      <c r="K669" s="2"/>
      <c r="L669" s="2"/>
      <c r="N669" s="10"/>
      <c r="O669" s="12"/>
      <c r="S669" s="10"/>
    </row>
    <row r="670" spans="1:19" s="8" customFormat="1" x14ac:dyDescent="0.2">
      <c r="A670" s="2"/>
      <c r="B670" s="10"/>
      <c r="K670" s="2"/>
      <c r="L670" s="2"/>
      <c r="N670" s="10"/>
      <c r="O670" s="12"/>
      <c r="S670" s="10"/>
    </row>
    <row r="671" spans="1:19" s="8" customFormat="1" x14ac:dyDescent="0.2">
      <c r="A671" s="2"/>
      <c r="B671" s="10"/>
      <c r="K671" s="2"/>
      <c r="L671" s="2"/>
      <c r="N671" s="10"/>
      <c r="O671" s="12"/>
      <c r="S671" s="10"/>
    </row>
    <row r="672" spans="1:19" s="8" customFormat="1" x14ac:dyDescent="0.2">
      <c r="A672" s="2"/>
      <c r="B672" s="10"/>
      <c r="K672" s="2"/>
      <c r="L672" s="2"/>
      <c r="N672" s="10"/>
      <c r="O672" s="12"/>
      <c r="S672" s="10"/>
    </row>
    <row r="673" spans="1:19" s="8" customFormat="1" x14ac:dyDescent="0.2">
      <c r="A673" s="2"/>
      <c r="B673" s="10"/>
      <c r="K673" s="2"/>
      <c r="L673" s="2"/>
      <c r="N673" s="10"/>
      <c r="O673" s="12"/>
      <c r="S673" s="10"/>
    </row>
    <row r="674" spans="1:19" s="8" customFormat="1" x14ac:dyDescent="0.2">
      <c r="A674" s="2"/>
      <c r="B674" s="10"/>
      <c r="K674" s="2"/>
      <c r="L674" s="2"/>
      <c r="N674" s="10"/>
      <c r="O674" s="12"/>
      <c r="S674" s="10"/>
    </row>
    <row r="675" spans="1:19" s="8" customFormat="1" x14ac:dyDescent="0.2">
      <c r="A675" s="2"/>
      <c r="B675" s="10"/>
      <c r="K675" s="2"/>
      <c r="L675" s="2"/>
      <c r="N675" s="10"/>
      <c r="O675" s="12"/>
      <c r="S675" s="10"/>
    </row>
    <row r="676" spans="1:19" s="8" customFormat="1" x14ac:dyDescent="0.2">
      <c r="A676" s="2"/>
      <c r="B676" s="10"/>
      <c r="K676" s="2"/>
      <c r="L676" s="2"/>
      <c r="N676" s="10"/>
      <c r="O676" s="12"/>
      <c r="S676" s="10"/>
    </row>
    <row r="677" spans="1:19" s="8" customFormat="1" x14ac:dyDescent="0.2">
      <c r="A677" s="2"/>
      <c r="B677" s="10"/>
      <c r="K677" s="2"/>
      <c r="L677" s="2"/>
      <c r="N677" s="10"/>
      <c r="O677" s="12"/>
      <c r="S677" s="10"/>
    </row>
    <row r="678" spans="1:19" s="8" customFormat="1" x14ac:dyDescent="0.2">
      <c r="A678" s="2"/>
      <c r="B678" s="10"/>
      <c r="K678" s="2"/>
      <c r="L678" s="2"/>
      <c r="N678" s="10"/>
      <c r="O678" s="12"/>
      <c r="S678" s="10"/>
    </row>
    <row r="679" spans="1:19" s="8" customFormat="1" x14ac:dyDescent="0.2">
      <c r="A679" s="2"/>
      <c r="B679" s="10"/>
      <c r="K679" s="2"/>
      <c r="L679" s="2"/>
      <c r="N679" s="10"/>
      <c r="O679" s="12"/>
      <c r="S679" s="10"/>
    </row>
    <row r="680" spans="1:19" s="8" customFormat="1" x14ac:dyDescent="0.2">
      <c r="A680" s="2"/>
      <c r="B680" s="10"/>
      <c r="K680" s="2"/>
      <c r="L680" s="2"/>
      <c r="N680" s="10"/>
      <c r="O680" s="12"/>
      <c r="S680" s="10"/>
    </row>
    <row r="681" spans="1:19" s="8" customFormat="1" x14ac:dyDescent="0.2">
      <c r="A681" s="2"/>
      <c r="B681" s="10"/>
      <c r="K681" s="2"/>
      <c r="L681" s="2"/>
      <c r="N681" s="10"/>
      <c r="O681" s="12"/>
      <c r="S681" s="10"/>
    </row>
    <row r="682" spans="1:19" s="8" customFormat="1" x14ac:dyDescent="0.2">
      <c r="A682" s="2"/>
      <c r="B682" s="10"/>
      <c r="K682" s="2"/>
      <c r="L682" s="2"/>
      <c r="N682" s="10"/>
      <c r="O682" s="12"/>
      <c r="S682" s="10"/>
    </row>
    <row r="683" spans="1:19" s="8" customFormat="1" x14ac:dyDescent="0.2">
      <c r="A683" s="2"/>
      <c r="B683" s="10"/>
      <c r="K683" s="2"/>
      <c r="L683" s="2"/>
      <c r="N683" s="10"/>
      <c r="O683" s="12"/>
      <c r="S683" s="10"/>
    </row>
    <row r="684" spans="1:19" s="8" customFormat="1" x14ac:dyDescent="0.2">
      <c r="A684" s="2"/>
      <c r="B684" s="10"/>
      <c r="K684" s="2"/>
      <c r="L684" s="2"/>
      <c r="N684" s="10"/>
      <c r="O684" s="12"/>
      <c r="S684" s="10"/>
    </row>
    <row r="685" spans="1:19" s="8" customFormat="1" x14ac:dyDescent="0.2">
      <c r="A685" s="2"/>
      <c r="B685" s="10"/>
      <c r="K685" s="2"/>
      <c r="L685" s="2"/>
      <c r="N685" s="10"/>
      <c r="O685" s="12"/>
      <c r="S685" s="10"/>
    </row>
    <row r="686" spans="1:19" s="8" customFormat="1" x14ac:dyDescent="0.2">
      <c r="A686" s="2"/>
      <c r="B686" s="10"/>
      <c r="K686" s="2"/>
      <c r="L686" s="2"/>
      <c r="N686" s="10"/>
      <c r="O686" s="12"/>
      <c r="S686" s="10"/>
    </row>
    <row r="687" spans="1:19" s="8" customFormat="1" x14ac:dyDescent="0.2">
      <c r="A687" s="2"/>
      <c r="B687" s="10"/>
      <c r="K687" s="2"/>
      <c r="L687" s="2"/>
      <c r="N687" s="10"/>
      <c r="O687" s="12"/>
      <c r="S687" s="10"/>
    </row>
    <row r="688" spans="1:19" s="8" customFormat="1" x14ac:dyDescent="0.2">
      <c r="A688" s="2"/>
      <c r="B688" s="10"/>
      <c r="K688" s="2"/>
      <c r="L688" s="2"/>
      <c r="N688" s="10"/>
      <c r="O688" s="12"/>
      <c r="S688" s="10"/>
    </row>
    <row r="689" spans="1:19" s="8" customFormat="1" x14ac:dyDescent="0.2">
      <c r="A689" s="2"/>
      <c r="B689" s="10"/>
      <c r="K689" s="2"/>
      <c r="L689" s="2"/>
      <c r="N689" s="10"/>
      <c r="O689" s="12"/>
      <c r="S689" s="10"/>
    </row>
    <row r="690" spans="1:19" s="8" customFormat="1" x14ac:dyDescent="0.2">
      <c r="A690" s="2"/>
      <c r="B690" s="10"/>
      <c r="K690" s="2"/>
      <c r="L690" s="2"/>
      <c r="N690" s="10"/>
      <c r="O690" s="12"/>
      <c r="S690" s="10"/>
    </row>
    <row r="691" spans="1:19" s="8" customFormat="1" x14ac:dyDescent="0.2">
      <c r="A691" s="2"/>
      <c r="B691" s="10"/>
      <c r="K691" s="2"/>
      <c r="L691" s="2"/>
      <c r="N691" s="10"/>
      <c r="O691" s="12"/>
      <c r="S691" s="10"/>
    </row>
    <row r="692" spans="1:19" s="8" customFormat="1" x14ac:dyDescent="0.2">
      <c r="A692" s="2"/>
      <c r="B692" s="10"/>
      <c r="K692" s="2"/>
      <c r="L692" s="2"/>
      <c r="N692" s="10"/>
      <c r="O692" s="12"/>
      <c r="S692" s="10"/>
    </row>
    <row r="693" spans="1:19" s="8" customFormat="1" x14ac:dyDescent="0.2">
      <c r="A693" s="2"/>
      <c r="B693" s="10"/>
      <c r="K693" s="2"/>
      <c r="L693" s="2"/>
      <c r="N693" s="10"/>
      <c r="O693" s="12"/>
      <c r="S693" s="10"/>
    </row>
    <row r="694" spans="1:19" s="8" customFormat="1" x14ac:dyDescent="0.2">
      <c r="A694" s="2"/>
      <c r="B694" s="10"/>
      <c r="K694" s="2"/>
      <c r="L694" s="2"/>
      <c r="N694" s="10"/>
      <c r="O694" s="12"/>
      <c r="S694" s="10"/>
    </row>
    <row r="695" spans="1:19" s="8" customFormat="1" x14ac:dyDescent="0.2">
      <c r="A695" s="2"/>
      <c r="B695" s="10"/>
      <c r="K695" s="2"/>
      <c r="L695" s="2"/>
      <c r="N695" s="10"/>
      <c r="O695" s="12"/>
      <c r="S695" s="10"/>
    </row>
    <row r="696" spans="1:19" s="8" customFormat="1" x14ac:dyDescent="0.2">
      <c r="A696" s="2"/>
      <c r="B696" s="10"/>
      <c r="K696" s="2"/>
      <c r="L696" s="2"/>
      <c r="N696" s="10"/>
      <c r="O696" s="12"/>
      <c r="S696" s="10"/>
    </row>
    <row r="697" spans="1:19" s="8" customFormat="1" x14ac:dyDescent="0.2">
      <c r="A697" s="2"/>
      <c r="B697" s="10"/>
      <c r="K697" s="2"/>
      <c r="L697" s="2"/>
      <c r="N697" s="10"/>
      <c r="O697" s="12"/>
      <c r="S697" s="10"/>
    </row>
    <row r="698" spans="1:19" s="8" customFormat="1" x14ac:dyDescent="0.2">
      <c r="A698" s="2"/>
      <c r="B698" s="10"/>
      <c r="K698" s="2"/>
      <c r="L698" s="2"/>
      <c r="N698" s="10"/>
      <c r="O698" s="12"/>
      <c r="S698" s="10"/>
    </row>
    <row r="699" spans="1:19" s="8" customFormat="1" x14ac:dyDescent="0.2">
      <c r="A699" s="2"/>
      <c r="B699" s="10"/>
      <c r="K699" s="2"/>
      <c r="L699" s="2"/>
      <c r="N699" s="10"/>
      <c r="O699" s="12"/>
      <c r="S699" s="10"/>
    </row>
    <row r="700" spans="1:19" s="8" customFormat="1" x14ac:dyDescent="0.2">
      <c r="A700" s="2"/>
      <c r="B700" s="10"/>
      <c r="K700" s="2"/>
      <c r="L700" s="2"/>
      <c r="N700" s="10"/>
      <c r="O700" s="12"/>
      <c r="S700" s="10"/>
    </row>
    <row r="701" spans="1:19" s="8" customFormat="1" x14ac:dyDescent="0.2">
      <c r="A701" s="2"/>
      <c r="B701" s="10"/>
      <c r="K701" s="2"/>
      <c r="L701" s="2"/>
      <c r="N701" s="10"/>
      <c r="O701" s="12"/>
      <c r="S701" s="10"/>
    </row>
    <row r="702" spans="1:19" s="8" customFormat="1" x14ac:dyDescent="0.2">
      <c r="A702" s="2"/>
      <c r="B702" s="10"/>
      <c r="K702" s="2"/>
      <c r="L702" s="2"/>
      <c r="N702" s="10"/>
      <c r="O702" s="12"/>
      <c r="S702" s="10"/>
    </row>
    <row r="703" spans="1:19" s="8" customFormat="1" x14ac:dyDescent="0.2">
      <c r="A703" s="2"/>
      <c r="B703" s="10"/>
      <c r="K703" s="2"/>
      <c r="L703" s="2"/>
      <c r="N703" s="10"/>
      <c r="O703" s="12"/>
      <c r="S703" s="10"/>
    </row>
    <row r="704" spans="1:19" s="8" customFormat="1" x14ac:dyDescent="0.2">
      <c r="A704" s="2"/>
      <c r="B704" s="10"/>
      <c r="K704" s="2"/>
      <c r="L704" s="2"/>
      <c r="N704" s="10"/>
      <c r="O704" s="12"/>
      <c r="S704" s="10"/>
    </row>
    <row r="705" spans="1:19" s="8" customFormat="1" x14ac:dyDescent="0.2">
      <c r="A705" s="2"/>
      <c r="B705" s="10"/>
      <c r="K705" s="2"/>
      <c r="L705" s="2"/>
      <c r="N705" s="10"/>
      <c r="O705" s="12"/>
      <c r="S705" s="10"/>
    </row>
    <row r="706" spans="1:19" s="8" customFormat="1" x14ac:dyDescent="0.2">
      <c r="A706" s="2"/>
      <c r="B706" s="10"/>
      <c r="K706" s="2"/>
      <c r="L706" s="2"/>
      <c r="N706" s="10"/>
      <c r="O706" s="12"/>
      <c r="S706" s="10"/>
    </row>
    <row r="707" spans="1:19" s="8" customFormat="1" x14ac:dyDescent="0.2">
      <c r="A707" s="2"/>
      <c r="B707" s="10"/>
      <c r="K707" s="2"/>
      <c r="L707" s="2"/>
      <c r="N707" s="10"/>
      <c r="O707" s="12"/>
      <c r="S707" s="10"/>
    </row>
    <row r="708" spans="1:19" s="8" customFormat="1" x14ac:dyDescent="0.2">
      <c r="A708" s="2"/>
      <c r="B708" s="10"/>
      <c r="K708" s="2"/>
      <c r="L708" s="2"/>
      <c r="N708" s="10"/>
      <c r="O708" s="12"/>
      <c r="S708" s="10"/>
    </row>
    <row r="709" spans="1:19" s="8" customFormat="1" x14ac:dyDescent="0.2">
      <c r="A709" s="2"/>
      <c r="B709" s="10"/>
      <c r="K709" s="2"/>
      <c r="L709" s="2"/>
      <c r="N709" s="10"/>
      <c r="O709" s="12"/>
      <c r="S709" s="10"/>
    </row>
    <row r="710" spans="1:19" s="8" customFormat="1" x14ac:dyDescent="0.2">
      <c r="A710" s="2"/>
      <c r="B710" s="10"/>
      <c r="K710" s="2"/>
      <c r="L710" s="2"/>
      <c r="N710" s="10"/>
      <c r="O710" s="12"/>
      <c r="S710" s="10"/>
    </row>
    <row r="711" spans="1:19" s="8" customFormat="1" x14ac:dyDescent="0.2">
      <c r="A711" s="2"/>
      <c r="B711" s="10"/>
      <c r="K711" s="2"/>
      <c r="L711" s="2"/>
      <c r="N711" s="10"/>
      <c r="O711" s="12"/>
      <c r="S711" s="10"/>
    </row>
    <row r="712" spans="1:19" s="8" customFormat="1" x14ac:dyDescent="0.2">
      <c r="A712" s="2"/>
      <c r="B712" s="10"/>
      <c r="K712" s="2"/>
      <c r="L712" s="2"/>
      <c r="N712" s="10"/>
      <c r="O712" s="12"/>
      <c r="S712" s="10"/>
    </row>
    <row r="713" spans="1:19" s="8" customFormat="1" x14ac:dyDescent="0.2">
      <c r="A713" s="2"/>
      <c r="B713" s="10"/>
      <c r="K713" s="2"/>
      <c r="L713" s="2"/>
      <c r="N713" s="10"/>
      <c r="O713" s="12"/>
      <c r="S713" s="10"/>
    </row>
    <row r="714" spans="1:19" s="8" customFormat="1" x14ac:dyDescent="0.2">
      <c r="A714" s="2"/>
      <c r="B714" s="10"/>
      <c r="K714" s="2"/>
      <c r="L714" s="2"/>
      <c r="N714" s="10"/>
      <c r="O714" s="12"/>
      <c r="S714" s="10"/>
    </row>
    <row r="715" spans="1:19" s="8" customFormat="1" x14ac:dyDescent="0.2">
      <c r="A715" s="2"/>
      <c r="B715" s="10"/>
      <c r="K715" s="2"/>
      <c r="L715" s="2"/>
      <c r="N715" s="10"/>
      <c r="O715" s="12"/>
      <c r="S715" s="10"/>
    </row>
    <row r="716" spans="1:19" s="8" customFormat="1" x14ac:dyDescent="0.2">
      <c r="A716" s="2"/>
      <c r="B716" s="10"/>
      <c r="K716" s="2"/>
      <c r="L716" s="2"/>
      <c r="N716" s="10"/>
      <c r="O716" s="12"/>
      <c r="S716" s="10"/>
    </row>
    <row r="717" spans="1:19" s="8" customFormat="1" x14ac:dyDescent="0.2">
      <c r="A717" s="2"/>
      <c r="B717" s="10"/>
      <c r="K717" s="2"/>
      <c r="L717" s="2"/>
      <c r="N717" s="10"/>
      <c r="O717" s="12"/>
      <c r="S717" s="10"/>
    </row>
    <row r="718" spans="1:19" s="8" customFormat="1" x14ac:dyDescent="0.2">
      <c r="A718" s="2"/>
      <c r="B718" s="10"/>
      <c r="K718" s="2"/>
      <c r="L718" s="2"/>
      <c r="N718" s="10"/>
      <c r="O718" s="12"/>
      <c r="S718" s="10"/>
    </row>
    <row r="719" spans="1:19" s="8" customFormat="1" x14ac:dyDescent="0.2">
      <c r="A719" s="2"/>
      <c r="B719" s="10"/>
      <c r="K719" s="2"/>
      <c r="L719" s="2"/>
      <c r="N719" s="10"/>
      <c r="O719" s="12"/>
      <c r="S719" s="10"/>
    </row>
    <row r="720" spans="1:19" s="8" customFormat="1" x14ac:dyDescent="0.2">
      <c r="A720" s="2"/>
      <c r="B720" s="10"/>
      <c r="K720" s="2"/>
      <c r="L720" s="2"/>
      <c r="N720" s="10"/>
      <c r="O720" s="12"/>
      <c r="S720" s="10"/>
    </row>
    <row r="721" spans="1:19" s="8" customFormat="1" x14ac:dyDescent="0.2">
      <c r="A721" s="2"/>
      <c r="B721" s="10"/>
      <c r="K721" s="2"/>
      <c r="L721" s="2"/>
      <c r="N721" s="10"/>
      <c r="O721" s="12"/>
      <c r="S721" s="10"/>
    </row>
    <row r="722" spans="1:19" s="8" customFormat="1" x14ac:dyDescent="0.2">
      <c r="A722" s="2"/>
      <c r="B722" s="10"/>
      <c r="K722" s="2"/>
      <c r="L722" s="2"/>
      <c r="N722" s="10"/>
      <c r="O722" s="12"/>
      <c r="S722" s="10"/>
    </row>
    <row r="723" spans="1:19" s="8" customFormat="1" x14ac:dyDescent="0.2">
      <c r="A723" s="2"/>
      <c r="B723" s="10"/>
      <c r="K723" s="2"/>
      <c r="L723" s="2"/>
      <c r="N723" s="10"/>
      <c r="O723" s="12"/>
      <c r="S723" s="10"/>
    </row>
    <row r="724" spans="1:19" s="8" customFormat="1" x14ac:dyDescent="0.2">
      <c r="A724" s="2"/>
      <c r="B724" s="10"/>
      <c r="K724" s="2"/>
      <c r="L724" s="2"/>
      <c r="N724" s="10"/>
      <c r="O724" s="12"/>
      <c r="S724" s="10"/>
    </row>
    <row r="725" spans="1:19" s="8" customFormat="1" x14ac:dyDescent="0.2">
      <c r="A725" s="2"/>
      <c r="B725" s="10"/>
      <c r="K725" s="2"/>
      <c r="L725" s="2"/>
      <c r="N725" s="10"/>
      <c r="O725" s="12"/>
      <c r="S725" s="10"/>
    </row>
    <row r="726" spans="1:19" s="8" customFormat="1" x14ac:dyDescent="0.2">
      <c r="A726" s="2"/>
      <c r="B726" s="10"/>
      <c r="K726" s="2"/>
      <c r="L726" s="2"/>
      <c r="N726" s="10"/>
      <c r="O726" s="12"/>
      <c r="S726" s="10"/>
    </row>
    <row r="727" spans="1:19" s="8" customFormat="1" x14ac:dyDescent="0.2">
      <c r="A727" s="2"/>
      <c r="B727" s="10"/>
      <c r="K727" s="2"/>
      <c r="L727" s="2"/>
      <c r="N727" s="10"/>
      <c r="O727" s="12"/>
      <c r="S727" s="10"/>
    </row>
    <row r="728" spans="1:19" s="8" customFormat="1" x14ac:dyDescent="0.2">
      <c r="A728" s="2"/>
      <c r="B728" s="10"/>
      <c r="K728" s="2"/>
      <c r="L728" s="2"/>
      <c r="N728" s="10"/>
      <c r="O728" s="12"/>
      <c r="S728" s="10"/>
    </row>
    <row r="729" spans="1:19" s="8" customFormat="1" x14ac:dyDescent="0.2">
      <c r="A729" s="2"/>
      <c r="B729" s="10"/>
      <c r="K729" s="2"/>
      <c r="L729" s="2"/>
      <c r="N729" s="10"/>
      <c r="O729" s="12"/>
      <c r="S729" s="10"/>
    </row>
    <row r="730" spans="1:19" s="8" customFormat="1" x14ac:dyDescent="0.2">
      <c r="A730" s="2"/>
      <c r="B730" s="10"/>
      <c r="K730" s="2"/>
      <c r="L730" s="2"/>
      <c r="N730" s="10"/>
      <c r="O730" s="12"/>
      <c r="S730" s="10"/>
    </row>
    <row r="731" spans="1:19" s="8" customFormat="1" x14ac:dyDescent="0.2">
      <c r="A731" s="2"/>
      <c r="B731" s="10"/>
      <c r="K731" s="2"/>
      <c r="L731" s="2"/>
      <c r="N731" s="10"/>
      <c r="O731" s="12"/>
      <c r="S731" s="10"/>
    </row>
    <row r="732" spans="1:19" s="8" customFormat="1" x14ac:dyDescent="0.2">
      <c r="A732" s="2"/>
      <c r="B732" s="10"/>
      <c r="K732" s="2"/>
      <c r="L732" s="2"/>
      <c r="N732" s="10"/>
      <c r="O732" s="12"/>
      <c r="S732" s="10"/>
    </row>
    <row r="733" spans="1:19" s="8" customFormat="1" x14ac:dyDescent="0.2">
      <c r="A733" s="2"/>
      <c r="B733" s="10"/>
      <c r="K733" s="2"/>
      <c r="L733" s="2"/>
      <c r="N733" s="10"/>
      <c r="O733" s="12"/>
      <c r="S733" s="10"/>
    </row>
    <row r="734" spans="1:19" s="8" customFormat="1" x14ac:dyDescent="0.2">
      <c r="A734" s="2"/>
      <c r="B734" s="10"/>
      <c r="K734" s="2"/>
      <c r="L734" s="2"/>
      <c r="N734" s="10"/>
      <c r="O734" s="12"/>
      <c r="S734" s="10"/>
    </row>
    <row r="735" spans="1:19" s="8" customFormat="1" x14ac:dyDescent="0.2">
      <c r="A735" s="2"/>
      <c r="B735" s="10"/>
      <c r="K735" s="2"/>
      <c r="L735" s="2"/>
      <c r="N735" s="10"/>
      <c r="O735" s="12"/>
      <c r="S735" s="10"/>
    </row>
    <row r="736" spans="1:19" s="8" customFormat="1" x14ac:dyDescent="0.2">
      <c r="A736" s="2"/>
      <c r="B736" s="10"/>
      <c r="K736" s="2"/>
      <c r="L736" s="2"/>
      <c r="N736" s="10"/>
      <c r="O736" s="12"/>
      <c r="S736" s="10"/>
    </row>
    <row r="737" spans="1:19" s="8" customFormat="1" x14ac:dyDescent="0.2">
      <c r="A737" s="2"/>
      <c r="B737" s="10"/>
      <c r="K737" s="2"/>
      <c r="L737" s="2"/>
      <c r="N737" s="10"/>
      <c r="O737" s="12"/>
      <c r="S737" s="10"/>
    </row>
    <row r="738" spans="1:19" s="8" customFormat="1" x14ac:dyDescent="0.2">
      <c r="A738" s="2"/>
      <c r="B738" s="10"/>
      <c r="K738" s="2"/>
      <c r="L738" s="2"/>
      <c r="N738" s="10"/>
      <c r="O738" s="12"/>
      <c r="S738" s="10"/>
    </row>
    <row r="739" spans="1:19" s="8" customFormat="1" x14ac:dyDescent="0.2">
      <c r="A739" s="2"/>
      <c r="B739" s="10"/>
      <c r="K739" s="2"/>
      <c r="L739" s="2"/>
      <c r="N739" s="10"/>
      <c r="O739" s="12"/>
      <c r="S739" s="10"/>
    </row>
    <row r="740" spans="1:19" s="8" customFormat="1" x14ac:dyDescent="0.2">
      <c r="A740" s="2"/>
      <c r="B740" s="10"/>
      <c r="K740" s="2"/>
      <c r="L740" s="2"/>
      <c r="N740" s="10"/>
      <c r="O740" s="12"/>
      <c r="S740" s="10"/>
    </row>
    <row r="741" spans="1:19" s="8" customFormat="1" x14ac:dyDescent="0.2">
      <c r="A741" s="2"/>
      <c r="B741" s="10"/>
      <c r="K741" s="2"/>
      <c r="L741" s="2"/>
      <c r="N741" s="10"/>
      <c r="O741" s="12"/>
      <c r="S741" s="10"/>
    </row>
    <row r="742" spans="1:19" s="8" customFormat="1" x14ac:dyDescent="0.2">
      <c r="A742" s="2"/>
      <c r="B742" s="10"/>
      <c r="K742" s="2"/>
      <c r="L742" s="2"/>
      <c r="N742" s="10"/>
      <c r="O742" s="12"/>
      <c r="S742" s="10"/>
    </row>
    <row r="743" spans="1:19" s="8" customFormat="1" x14ac:dyDescent="0.2">
      <c r="A743" s="2"/>
      <c r="B743" s="10"/>
      <c r="K743" s="2"/>
      <c r="L743" s="2"/>
      <c r="N743" s="10"/>
      <c r="O743" s="12"/>
      <c r="S743" s="10"/>
    </row>
    <row r="744" spans="1:19" s="8" customFormat="1" x14ac:dyDescent="0.2">
      <c r="A744" s="2"/>
      <c r="B744" s="10"/>
      <c r="K744" s="2"/>
      <c r="L744" s="2"/>
      <c r="N744" s="10"/>
      <c r="O744" s="12"/>
      <c r="S744" s="10"/>
    </row>
    <row r="745" spans="1:19" s="8" customFormat="1" x14ac:dyDescent="0.2">
      <c r="A745" s="2"/>
      <c r="B745" s="10"/>
      <c r="K745" s="2"/>
      <c r="L745" s="2"/>
      <c r="N745" s="10"/>
      <c r="O745" s="12"/>
      <c r="S745" s="10"/>
    </row>
    <row r="746" spans="1:19" s="8" customFormat="1" x14ac:dyDescent="0.2">
      <c r="A746" s="2"/>
      <c r="B746" s="10"/>
      <c r="K746" s="2"/>
      <c r="L746" s="2"/>
      <c r="N746" s="10"/>
      <c r="O746" s="12"/>
      <c r="S746" s="10"/>
    </row>
    <row r="747" spans="1:19" s="8" customFormat="1" x14ac:dyDescent="0.2">
      <c r="A747" s="2"/>
      <c r="B747" s="10"/>
      <c r="K747" s="2"/>
      <c r="L747" s="2"/>
      <c r="N747" s="10"/>
      <c r="O747" s="12"/>
      <c r="S747" s="10"/>
    </row>
    <row r="748" spans="1:19" s="8" customFormat="1" x14ac:dyDescent="0.2">
      <c r="A748" s="2"/>
      <c r="B748" s="10"/>
      <c r="K748" s="2"/>
      <c r="L748" s="2"/>
      <c r="N748" s="10"/>
      <c r="O748" s="12"/>
      <c r="S748" s="10"/>
    </row>
    <row r="749" spans="1:19" s="8" customFormat="1" x14ac:dyDescent="0.2">
      <c r="A749" s="2"/>
      <c r="B749" s="10"/>
      <c r="K749" s="2"/>
      <c r="L749" s="2"/>
      <c r="N749" s="10"/>
      <c r="O749" s="12"/>
      <c r="S749" s="10"/>
    </row>
    <row r="750" spans="1:19" s="8" customFormat="1" x14ac:dyDescent="0.2">
      <c r="A750" s="2"/>
      <c r="B750" s="10"/>
      <c r="K750" s="2"/>
      <c r="L750" s="2"/>
      <c r="N750" s="10"/>
      <c r="O750" s="12"/>
      <c r="S750" s="10"/>
    </row>
    <row r="751" spans="1:19" s="8" customFormat="1" x14ac:dyDescent="0.2">
      <c r="A751" s="2"/>
      <c r="B751" s="10"/>
      <c r="K751" s="2"/>
      <c r="L751" s="2"/>
      <c r="N751" s="10"/>
      <c r="O751" s="12"/>
      <c r="S751" s="10"/>
    </row>
    <row r="752" spans="1:19" s="8" customFormat="1" x14ac:dyDescent="0.2">
      <c r="A752" s="2"/>
      <c r="B752" s="10"/>
      <c r="K752" s="2"/>
      <c r="L752" s="2"/>
      <c r="N752" s="10"/>
      <c r="O752" s="12"/>
      <c r="S752" s="10"/>
    </row>
    <row r="753" spans="1:19" s="8" customFormat="1" x14ac:dyDescent="0.2">
      <c r="A753" s="2"/>
      <c r="B753" s="10"/>
      <c r="K753" s="2"/>
      <c r="L753" s="2"/>
      <c r="N753" s="10"/>
      <c r="O753" s="12"/>
      <c r="S753" s="10"/>
    </row>
    <row r="754" spans="1:19" s="8" customFormat="1" x14ac:dyDescent="0.2">
      <c r="A754" s="2"/>
      <c r="B754" s="10"/>
      <c r="K754" s="2"/>
      <c r="L754" s="2"/>
      <c r="N754" s="10"/>
      <c r="O754" s="12"/>
      <c r="S754" s="10"/>
    </row>
    <row r="755" spans="1:19" s="8" customFormat="1" x14ac:dyDescent="0.2">
      <c r="A755" s="2"/>
      <c r="B755" s="10"/>
      <c r="K755" s="2"/>
      <c r="L755" s="2"/>
      <c r="N755" s="10"/>
      <c r="O755" s="12"/>
      <c r="S755" s="10"/>
    </row>
    <row r="756" spans="1:19" s="8" customFormat="1" x14ac:dyDescent="0.2">
      <c r="A756" s="2"/>
      <c r="B756" s="10"/>
      <c r="K756" s="2"/>
      <c r="L756" s="2"/>
      <c r="N756" s="10"/>
      <c r="O756" s="12"/>
      <c r="S756" s="10"/>
    </row>
    <row r="757" spans="1:19" s="8" customFormat="1" x14ac:dyDescent="0.2">
      <c r="A757" s="2"/>
      <c r="B757" s="10"/>
      <c r="K757" s="2"/>
      <c r="L757" s="2"/>
      <c r="N757" s="10"/>
      <c r="O757" s="12"/>
      <c r="S757" s="10"/>
    </row>
    <row r="758" spans="1:19" s="8" customFormat="1" x14ac:dyDescent="0.2">
      <c r="A758" s="2"/>
      <c r="B758" s="10"/>
      <c r="K758" s="2"/>
      <c r="L758" s="2"/>
      <c r="N758" s="10"/>
      <c r="O758" s="12"/>
      <c r="S758" s="10"/>
    </row>
    <row r="759" spans="1:19" s="8" customFormat="1" x14ac:dyDescent="0.2">
      <c r="A759" s="2"/>
      <c r="B759" s="10"/>
      <c r="K759" s="2"/>
      <c r="L759" s="2"/>
      <c r="N759" s="10"/>
      <c r="O759" s="12"/>
      <c r="S759" s="10"/>
    </row>
    <row r="760" spans="1:19" s="8" customFormat="1" x14ac:dyDescent="0.2">
      <c r="A760" s="2"/>
      <c r="B760" s="10"/>
      <c r="K760" s="2"/>
      <c r="L760" s="2"/>
      <c r="N760" s="10"/>
      <c r="O760" s="12"/>
      <c r="S760" s="10"/>
    </row>
    <row r="761" spans="1:19" s="8" customFormat="1" x14ac:dyDescent="0.2">
      <c r="A761" s="2"/>
      <c r="B761" s="10"/>
      <c r="K761" s="2"/>
      <c r="L761" s="2"/>
      <c r="N761" s="10"/>
      <c r="O761" s="12"/>
      <c r="S761" s="10"/>
    </row>
    <row r="762" spans="1:19" s="8" customFormat="1" x14ac:dyDescent="0.2">
      <c r="A762" s="2"/>
      <c r="B762" s="10"/>
      <c r="K762" s="2"/>
      <c r="L762" s="2"/>
      <c r="N762" s="10"/>
      <c r="O762" s="12"/>
      <c r="S762" s="10"/>
    </row>
    <row r="763" spans="1:19" s="8" customFormat="1" x14ac:dyDescent="0.2">
      <c r="A763" s="2"/>
      <c r="B763" s="10"/>
      <c r="K763" s="2"/>
      <c r="L763" s="2"/>
      <c r="N763" s="10"/>
      <c r="O763" s="12"/>
      <c r="S763" s="10"/>
    </row>
    <row r="764" spans="1:19" s="8" customFormat="1" x14ac:dyDescent="0.2">
      <c r="A764" s="2"/>
      <c r="B764" s="10"/>
      <c r="K764" s="2"/>
      <c r="L764" s="2"/>
      <c r="N764" s="10"/>
      <c r="O764" s="12"/>
      <c r="S764" s="10"/>
    </row>
    <row r="765" spans="1:19" s="8" customFormat="1" x14ac:dyDescent="0.2">
      <c r="A765" s="2"/>
      <c r="B765" s="10"/>
      <c r="K765" s="2"/>
      <c r="L765" s="2"/>
      <c r="N765" s="10"/>
      <c r="O765" s="12"/>
      <c r="S765" s="10"/>
    </row>
    <row r="766" spans="1:19" s="8" customFormat="1" x14ac:dyDescent="0.2">
      <c r="A766" s="2"/>
      <c r="B766" s="10"/>
      <c r="K766" s="2"/>
      <c r="L766" s="2"/>
      <c r="N766" s="10"/>
      <c r="O766" s="12"/>
      <c r="S766" s="10"/>
    </row>
    <row r="767" spans="1:19" s="8" customFormat="1" x14ac:dyDescent="0.2">
      <c r="A767" s="2"/>
      <c r="B767" s="10"/>
      <c r="K767" s="2"/>
      <c r="L767" s="2"/>
      <c r="N767" s="10"/>
      <c r="O767" s="12"/>
      <c r="S767" s="10"/>
    </row>
    <row r="768" spans="1:19" s="8" customFormat="1" x14ac:dyDescent="0.2">
      <c r="A768" s="2"/>
      <c r="B768" s="10"/>
      <c r="K768" s="2"/>
      <c r="L768" s="2"/>
      <c r="N768" s="10"/>
      <c r="O768" s="12"/>
      <c r="S768" s="10"/>
    </row>
    <row r="769" spans="1:19" s="8" customFormat="1" x14ac:dyDescent="0.2">
      <c r="A769" s="2"/>
      <c r="B769" s="10"/>
      <c r="K769" s="2"/>
      <c r="L769" s="2"/>
      <c r="N769" s="10"/>
      <c r="O769" s="12"/>
      <c r="S769" s="10"/>
    </row>
    <row r="770" spans="1:19" s="8" customFormat="1" x14ac:dyDescent="0.2">
      <c r="A770" s="2"/>
      <c r="B770" s="10"/>
      <c r="K770" s="2"/>
      <c r="L770" s="2"/>
      <c r="N770" s="10"/>
      <c r="O770" s="12"/>
      <c r="S770" s="10"/>
    </row>
    <row r="771" spans="1:19" s="8" customFormat="1" x14ac:dyDescent="0.2">
      <c r="A771" s="2"/>
      <c r="B771" s="10"/>
      <c r="K771" s="2"/>
      <c r="L771" s="2"/>
      <c r="N771" s="10"/>
      <c r="O771" s="12"/>
      <c r="S771" s="10"/>
    </row>
    <row r="772" spans="1:19" s="8" customFormat="1" x14ac:dyDescent="0.2">
      <c r="A772" s="2"/>
      <c r="B772" s="10"/>
      <c r="K772" s="2"/>
      <c r="L772" s="2"/>
      <c r="N772" s="10"/>
      <c r="O772" s="12"/>
      <c r="S772" s="10"/>
    </row>
    <row r="773" spans="1:19" s="8" customFormat="1" x14ac:dyDescent="0.2">
      <c r="A773" s="2"/>
      <c r="B773" s="10"/>
      <c r="K773" s="2"/>
      <c r="L773" s="2"/>
      <c r="N773" s="10"/>
      <c r="O773" s="12"/>
      <c r="S773" s="10"/>
    </row>
    <row r="774" spans="1:19" s="8" customFormat="1" x14ac:dyDescent="0.2">
      <c r="A774" s="2"/>
      <c r="B774" s="10"/>
      <c r="K774" s="2"/>
      <c r="L774" s="2"/>
      <c r="N774" s="10"/>
      <c r="O774" s="12"/>
      <c r="S774" s="10"/>
    </row>
    <row r="775" spans="1:19" s="8" customFormat="1" x14ac:dyDescent="0.2">
      <c r="A775" s="2"/>
      <c r="B775" s="10"/>
      <c r="K775" s="2"/>
      <c r="L775" s="2"/>
      <c r="N775" s="10"/>
      <c r="O775" s="12"/>
      <c r="S775" s="10"/>
    </row>
    <row r="776" spans="1:19" s="8" customFormat="1" x14ac:dyDescent="0.2">
      <c r="A776" s="2"/>
      <c r="B776" s="10"/>
      <c r="K776" s="2"/>
      <c r="L776" s="2"/>
      <c r="N776" s="10"/>
      <c r="O776" s="12"/>
      <c r="S776" s="10"/>
    </row>
    <row r="777" spans="1:19" s="8" customFormat="1" x14ac:dyDescent="0.2">
      <c r="A777" s="2"/>
      <c r="B777" s="10"/>
      <c r="K777" s="2"/>
      <c r="L777" s="2"/>
      <c r="N777" s="10"/>
      <c r="O777" s="12"/>
      <c r="S777" s="10"/>
    </row>
    <row r="778" spans="1:19" s="8" customFormat="1" x14ac:dyDescent="0.2">
      <c r="A778" s="2"/>
      <c r="B778" s="10"/>
      <c r="K778" s="2"/>
      <c r="L778" s="2"/>
      <c r="N778" s="10"/>
      <c r="O778" s="12"/>
      <c r="S778" s="10"/>
    </row>
    <row r="779" spans="1:19" s="8" customFormat="1" x14ac:dyDescent="0.2">
      <c r="A779" s="2"/>
      <c r="B779" s="10"/>
      <c r="K779" s="2"/>
      <c r="L779" s="2"/>
      <c r="N779" s="10"/>
      <c r="O779" s="12"/>
      <c r="S779" s="10"/>
    </row>
    <row r="780" spans="1:19" s="8" customFormat="1" x14ac:dyDescent="0.2">
      <c r="A780" s="2"/>
      <c r="B780" s="10"/>
      <c r="K780" s="2"/>
      <c r="L780" s="2"/>
      <c r="N780" s="10"/>
      <c r="O780" s="12"/>
      <c r="S780" s="10"/>
    </row>
    <row r="781" spans="1:19" s="8" customFormat="1" x14ac:dyDescent="0.2">
      <c r="A781" s="2"/>
      <c r="B781" s="10"/>
      <c r="K781" s="2"/>
      <c r="L781" s="2"/>
      <c r="N781" s="10"/>
      <c r="O781" s="12"/>
      <c r="S781" s="10"/>
    </row>
    <row r="782" spans="1:19" s="8" customFormat="1" x14ac:dyDescent="0.2">
      <c r="A782" s="2"/>
      <c r="B782" s="10"/>
      <c r="K782" s="2"/>
      <c r="L782" s="2"/>
      <c r="N782" s="10"/>
      <c r="O782" s="12"/>
      <c r="S782" s="10"/>
    </row>
    <row r="783" spans="1:19" s="8" customFormat="1" x14ac:dyDescent="0.2">
      <c r="A783" s="2"/>
      <c r="B783" s="10"/>
      <c r="K783" s="2"/>
      <c r="L783" s="2"/>
      <c r="N783" s="10"/>
      <c r="O783" s="12"/>
      <c r="S783" s="10"/>
    </row>
    <row r="784" spans="1:19" s="8" customFormat="1" x14ac:dyDescent="0.2">
      <c r="A784" s="2"/>
      <c r="B784" s="10"/>
      <c r="K784" s="2"/>
      <c r="L784" s="2"/>
      <c r="N784" s="10"/>
      <c r="O784" s="12"/>
      <c r="S784" s="10"/>
    </row>
    <row r="785" spans="1:19" s="8" customFormat="1" x14ac:dyDescent="0.2">
      <c r="A785" s="2"/>
      <c r="B785" s="10"/>
      <c r="K785" s="2"/>
      <c r="L785" s="2"/>
      <c r="N785" s="10"/>
      <c r="O785" s="12"/>
      <c r="S785" s="10"/>
    </row>
    <row r="786" spans="1:19" s="8" customFormat="1" x14ac:dyDescent="0.2">
      <c r="A786" s="2"/>
      <c r="B786" s="10"/>
      <c r="K786" s="2"/>
      <c r="L786" s="2"/>
      <c r="N786" s="10"/>
      <c r="O786" s="12"/>
      <c r="S786" s="10"/>
    </row>
    <row r="787" spans="1:19" s="8" customFormat="1" x14ac:dyDescent="0.2">
      <c r="A787" s="2"/>
      <c r="B787" s="10"/>
      <c r="K787" s="2"/>
      <c r="L787" s="2"/>
      <c r="N787" s="10"/>
      <c r="O787" s="12"/>
      <c r="S787" s="10"/>
    </row>
    <row r="788" spans="1:19" s="8" customFormat="1" x14ac:dyDescent="0.2">
      <c r="A788" s="2"/>
      <c r="B788" s="10"/>
      <c r="K788" s="2"/>
      <c r="L788" s="2"/>
      <c r="N788" s="10"/>
      <c r="O788" s="12"/>
      <c r="S788" s="10"/>
    </row>
    <row r="789" spans="1:19" s="8" customFormat="1" x14ac:dyDescent="0.2">
      <c r="A789" s="2"/>
      <c r="B789" s="10"/>
      <c r="K789" s="2"/>
      <c r="L789" s="2"/>
      <c r="N789" s="10"/>
      <c r="O789" s="12"/>
      <c r="S789" s="10"/>
    </row>
    <row r="790" spans="1:19" s="8" customFormat="1" x14ac:dyDescent="0.2">
      <c r="A790" s="2"/>
      <c r="B790" s="10"/>
      <c r="K790" s="2"/>
      <c r="L790" s="2"/>
      <c r="N790" s="10"/>
      <c r="O790" s="12"/>
      <c r="S790" s="10"/>
    </row>
    <row r="791" spans="1:19" s="8" customFormat="1" x14ac:dyDescent="0.2">
      <c r="A791" s="2"/>
      <c r="B791" s="10"/>
      <c r="K791" s="2"/>
      <c r="L791" s="2"/>
      <c r="N791" s="10"/>
      <c r="O791" s="12"/>
      <c r="S791" s="10"/>
    </row>
    <row r="792" spans="1:19" s="8" customFormat="1" x14ac:dyDescent="0.2">
      <c r="A792" s="2"/>
      <c r="B792" s="10"/>
      <c r="K792" s="2"/>
      <c r="L792" s="2"/>
      <c r="N792" s="10"/>
      <c r="O792" s="12"/>
      <c r="S792" s="10"/>
    </row>
    <row r="793" spans="1:19" s="8" customFormat="1" x14ac:dyDescent="0.2">
      <c r="A793" s="2"/>
      <c r="B793" s="10"/>
      <c r="K793" s="2"/>
      <c r="L793" s="2"/>
      <c r="N793" s="10"/>
      <c r="O793" s="12"/>
      <c r="S793" s="10"/>
    </row>
    <row r="794" spans="1:19" s="8" customFormat="1" x14ac:dyDescent="0.2">
      <c r="A794" s="2"/>
      <c r="B794" s="10"/>
      <c r="K794" s="2"/>
      <c r="L794" s="2"/>
      <c r="N794" s="10"/>
      <c r="O794" s="12"/>
      <c r="S794" s="10"/>
    </row>
    <row r="795" spans="1:19" s="8" customFormat="1" x14ac:dyDescent="0.2">
      <c r="A795" s="2"/>
      <c r="B795" s="10"/>
      <c r="K795" s="2"/>
      <c r="L795" s="2"/>
      <c r="N795" s="10"/>
      <c r="O795" s="12"/>
      <c r="S795" s="10"/>
    </row>
    <row r="796" spans="1:19" s="8" customFormat="1" x14ac:dyDescent="0.2">
      <c r="A796" s="2"/>
      <c r="B796" s="10"/>
      <c r="K796" s="2"/>
      <c r="L796" s="2"/>
      <c r="N796" s="10"/>
      <c r="O796" s="12"/>
      <c r="S796" s="10"/>
    </row>
    <row r="797" spans="1:19" s="8" customFormat="1" x14ac:dyDescent="0.2">
      <c r="A797" s="2"/>
      <c r="B797" s="10"/>
      <c r="K797" s="2"/>
      <c r="L797" s="2"/>
      <c r="N797" s="10"/>
      <c r="O797" s="12"/>
      <c r="S797" s="10"/>
    </row>
    <row r="798" spans="1:19" s="8" customFormat="1" x14ac:dyDescent="0.2">
      <c r="A798" s="2"/>
      <c r="B798" s="10"/>
      <c r="K798" s="2"/>
      <c r="L798" s="2"/>
      <c r="N798" s="10"/>
      <c r="O798" s="12"/>
      <c r="S798" s="10"/>
    </row>
    <row r="799" spans="1:19" s="8" customFormat="1" x14ac:dyDescent="0.2">
      <c r="A799" s="2"/>
      <c r="B799" s="10"/>
      <c r="K799" s="2"/>
      <c r="L799" s="2"/>
      <c r="N799" s="10"/>
      <c r="O799" s="12"/>
      <c r="S799" s="10"/>
    </row>
    <row r="800" spans="1:19" s="8" customFormat="1" x14ac:dyDescent="0.2">
      <c r="A800" s="2"/>
      <c r="B800" s="10"/>
      <c r="K800" s="2"/>
      <c r="L800" s="2"/>
      <c r="N800" s="10"/>
      <c r="O800" s="12"/>
      <c r="S800" s="10"/>
    </row>
    <row r="801" spans="1:19" s="8" customFormat="1" x14ac:dyDescent="0.2">
      <c r="A801" s="2"/>
      <c r="B801" s="10"/>
      <c r="K801" s="2"/>
      <c r="L801" s="2"/>
      <c r="N801" s="10"/>
      <c r="O801" s="12"/>
      <c r="S801" s="10"/>
    </row>
    <row r="802" spans="1:19" s="8" customFormat="1" x14ac:dyDescent="0.2">
      <c r="A802" s="2"/>
      <c r="B802" s="10"/>
      <c r="K802" s="2"/>
      <c r="L802" s="2"/>
      <c r="N802" s="10"/>
      <c r="O802" s="12"/>
      <c r="S802" s="10"/>
    </row>
    <row r="803" spans="1:19" s="8" customFormat="1" x14ac:dyDescent="0.2">
      <c r="A803" s="2"/>
      <c r="B803" s="10"/>
      <c r="K803" s="2"/>
      <c r="L803" s="2"/>
      <c r="N803" s="10"/>
      <c r="O803" s="12"/>
      <c r="S803" s="10"/>
    </row>
    <row r="804" spans="1:19" s="8" customFormat="1" x14ac:dyDescent="0.2">
      <c r="A804" s="2"/>
      <c r="B804" s="10"/>
      <c r="K804" s="2"/>
      <c r="L804" s="2"/>
      <c r="N804" s="10"/>
      <c r="O804" s="12"/>
      <c r="S804" s="10"/>
    </row>
    <row r="805" spans="1:19" s="8" customFormat="1" x14ac:dyDescent="0.2">
      <c r="A805" s="2"/>
      <c r="B805" s="10"/>
      <c r="K805" s="2"/>
      <c r="L805" s="2"/>
      <c r="N805" s="10"/>
      <c r="O805" s="12"/>
      <c r="S805" s="10"/>
    </row>
    <row r="806" spans="1:19" s="8" customFormat="1" x14ac:dyDescent="0.2">
      <c r="A806" s="2"/>
      <c r="B806" s="10"/>
      <c r="K806" s="2"/>
      <c r="L806" s="2"/>
      <c r="N806" s="10"/>
      <c r="O806" s="12"/>
      <c r="S806" s="10"/>
    </row>
    <row r="807" spans="1:19" s="8" customFormat="1" x14ac:dyDescent="0.2">
      <c r="A807" s="2"/>
      <c r="B807" s="10"/>
      <c r="K807" s="2"/>
      <c r="L807" s="2"/>
      <c r="N807" s="10"/>
      <c r="O807" s="12"/>
      <c r="S807" s="10"/>
    </row>
    <row r="808" spans="1:19" s="8" customFormat="1" x14ac:dyDescent="0.2">
      <c r="A808" s="2"/>
      <c r="B808" s="10"/>
      <c r="K808" s="2"/>
      <c r="L808" s="2"/>
      <c r="N808" s="10"/>
      <c r="O808" s="12"/>
      <c r="S808" s="10"/>
    </row>
    <row r="809" spans="1:19" s="8" customFormat="1" x14ac:dyDescent="0.2">
      <c r="A809" s="2"/>
      <c r="B809" s="10"/>
      <c r="K809" s="2"/>
      <c r="L809" s="2"/>
      <c r="N809" s="10"/>
      <c r="O809" s="12"/>
      <c r="S809" s="10"/>
    </row>
    <row r="810" spans="1:19" s="8" customFormat="1" x14ac:dyDescent="0.2">
      <c r="A810" s="2"/>
      <c r="B810" s="10"/>
      <c r="K810" s="2"/>
      <c r="L810" s="2"/>
      <c r="N810" s="10"/>
      <c r="O810" s="12"/>
      <c r="S810" s="10"/>
    </row>
    <row r="811" spans="1:19" s="8" customFormat="1" x14ac:dyDescent="0.2">
      <c r="A811" s="2"/>
      <c r="B811" s="10"/>
      <c r="K811" s="2"/>
      <c r="L811" s="2"/>
      <c r="N811" s="10"/>
      <c r="O811" s="12"/>
      <c r="S811" s="10"/>
    </row>
    <row r="812" spans="1:19" s="8" customFormat="1" x14ac:dyDescent="0.2">
      <c r="A812" s="2"/>
      <c r="B812" s="10"/>
      <c r="K812" s="2"/>
      <c r="L812" s="2"/>
      <c r="N812" s="10"/>
      <c r="O812" s="12"/>
      <c r="S812" s="10"/>
    </row>
    <row r="813" spans="1:19" s="8" customFormat="1" x14ac:dyDescent="0.2">
      <c r="A813" s="2"/>
      <c r="B813" s="10"/>
      <c r="K813" s="2"/>
      <c r="L813" s="2"/>
      <c r="N813" s="10"/>
      <c r="O813" s="12"/>
      <c r="S813" s="10"/>
    </row>
    <row r="814" spans="1:19" s="8" customFormat="1" x14ac:dyDescent="0.2">
      <c r="A814" s="2"/>
      <c r="B814" s="10"/>
      <c r="K814" s="2"/>
      <c r="L814" s="2"/>
      <c r="N814" s="10"/>
      <c r="O814" s="12"/>
      <c r="S814" s="10"/>
    </row>
    <row r="815" spans="1:19" s="8" customFormat="1" x14ac:dyDescent="0.2">
      <c r="A815" s="2"/>
      <c r="B815" s="10"/>
      <c r="K815" s="2"/>
      <c r="L815" s="2"/>
      <c r="N815" s="10"/>
      <c r="O815" s="12"/>
      <c r="S815" s="10"/>
    </row>
    <row r="816" spans="1:19" s="8" customFormat="1" x14ac:dyDescent="0.2">
      <c r="A816" s="2"/>
      <c r="B816" s="10"/>
      <c r="K816" s="2"/>
      <c r="L816" s="2"/>
      <c r="N816" s="10"/>
      <c r="O816" s="12"/>
      <c r="S816" s="10"/>
    </row>
    <row r="817" spans="1:19" s="8" customFormat="1" x14ac:dyDescent="0.2">
      <c r="A817" s="2"/>
      <c r="B817" s="10"/>
      <c r="K817" s="2"/>
      <c r="L817" s="2"/>
      <c r="N817" s="10"/>
      <c r="O817" s="12"/>
      <c r="S817" s="10"/>
    </row>
    <row r="818" spans="1:19" s="8" customFormat="1" x14ac:dyDescent="0.2">
      <c r="A818" s="2"/>
      <c r="B818" s="10"/>
      <c r="K818" s="2"/>
      <c r="L818" s="2"/>
      <c r="N818" s="10"/>
      <c r="O818" s="12"/>
      <c r="S818" s="10"/>
    </row>
    <row r="819" spans="1:19" s="8" customFormat="1" x14ac:dyDescent="0.2">
      <c r="A819" s="2"/>
      <c r="B819" s="10"/>
      <c r="K819" s="2"/>
      <c r="L819" s="2"/>
      <c r="N819" s="10"/>
      <c r="O819" s="12"/>
      <c r="S819" s="10"/>
    </row>
    <row r="820" spans="1:19" s="8" customFormat="1" x14ac:dyDescent="0.2">
      <c r="A820" s="2"/>
      <c r="B820" s="10"/>
      <c r="K820" s="2"/>
      <c r="L820" s="2"/>
      <c r="N820" s="10"/>
      <c r="O820" s="12"/>
      <c r="S820" s="10"/>
    </row>
    <row r="821" spans="1:19" s="8" customFormat="1" x14ac:dyDescent="0.2">
      <c r="A821" s="2"/>
      <c r="B821" s="10"/>
      <c r="K821" s="2"/>
      <c r="L821" s="2"/>
      <c r="N821" s="10"/>
      <c r="O821" s="12"/>
      <c r="S821" s="10"/>
    </row>
    <row r="822" spans="1:19" s="8" customFormat="1" x14ac:dyDescent="0.2">
      <c r="A822" s="2"/>
      <c r="B822" s="10"/>
      <c r="K822" s="2"/>
      <c r="L822" s="2"/>
      <c r="N822" s="10"/>
      <c r="O822" s="12"/>
      <c r="S822" s="10"/>
    </row>
    <row r="823" spans="1:19" s="8" customFormat="1" x14ac:dyDescent="0.2">
      <c r="A823" s="2"/>
      <c r="B823" s="10"/>
      <c r="K823" s="2"/>
      <c r="L823" s="2"/>
      <c r="N823" s="10"/>
      <c r="O823" s="12"/>
      <c r="S823" s="10"/>
    </row>
    <row r="824" spans="1:19" s="8" customFormat="1" x14ac:dyDescent="0.2">
      <c r="A824" s="2"/>
      <c r="B824" s="10"/>
      <c r="K824" s="2"/>
      <c r="L824" s="2"/>
      <c r="N824" s="10"/>
      <c r="O824" s="12"/>
      <c r="S824" s="10"/>
    </row>
    <row r="825" spans="1:19" s="8" customFormat="1" x14ac:dyDescent="0.2">
      <c r="A825" s="2"/>
      <c r="B825" s="10"/>
      <c r="K825" s="2"/>
      <c r="L825" s="2"/>
      <c r="N825" s="10"/>
      <c r="O825" s="12"/>
      <c r="S825" s="10"/>
    </row>
    <row r="826" spans="1:19" s="8" customFormat="1" x14ac:dyDescent="0.2">
      <c r="A826" s="2"/>
      <c r="B826" s="10"/>
      <c r="K826" s="2"/>
      <c r="L826" s="2"/>
      <c r="N826" s="10"/>
      <c r="O826" s="12"/>
      <c r="S826" s="10"/>
    </row>
    <row r="827" spans="1:19" s="8" customFormat="1" x14ac:dyDescent="0.2">
      <c r="A827" s="2"/>
      <c r="B827" s="10"/>
      <c r="K827" s="2"/>
      <c r="L827" s="2"/>
      <c r="N827" s="10"/>
      <c r="O827" s="12"/>
      <c r="S827" s="10"/>
    </row>
    <row r="828" spans="1:19" s="8" customFormat="1" x14ac:dyDescent="0.2">
      <c r="A828" s="2"/>
      <c r="B828" s="10"/>
      <c r="K828" s="2"/>
      <c r="L828" s="2"/>
      <c r="N828" s="10"/>
      <c r="O828" s="12"/>
      <c r="S828" s="10"/>
    </row>
    <row r="829" spans="1:19" s="8" customFormat="1" x14ac:dyDescent="0.2">
      <c r="A829" s="2"/>
      <c r="B829" s="10"/>
      <c r="K829" s="2"/>
      <c r="L829" s="2"/>
      <c r="N829" s="10"/>
      <c r="O829" s="12"/>
      <c r="S829" s="10"/>
    </row>
    <row r="830" spans="1:19" s="8" customFormat="1" x14ac:dyDescent="0.2">
      <c r="A830" s="2"/>
      <c r="B830" s="10"/>
      <c r="K830" s="2"/>
      <c r="L830" s="2"/>
      <c r="N830" s="10"/>
      <c r="O830" s="12"/>
      <c r="S830" s="10"/>
    </row>
    <row r="831" spans="1:19" s="8" customFormat="1" x14ac:dyDescent="0.2">
      <c r="A831" s="2"/>
      <c r="B831" s="10"/>
      <c r="K831" s="2"/>
      <c r="L831" s="2"/>
      <c r="N831" s="10"/>
      <c r="O831" s="12"/>
      <c r="S831" s="10"/>
    </row>
    <row r="832" spans="1:19" s="8" customFormat="1" x14ac:dyDescent="0.2">
      <c r="A832" s="2"/>
      <c r="B832" s="10"/>
      <c r="K832" s="2"/>
      <c r="L832" s="2"/>
      <c r="N832" s="10"/>
      <c r="O832" s="12"/>
      <c r="S832" s="10"/>
    </row>
    <row r="833" spans="1:19" s="8" customFormat="1" x14ac:dyDescent="0.2">
      <c r="A833" s="2"/>
      <c r="B833" s="10"/>
      <c r="K833" s="2"/>
      <c r="L833" s="2"/>
      <c r="N833" s="10"/>
      <c r="O833" s="12"/>
      <c r="S833" s="10"/>
    </row>
    <row r="834" spans="1:19" s="8" customFormat="1" x14ac:dyDescent="0.2">
      <c r="A834" s="2"/>
      <c r="B834" s="10"/>
      <c r="K834" s="2"/>
      <c r="L834" s="2"/>
      <c r="N834" s="10"/>
      <c r="O834" s="12"/>
      <c r="S834" s="10"/>
    </row>
    <row r="835" spans="1:19" s="8" customFormat="1" x14ac:dyDescent="0.2">
      <c r="A835" s="2"/>
      <c r="B835" s="10"/>
      <c r="K835" s="2"/>
      <c r="L835" s="2"/>
      <c r="N835" s="10"/>
      <c r="O835" s="12"/>
      <c r="S835" s="10"/>
    </row>
    <row r="836" spans="1:19" s="8" customFormat="1" x14ac:dyDescent="0.2">
      <c r="A836" s="2"/>
      <c r="B836" s="10"/>
      <c r="K836" s="2"/>
      <c r="L836" s="2"/>
      <c r="N836" s="10"/>
      <c r="O836" s="12"/>
      <c r="S836" s="10"/>
    </row>
    <row r="837" spans="1:19" s="8" customFormat="1" x14ac:dyDescent="0.2">
      <c r="A837" s="2"/>
      <c r="B837" s="10"/>
      <c r="K837" s="2"/>
      <c r="L837" s="2"/>
      <c r="N837" s="10"/>
      <c r="O837" s="12"/>
      <c r="S837" s="10"/>
    </row>
    <row r="838" spans="1:19" s="8" customFormat="1" x14ac:dyDescent="0.2">
      <c r="A838" s="2"/>
      <c r="B838" s="10"/>
      <c r="K838" s="2"/>
      <c r="L838" s="2"/>
      <c r="N838" s="10"/>
      <c r="O838" s="12"/>
      <c r="S838" s="10"/>
    </row>
    <row r="839" spans="1:19" s="8" customFormat="1" x14ac:dyDescent="0.2">
      <c r="A839" s="2"/>
      <c r="B839" s="10"/>
      <c r="K839" s="2"/>
      <c r="L839" s="2"/>
      <c r="N839" s="10"/>
      <c r="O839" s="12"/>
      <c r="S839" s="10"/>
    </row>
    <row r="840" spans="1:19" s="8" customFormat="1" x14ac:dyDescent="0.2">
      <c r="A840" s="2"/>
      <c r="B840" s="10"/>
      <c r="K840" s="2"/>
      <c r="L840" s="2"/>
      <c r="N840" s="10"/>
      <c r="O840" s="12"/>
      <c r="S840" s="10"/>
    </row>
    <row r="841" spans="1:19" s="8" customFormat="1" x14ac:dyDescent="0.2">
      <c r="A841" s="2"/>
      <c r="B841" s="10"/>
      <c r="K841" s="2"/>
      <c r="L841" s="2"/>
      <c r="N841" s="10"/>
      <c r="O841" s="12"/>
      <c r="S841" s="10"/>
    </row>
    <row r="842" spans="1:19" s="8" customFormat="1" x14ac:dyDescent="0.2">
      <c r="A842" s="2"/>
      <c r="B842" s="10"/>
      <c r="K842" s="2"/>
      <c r="L842" s="2"/>
      <c r="N842" s="10"/>
      <c r="O842" s="12"/>
      <c r="S842" s="10"/>
    </row>
    <row r="843" spans="1:19" s="8" customFormat="1" x14ac:dyDescent="0.2">
      <c r="A843" s="2"/>
      <c r="B843" s="10"/>
      <c r="K843" s="2"/>
      <c r="L843" s="2"/>
      <c r="N843" s="10"/>
      <c r="O843" s="12"/>
      <c r="S843" s="10"/>
    </row>
    <row r="844" spans="1:19" s="8" customFormat="1" x14ac:dyDescent="0.2">
      <c r="A844" s="2"/>
      <c r="B844" s="10"/>
      <c r="K844" s="2"/>
      <c r="L844" s="2"/>
      <c r="N844" s="10"/>
      <c r="O844" s="12"/>
      <c r="S844" s="10"/>
    </row>
    <row r="845" spans="1:19" s="8" customFormat="1" x14ac:dyDescent="0.2">
      <c r="A845" s="2"/>
      <c r="B845" s="10"/>
      <c r="K845" s="2"/>
      <c r="L845" s="2"/>
      <c r="N845" s="10"/>
      <c r="O845" s="12"/>
      <c r="S845" s="10"/>
    </row>
    <row r="846" spans="1:19" s="8" customFormat="1" x14ac:dyDescent="0.2">
      <c r="A846" s="2"/>
      <c r="B846" s="10"/>
      <c r="K846" s="2"/>
      <c r="L846" s="2"/>
      <c r="N846" s="10"/>
      <c r="O846" s="12"/>
      <c r="S846" s="10"/>
    </row>
    <row r="847" spans="1:19" s="8" customFormat="1" x14ac:dyDescent="0.2">
      <c r="A847" s="2"/>
      <c r="B847" s="10"/>
      <c r="K847" s="2"/>
      <c r="L847" s="2"/>
      <c r="N847" s="10"/>
      <c r="O847" s="12"/>
      <c r="S847" s="10"/>
    </row>
    <row r="848" spans="1:19" s="8" customFormat="1" x14ac:dyDescent="0.2">
      <c r="A848" s="2"/>
      <c r="B848" s="10"/>
      <c r="K848" s="2"/>
      <c r="L848" s="2"/>
      <c r="N848" s="10"/>
      <c r="O848" s="12"/>
      <c r="S848" s="10"/>
    </row>
    <row r="849" spans="1:19" s="8" customFormat="1" x14ac:dyDescent="0.2">
      <c r="A849" s="2"/>
      <c r="B849" s="10"/>
      <c r="K849" s="2"/>
      <c r="L849" s="2"/>
      <c r="N849" s="10"/>
      <c r="O849" s="12"/>
      <c r="S849" s="10"/>
    </row>
    <row r="850" spans="1:19" s="8" customFormat="1" x14ac:dyDescent="0.2">
      <c r="A850" s="2"/>
      <c r="B850" s="10"/>
      <c r="K850" s="2"/>
      <c r="L850" s="2"/>
      <c r="N850" s="10"/>
      <c r="O850" s="12"/>
      <c r="S850" s="10"/>
    </row>
    <row r="851" spans="1:19" s="8" customFormat="1" x14ac:dyDescent="0.2">
      <c r="A851" s="2"/>
      <c r="B851" s="10"/>
      <c r="K851" s="2"/>
      <c r="L851" s="2"/>
      <c r="N851" s="10"/>
      <c r="O851" s="12"/>
      <c r="S851" s="10"/>
    </row>
    <row r="852" spans="1:19" s="8" customFormat="1" x14ac:dyDescent="0.2">
      <c r="A852" s="2"/>
      <c r="B852" s="10"/>
      <c r="K852" s="2"/>
      <c r="L852" s="2"/>
      <c r="N852" s="10"/>
      <c r="O852" s="12"/>
      <c r="S852" s="10"/>
    </row>
    <row r="853" spans="1:19" s="8" customFormat="1" x14ac:dyDescent="0.2">
      <c r="A853" s="2"/>
      <c r="B853" s="10"/>
      <c r="K853" s="2"/>
      <c r="L853" s="2"/>
      <c r="N853" s="10"/>
      <c r="O853" s="12"/>
      <c r="S853" s="10"/>
    </row>
    <row r="854" spans="1:19" s="8" customFormat="1" x14ac:dyDescent="0.2">
      <c r="A854" s="2"/>
      <c r="B854" s="10"/>
      <c r="K854" s="2"/>
      <c r="L854" s="2"/>
      <c r="N854" s="10"/>
      <c r="O854" s="12"/>
      <c r="S854" s="10"/>
    </row>
    <row r="855" spans="1:19" s="8" customFormat="1" x14ac:dyDescent="0.2">
      <c r="A855" s="2"/>
      <c r="B855" s="10"/>
      <c r="K855" s="2"/>
      <c r="L855" s="2"/>
      <c r="N855" s="10"/>
      <c r="O855" s="12"/>
      <c r="S855" s="10"/>
    </row>
    <row r="856" spans="1:19" s="8" customFormat="1" x14ac:dyDescent="0.2">
      <c r="A856" s="2"/>
      <c r="B856" s="10"/>
      <c r="K856" s="2"/>
      <c r="L856" s="2"/>
      <c r="N856" s="10"/>
      <c r="O856" s="12"/>
      <c r="S856" s="10"/>
    </row>
    <row r="857" spans="1:19" s="8" customFormat="1" x14ac:dyDescent="0.2">
      <c r="A857" s="2"/>
      <c r="B857" s="10"/>
      <c r="K857" s="2"/>
      <c r="L857" s="2"/>
      <c r="N857" s="10"/>
      <c r="O857" s="12"/>
      <c r="S857" s="10"/>
    </row>
    <row r="858" spans="1:19" s="8" customFormat="1" x14ac:dyDescent="0.2">
      <c r="A858" s="2"/>
      <c r="B858" s="10"/>
      <c r="K858" s="2"/>
      <c r="L858" s="2"/>
      <c r="N858" s="10"/>
      <c r="O858" s="12"/>
      <c r="S858" s="10"/>
    </row>
    <row r="859" spans="1:19" s="8" customFormat="1" x14ac:dyDescent="0.2">
      <c r="A859" s="2"/>
      <c r="B859" s="10"/>
      <c r="K859" s="2"/>
      <c r="L859" s="2"/>
      <c r="N859" s="10"/>
      <c r="O859" s="12"/>
      <c r="S859" s="10"/>
    </row>
    <row r="860" spans="1:19" s="8" customFormat="1" x14ac:dyDescent="0.2">
      <c r="A860" s="2"/>
      <c r="B860" s="10"/>
      <c r="K860" s="2"/>
      <c r="L860" s="2"/>
      <c r="N860" s="10"/>
      <c r="O860" s="12"/>
      <c r="S860" s="10"/>
    </row>
    <row r="861" spans="1:19" s="8" customFormat="1" x14ac:dyDescent="0.2">
      <c r="A861" s="2"/>
      <c r="B861" s="10"/>
      <c r="K861" s="2"/>
      <c r="L861" s="2"/>
      <c r="N861" s="10"/>
      <c r="O861" s="12"/>
      <c r="S861" s="10"/>
    </row>
    <row r="862" spans="1:19" s="8" customFormat="1" x14ac:dyDescent="0.2">
      <c r="A862" s="2"/>
      <c r="B862" s="10"/>
      <c r="K862" s="2"/>
      <c r="L862" s="2"/>
      <c r="N862" s="10"/>
      <c r="O862" s="12"/>
      <c r="S862" s="10"/>
    </row>
    <row r="863" spans="1:19" s="8" customFormat="1" x14ac:dyDescent="0.2">
      <c r="A863" s="2"/>
      <c r="B863" s="10"/>
      <c r="K863" s="2"/>
      <c r="L863" s="2"/>
      <c r="N863" s="10"/>
      <c r="O863" s="12"/>
      <c r="S863" s="10"/>
    </row>
    <row r="864" spans="1:19" s="8" customFormat="1" x14ac:dyDescent="0.2">
      <c r="A864" s="2"/>
      <c r="B864" s="10"/>
      <c r="K864" s="2"/>
      <c r="L864" s="2"/>
      <c r="N864" s="10"/>
      <c r="O864" s="12"/>
      <c r="S864" s="10"/>
    </row>
    <row r="865" spans="1:19" s="8" customFormat="1" x14ac:dyDescent="0.2">
      <c r="A865" s="2"/>
      <c r="B865" s="10"/>
      <c r="K865" s="2"/>
      <c r="L865" s="2"/>
      <c r="N865" s="10"/>
      <c r="O865" s="12"/>
      <c r="S865" s="10"/>
    </row>
    <row r="866" spans="1:19" s="8" customFormat="1" x14ac:dyDescent="0.2">
      <c r="A866" s="2"/>
      <c r="B866" s="10"/>
      <c r="K866" s="2"/>
      <c r="L866" s="2"/>
      <c r="N866" s="10"/>
      <c r="O866" s="12"/>
      <c r="S866" s="10"/>
    </row>
    <row r="867" spans="1:19" s="8" customFormat="1" x14ac:dyDescent="0.2">
      <c r="A867" s="2"/>
      <c r="B867" s="10"/>
      <c r="K867" s="2"/>
      <c r="L867" s="2"/>
      <c r="N867" s="10"/>
      <c r="O867" s="12"/>
      <c r="S867" s="10"/>
    </row>
    <row r="868" spans="1:19" s="8" customFormat="1" x14ac:dyDescent="0.2">
      <c r="A868" s="2"/>
      <c r="B868" s="10"/>
      <c r="K868" s="2"/>
      <c r="L868" s="2"/>
      <c r="N868" s="10"/>
      <c r="O868" s="12"/>
      <c r="S868" s="10"/>
    </row>
    <row r="869" spans="1:19" s="8" customFormat="1" x14ac:dyDescent="0.2">
      <c r="A869" s="2"/>
      <c r="B869" s="10"/>
      <c r="K869" s="2"/>
      <c r="L869" s="2"/>
      <c r="N869" s="10"/>
      <c r="O869" s="12"/>
      <c r="S869" s="10"/>
    </row>
    <row r="870" spans="1:19" s="8" customFormat="1" x14ac:dyDescent="0.2">
      <c r="A870" s="2"/>
      <c r="B870" s="10"/>
      <c r="K870" s="2"/>
      <c r="L870" s="2"/>
      <c r="N870" s="10"/>
      <c r="O870" s="12"/>
      <c r="S870" s="10"/>
    </row>
    <row r="871" spans="1:19" s="8" customFormat="1" x14ac:dyDescent="0.2">
      <c r="A871" s="2"/>
      <c r="B871" s="10"/>
      <c r="K871" s="2"/>
      <c r="L871" s="2"/>
      <c r="N871" s="10"/>
      <c r="O871" s="12"/>
      <c r="S871" s="10"/>
    </row>
    <row r="872" spans="1:19" s="8" customFormat="1" x14ac:dyDescent="0.2">
      <c r="A872" s="2"/>
      <c r="B872" s="10"/>
      <c r="K872" s="2"/>
      <c r="L872" s="2"/>
      <c r="N872" s="10"/>
      <c r="O872" s="12"/>
      <c r="S872" s="10"/>
    </row>
    <row r="873" spans="1:19" s="8" customFormat="1" x14ac:dyDescent="0.2">
      <c r="A873" s="2"/>
      <c r="B873" s="10"/>
      <c r="K873" s="2"/>
      <c r="L873" s="2"/>
      <c r="N873" s="10"/>
      <c r="O873" s="12"/>
      <c r="S873" s="10"/>
    </row>
    <row r="874" spans="1:19" s="8" customFormat="1" x14ac:dyDescent="0.2">
      <c r="A874" s="2"/>
      <c r="B874" s="10"/>
      <c r="K874" s="2"/>
      <c r="L874" s="2"/>
      <c r="N874" s="10"/>
      <c r="O874" s="12"/>
      <c r="S874" s="10"/>
    </row>
    <row r="875" spans="1:19" s="8" customFormat="1" x14ac:dyDescent="0.2">
      <c r="A875" s="2"/>
      <c r="B875" s="10"/>
      <c r="K875" s="2"/>
      <c r="L875" s="2"/>
      <c r="N875" s="10"/>
      <c r="O875" s="12"/>
      <c r="S875" s="10"/>
    </row>
    <row r="876" spans="1:19" s="8" customFormat="1" x14ac:dyDescent="0.2">
      <c r="A876" s="2"/>
      <c r="B876" s="10"/>
      <c r="K876" s="2"/>
      <c r="L876" s="2"/>
      <c r="N876" s="10"/>
      <c r="O876" s="12"/>
      <c r="S876" s="10"/>
    </row>
    <row r="877" spans="1:19" s="8" customFormat="1" x14ac:dyDescent="0.2">
      <c r="A877" s="2"/>
      <c r="B877" s="10"/>
      <c r="K877" s="2"/>
      <c r="L877" s="2"/>
      <c r="N877" s="10"/>
      <c r="O877" s="12"/>
      <c r="S877" s="10"/>
    </row>
    <row r="878" spans="1:19" s="8" customFormat="1" x14ac:dyDescent="0.2">
      <c r="A878" s="2"/>
      <c r="B878" s="10"/>
      <c r="K878" s="2"/>
      <c r="L878" s="2"/>
      <c r="N878" s="10"/>
      <c r="O878" s="12"/>
      <c r="S878" s="10"/>
    </row>
    <row r="879" spans="1:19" s="8" customFormat="1" x14ac:dyDescent="0.2">
      <c r="A879" s="2"/>
      <c r="B879" s="10"/>
      <c r="K879" s="2"/>
      <c r="L879" s="2"/>
      <c r="N879" s="10"/>
      <c r="O879" s="12"/>
      <c r="S879" s="10"/>
    </row>
    <row r="880" spans="1:19" s="8" customFormat="1" x14ac:dyDescent="0.2">
      <c r="A880" s="2"/>
      <c r="B880" s="10"/>
      <c r="K880" s="2"/>
      <c r="L880" s="2"/>
      <c r="N880" s="10"/>
      <c r="O880" s="12"/>
      <c r="S880" s="10"/>
    </row>
    <row r="881" spans="1:19" s="8" customFormat="1" x14ac:dyDescent="0.2">
      <c r="A881" s="2"/>
      <c r="B881" s="10"/>
      <c r="K881" s="2"/>
      <c r="L881" s="2"/>
      <c r="N881" s="10"/>
      <c r="O881" s="12"/>
      <c r="S881" s="10"/>
    </row>
    <row r="882" spans="1:19" s="8" customFormat="1" x14ac:dyDescent="0.2">
      <c r="A882" s="2"/>
      <c r="B882" s="10"/>
      <c r="K882" s="2"/>
      <c r="L882" s="2"/>
      <c r="N882" s="10"/>
      <c r="O882" s="12"/>
      <c r="S882" s="10"/>
    </row>
    <row r="883" spans="1:19" s="8" customFormat="1" x14ac:dyDescent="0.2">
      <c r="A883" s="2"/>
      <c r="B883" s="10"/>
      <c r="K883" s="2"/>
      <c r="L883" s="2"/>
      <c r="N883" s="10"/>
      <c r="O883" s="12"/>
      <c r="S883" s="10"/>
    </row>
    <row r="884" spans="1:19" s="8" customFormat="1" x14ac:dyDescent="0.2">
      <c r="A884" s="2"/>
      <c r="B884" s="10"/>
      <c r="K884" s="2"/>
      <c r="L884" s="2"/>
      <c r="N884" s="10"/>
      <c r="O884" s="12"/>
      <c r="S884" s="10"/>
    </row>
    <row r="885" spans="1:19" s="8" customFormat="1" x14ac:dyDescent="0.2">
      <c r="A885" s="2"/>
      <c r="B885" s="10"/>
      <c r="K885" s="2"/>
      <c r="L885" s="2"/>
      <c r="N885" s="10"/>
      <c r="O885" s="12"/>
      <c r="S885" s="10"/>
    </row>
    <row r="886" spans="1:19" s="8" customFormat="1" x14ac:dyDescent="0.2">
      <c r="A886" s="2"/>
      <c r="B886" s="10"/>
      <c r="K886" s="2"/>
      <c r="L886" s="2"/>
      <c r="N886" s="10"/>
      <c r="O886" s="12"/>
      <c r="S886" s="10"/>
    </row>
    <row r="887" spans="1:19" s="8" customFormat="1" x14ac:dyDescent="0.2">
      <c r="A887" s="2"/>
      <c r="B887" s="10"/>
      <c r="K887" s="2"/>
      <c r="L887" s="2"/>
      <c r="N887" s="10"/>
      <c r="O887" s="12"/>
      <c r="S887" s="10"/>
    </row>
    <row r="888" spans="1:19" s="8" customFormat="1" x14ac:dyDescent="0.2">
      <c r="A888" s="2"/>
      <c r="B888" s="10"/>
      <c r="K888" s="2"/>
      <c r="L888" s="2"/>
      <c r="N888" s="10"/>
      <c r="O888" s="12"/>
      <c r="S888" s="10"/>
    </row>
    <row r="889" spans="1:19" s="8" customFormat="1" x14ac:dyDescent="0.2">
      <c r="A889" s="2"/>
      <c r="B889" s="10"/>
      <c r="K889" s="2"/>
      <c r="L889" s="2"/>
      <c r="N889" s="10"/>
      <c r="O889" s="12"/>
      <c r="S889" s="10"/>
    </row>
    <row r="890" spans="1:19" s="8" customFormat="1" x14ac:dyDescent="0.2">
      <c r="A890" s="2"/>
      <c r="B890" s="10"/>
      <c r="K890" s="2"/>
      <c r="L890" s="2"/>
      <c r="N890" s="10"/>
      <c r="O890" s="12"/>
      <c r="S890" s="10"/>
    </row>
    <row r="891" spans="1:19" s="8" customFormat="1" x14ac:dyDescent="0.2">
      <c r="A891" s="2"/>
      <c r="B891" s="10"/>
      <c r="K891" s="2"/>
      <c r="L891" s="2"/>
      <c r="N891" s="10"/>
      <c r="O891" s="12"/>
      <c r="S891" s="10"/>
    </row>
    <row r="892" spans="1:19" s="8" customFormat="1" x14ac:dyDescent="0.2">
      <c r="A892" s="2"/>
      <c r="B892" s="10"/>
      <c r="K892" s="2"/>
      <c r="L892" s="2"/>
      <c r="N892" s="10"/>
      <c r="O892" s="12"/>
      <c r="S892" s="10"/>
    </row>
    <row r="893" spans="1:19" s="8" customFormat="1" x14ac:dyDescent="0.2">
      <c r="A893" s="2"/>
      <c r="B893" s="10"/>
      <c r="K893" s="2"/>
      <c r="L893" s="2"/>
      <c r="N893" s="10"/>
      <c r="O893" s="12"/>
      <c r="S893" s="10"/>
    </row>
    <row r="894" spans="1:19" s="8" customFormat="1" x14ac:dyDescent="0.2">
      <c r="A894" s="2"/>
      <c r="B894" s="10"/>
      <c r="K894" s="2"/>
      <c r="L894" s="2"/>
      <c r="N894" s="10"/>
      <c r="O894" s="12"/>
      <c r="S894" s="10"/>
    </row>
    <row r="895" spans="1:19" s="8" customFormat="1" x14ac:dyDescent="0.2">
      <c r="A895" s="2"/>
      <c r="B895" s="10"/>
      <c r="K895" s="2"/>
      <c r="L895" s="2"/>
      <c r="N895" s="10"/>
      <c r="O895" s="12"/>
      <c r="S895" s="10"/>
    </row>
    <row r="896" spans="1:19" s="8" customFormat="1" x14ac:dyDescent="0.2">
      <c r="A896" s="2"/>
      <c r="B896" s="10"/>
      <c r="K896" s="2"/>
      <c r="L896" s="2"/>
      <c r="N896" s="10"/>
      <c r="O896" s="12"/>
      <c r="S896" s="10"/>
    </row>
    <row r="897" spans="1:19" s="8" customFormat="1" x14ac:dyDescent="0.2">
      <c r="A897" s="2"/>
      <c r="B897" s="10"/>
      <c r="K897" s="2"/>
      <c r="L897" s="2"/>
      <c r="N897" s="10"/>
      <c r="O897" s="12"/>
      <c r="S897" s="10"/>
    </row>
    <row r="898" spans="1:19" s="8" customFormat="1" x14ac:dyDescent="0.2">
      <c r="A898" s="2"/>
      <c r="B898" s="10"/>
      <c r="K898" s="2"/>
      <c r="L898" s="2"/>
      <c r="N898" s="10"/>
      <c r="O898" s="12"/>
      <c r="S898" s="10"/>
    </row>
    <row r="899" spans="1:19" s="8" customFormat="1" x14ac:dyDescent="0.2">
      <c r="A899" s="2"/>
      <c r="B899" s="10"/>
      <c r="K899" s="2"/>
      <c r="L899" s="2"/>
      <c r="N899" s="10"/>
      <c r="O899" s="12"/>
      <c r="S899" s="10"/>
    </row>
    <row r="900" spans="1:19" s="8" customFormat="1" x14ac:dyDescent="0.2">
      <c r="A900" s="2"/>
      <c r="B900" s="10"/>
      <c r="K900" s="2"/>
      <c r="L900" s="2"/>
      <c r="N900" s="10"/>
      <c r="O900" s="12"/>
      <c r="S900" s="10"/>
    </row>
    <row r="901" spans="1:19" s="8" customFormat="1" x14ac:dyDescent="0.2">
      <c r="A901" s="2"/>
      <c r="B901" s="10"/>
      <c r="K901" s="2"/>
      <c r="L901" s="2"/>
      <c r="N901" s="10"/>
      <c r="O901" s="12"/>
      <c r="S901" s="10"/>
    </row>
    <row r="902" spans="1:19" s="8" customFormat="1" x14ac:dyDescent="0.2">
      <c r="A902" s="2"/>
      <c r="B902" s="10"/>
      <c r="K902" s="2"/>
      <c r="L902" s="2"/>
      <c r="N902" s="10"/>
      <c r="O902" s="12"/>
      <c r="S902" s="10"/>
    </row>
    <row r="903" spans="1:19" s="8" customFormat="1" x14ac:dyDescent="0.2">
      <c r="A903" s="2"/>
      <c r="B903" s="10"/>
      <c r="K903" s="2"/>
      <c r="L903" s="2"/>
      <c r="N903" s="10"/>
      <c r="O903" s="12"/>
      <c r="S903" s="10"/>
    </row>
    <row r="904" spans="1:19" s="8" customFormat="1" x14ac:dyDescent="0.2">
      <c r="A904" s="2"/>
      <c r="B904" s="10"/>
      <c r="K904" s="2"/>
      <c r="L904" s="2"/>
      <c r="N904" s="10"/>
      <c r="O904" s="12"/>
      <c r="S904" s="10"/>
    </row>
    <row r="905" spans="1:19" s="8" customFormat="1" x14ac:dyDescent="0.2">
      <c r="A905" s="2"/>
      <c r="B905" s="10"/>
      <c r="K905" s="2"/>
      <c r="L905" s="2"/>
      <c r="N905" s="10"/>
      <c r="O905" s="12"/>
      <c r="S905" s="10"/>
    </row>
    <row r="906" spans="1:19" s="8" customFormat="1" x14ac:dyDescent="0.2">
      <c r="A906" s="2"/>
      <c r="B906" s="10"/>
      <c r="K906" s="2"/>
      <c r="L906" s="2"/>
      <c r="N906" s="10"/>
      <c r="O906" s="12"/>
      <c r="S906" s="10"/>
    </row>
    <row r="907" spans="1:19" s="8" customFormat="1" x14ac:dyDescent="0.2">
      <c r="A907" s="2"/>
      <c r="B907" s="10"/>
      <c r="K907" s="2"/>
      <c r="L907" s="2"/>
      <c r="N907" s="10"/>
      <c r="O907" s="12"/>
      <c r="S907" s="10"/>
    </row>
    <row r="908" spans="1:19" s="8" customFormat="1" x14ac:dyDescent="0.2">
      <c r="A908" s="2"/>
      <c r="B908" s="10"/>
      <c r="K908" s="2"/>
      <c r="L908" s="2"/>
      <c r="N908" s="10"/>
      <c r="O908" s="12"/>
      <c r="S908" s="10"/>
    </row>
    <row r="909" spans="1:19" s="8" customFormat="1" x14ac:dyDescent="0.2">
      <c r="A909" s="2"/>
      <c r="B909" s="10"/>
      <c r="K909" s="2"/>
      <c r="L909" s="2"/>
      <c r="N909" s="10"/>
      <c r="O909" s="12"/>
      <c r="S909" s="10"/>
    </row>
    <row r="910" spans="1:19" s="8" customFormat="1" x14ac:dyDescent="0.2">
      <c r="A910" s="2"/>
      <c r="B910" s="10"/>
      <c r="K910" s="2"/>
      <c r="L910" s="2"/>
      <c r="N910" s="10"/>
      <c r="O910" s="12"/>
      <c r="S910" s="10"/>
    </row>
    <row r="911" spans="1:19" s="8" customFormat="1" x14ac:dyDescent="0.2">
      <c r="A911" s="2"/>
      <c r="B911" s="10"/>
      <c r="K911" s="2"/>
      <c r="L911" s="2"/>
      <c r="N911" s="10"/>
      <c r="O911" s="12"/>
      <c r="S911" s="10"/>
    </row>
    <row r="912" spans="1:19" s="8" customFormat="1" x14ac:dyDescent="0.2">
      <c r="A912" s="2"/>
      <c r="B912" s="10"/>
      <c r="K912" s="2"/>
      <c r="L912" s="2"/>
      <c r="N912" s="10"/>
      <c r="O912" s="12"/>
      <c r="S912" s="10"/>
    </row>
    <row r="913" spans="1:19" s="8" customFormat="1" x14ac:dyDescent="0.2">
      <c r="A913" s="2"/>
      <c r="B913" s="10"/>
      <c r="K913" s="2"/>
      <c r="L913" s="2"/>
      <c r="N913" s="10"/>
      <c r="O913" s="12"/>
      <c r="S913" s="10"/>
    </row>
    <row r="914" spans="1:19" s="8" customFormat="1" x14ac:dyDescent="0.2">
      <c r="A914" s="2"/>
      <c r="B914" s="10"/>
      <c r="K914" s="2"/>
      <c r="L914" s="2"/>
      <c r="N914" s="10"/>
      <c r="O914" s="12"/>
      <c r="S914" s="10"/>
    </row>
    <row r="915" spans="1:19" s="8" customFormat="1" x14ac:dyDescent="0.2">
      <c r="A915" s="2"/>
      <c r="B915" s="10"/>
      <c r="K915" s="2"/>
      <c r="L915" s="2"/>
      <c r="N915" s="10"/>
      <c r="O915" s="12"/>
      <c r="S915" s="10"/>
    </row>
    <row r="916" spans="1:19" s="8" customFormat="1" x14ac:dyDescent="0.2">
      <c r="A916" s="2"/>
      <c r="B916" s="10"/>
      <c r="K916" s="2"/>
      <c r="L916" s="2"/>
      <c r="N916" s="10"/>
      <c r="O916" s="12"/>
      <c r="S916" s="10"/>
    </row>
    <row r="917" spans="1:19" s="8" customFormat="1" x14ac:dyDescent="0.2">
      <c r="A917" s="2"/>
      <c r="B917" s="10"/>
      <c r="K917" s="2"/>
      <c r="L917" s="2"/>
      <c r="N917" s="10"/>
      <c r="O917" s="12"/>
      <c r="S917" s="10"/>
    </row>
    <row r="918" spans="1:19" s="8" customFormat="1" x14ac:dyDescent="0.2">
      <c r="A918" s="2"/>
      <c r="B918" s="10"/>
      <c r="K918" s="2"/>
      <c r="L918" s="2"/>
      <c r="N918" s="10"/>
      <c r="O918" s="12"/>
      <c r="S918" s="10"/>
    </row>
    <row r="919" spans="1:19" s="8" customFormat="1" x14ac:dyDescent="0.2">
      <c r="A919" s="2"/>
      <c r="B919" s="10"/>
      <c r="K919" s="2"/>
      <c r="L919" s="2"/>
      <c r="N919" s="10"/>
      <c r="O919" s="12"/>
      <c r="S919" s="10"/>
    </row>
    <row r="920" spans="1:19" s="8" customFormat="1" x14ac:dyDescent="0.2">
      <c r="A920" s="2"/>
      <c r="B920" s="10"/>
      <c r="K920" s="2"/>
      <c r="L920" s="2"/>
      <c r="N920" s="10"/>
      <c r="O920" s="12"/>
      <c r="S920" s="10"/>
    </row>
    <row r="921" spans="1:19" s="8" customFormat="1" x14ac:dyDescent="0.2">
      <c r="A921" s="2"/>
      <c r="B921" s="10"/>
      <c r="K921" s="2"/>
      <c r="L921" s="2"/>
      <c r="N921" s="10"/>
      <c r="O921" s="12"/>
      <c r="S921" s="10"/>
    </row>
    <row r="922" spans="1:19" s="8" customFormat="1" x14ac:dyDescent="0.2">
      <c r="A922" s="2"/>
      <c r="B922" s="10"/>
      <c r="K922" s="2"/>
      <c r="L922" s="2"/>
      <c r="N922" s="10"/>
      <c r="O922" s="12"/>
      <c r="S922" s="10"/>
    </row>
    <row r="923" spans="1:19" s="8" customFormat="1" x14ac:dyDescent="0.2">
      <c r="A923" s="2"/>
      <c r="B923" s="10"/>
      <c r="K923" s="2"/>
      <c r="L923" s="2"/>
      <c r="N923" s="10"/>
      <c r="O923" s="12"/>
      <c r="S923" s="10"/>
    </row>
    <row r="924" spans="1:19" s="8" customFormat="1" x14ac:dyDescent="0.2">
      <c r="A924" s="2"/>
      <c r="B924" s="10"/>
      <c r="K924" s="2"/>
      <c r="L924" s="2"/>
      <c r="N924" s="10"/>
      <c r="O924" s="12"/>
      <c r="S924" s="10"/>
    </row>
    <row r="925" spans="1:19" s="8" customFormat="1" x14ac:dyDescent="0.2">
      <c r="A925" s="2"/>
      <c r="B925" s="10"/>
      <c r="K925" s="2"/>
      <c r="L925" s="2"/>
      <c r="N925" s="10"/>
      <c r="O925" s="12"/>
      <c r="S925" s="10"/>
    </row>
    <row r="926" spans="1:19" s="8" customFormat="1" x14ac:dyDescent="0.2">
      <c r="A926" s="2"/>
      <c r="B926" s="10"/>
      <c r="K926" s="2"/>
      <c r="L926" s="2"/>
      <c r="N926" s="10"/>
      <c r="O926" s="12"/>
      <c r="S926" s="10"/>
    </row>
    <row r="927" spans="1:19" s="8" customFormat="1" x14ac:dyDescent="0.2">
      <c r="A927" s="2"/>
      <c r="B927" s="10"/>
      <c r="K927" s="2"/>
      <c r="L927" s="2"/>
      <c r="N927" s="10"/>
      <c r="O927" s="12"/>
      <c r="S927" s="10"/>
    </row>
    <row r="928" spans="1:19" s="8" customFormat="1" x14ac:dyDescent="0.2">
      <c r="A928" s="2"/>
      <c r="B928" s="10"/>
      <c r="K928" s="2"/>
      <c r="L928" s="2"/>
      <c r="N928" s="10"/>
      <c r="O928" s="12"/>
      <c r="S928" s="10"/>
    </row>
    <row r="929" spans="1:19" s="8" customFormat="1" x14ac:dyDescent="0.2">
      <c r="A929" s="2"/>
      <c r="B929" s="10"/>
      <c r="K929" s="2"/>
      <c r="L929" s="2"/>
      <c r="N929" s="10"/>
      <c r="O929" s="12"/>
      <c r="S929" s="10"/>
    </row>
    <row r="930" spans="1:19" s="8" customFormat="1" x14ac:dyDescent="0.2">
      <c r="A930" s="2"/>
      <c r="B930" s="10"/>
      <c r="K930" s="2"/>
      <c r="L930" s="2"/>
      <c r="N930" s="10"/>
      <c r="O930" s="12"/>
      <c r="S930" s="10"/>
    </row>
    <row r="931" spans="1:19" s="8" customFormat="1" x14ac:dyDescent="0.2">
      <c r="A931" s="2"/>
      <c r="B931" s="10"/>
      <c r="K931" s="2"/>
      <c r="L931" s="2"/>
      <c r="N931" s="10"/>
      <c r="O931" s="12"/>
      <c r="S931" s="10"/>
    </row>
    <row r="932" spans="1:19" s="8" customFormat="1" x14ac:dyDescent="0.2">
      <c r="A932" s="2"/>
      <c r="B932" s="10"/>
      <c r="K932" s="2"/>
      <c r="L932" s="2"/>
      <c r="N932" s="10"/>
      <c r="O932" s="12"/>
      <c r="S932" s="10"/>
    </row>
    <row r="933" spans="1:19" s="8" customFormat="1" x14ac:dyDescent="0.2">
      <c r="A933" s="2"/>
      <c r="B933" s="10"/>
      <c r="K933" s="2"/>
      <c r="L933" s="2"/>
      <c r="N933" s="10"/>
      <c r="O933" s="12"/>
      <c r="S933" s="10"/>
    </row>
    <row r="934" spans="1:19" s="8" customFormat="1" x14ac:dyDescent="0.2">
      <c r="A934" s="2"/>
      <c r="B934" s="10"/>
      <c r="K934" s="2"/>
      <c r="L934" s="2"/>
      <c r="N934" s="10"/>
      <c r="O934" s="12"/>
      <c r="S934" s="10"/>
    </row>
    <row r="935" spans="1:19" s="8" customFormat="1" x14ac:dyDescent="0.2">
      <c r="A935" s="2"/>
      <c r="B935" s="10"/>
      <c r="K935" s="2"/>
      <c r="L935" s="2"/>
      <c r="N935" s="10"/>
      <c r="O935" s="12"/>
      <c r="S935" s="10"/>
    </row>
    <row r="936" spans="1:19" s="8" customFormat="1" x14ac:dyDescent="0.2">
      <c r="A936" s="2"/>
      <c r="B936" s="10"/>
      <c r="K936" s="2"/>
      <c r="L936" s="2"/>
      <c r="N936" s="10"/>
      <c r="O936" s="12"/>
      <c r="S936" s="10"/>
    </row>
    <row r="937" spans="1:19" s="8" customFormat="1" x14ac:dyDescent="0.2">
      <c r="A937" s="2"/>
      <c r="B937" s="10"/>
      <c r="K937" s="2"/>
      <c r="L937" s="2"/>
      <c r="N937" s="10"/>
      <c r="O937" s="12"/>
      <c r="S937" s="10"/>
    </row>
    <row r="938" spans="1:19" s="8" customFormat="1" x14ac:dyDescent="0.2">
      <c r="A938" s="2"/>
      <c r="B938" s="10"/>
      <c r="K938" s="2"/>
      <c r="L938" s="2"/>
      <c r="N938" s="10"/>
      <c r="O938" s="12"/>
      <c r="S938" s="10"/>
    </row>
    <row r="939" spans="1:19" s="8" customFormat="1" x14ac:dyDescent="0.2">
      <c r="A939" s="2"/>
      <c r="B939" s="10"/>
      <c r="K939" s="2"/>
      <c r="L939" s="2"/>
      <c r="N939" s="10"/>
      <c r="O939" s="12"/>
      <c r="S939" s="10"/>
    </row>
    <row r="940" spans="1:19" s="8" customFormat="1" x14ac:dyDescent="0.2">
      <c r="A940" s="2"/>
      <c r="B940" s="10"/>
      <c r="K940" s="2"/>
      <c r="L940" s="2"/>
      <c r="N940" s="10"/>
      <c r="O940" s="12"/>
      <c r="S940" s="10"/>
    </row>
    <row r="941" spans="1:19" s="8" customFormat="1" x14ac:dyDescent="0.2">
      <c r="A941" s="2"/>
      <c r="B941" s="10"/>
      <c r="K941" s="2"/>
      <c r="L941" s="2"/>
      <c r="N941" s="10"/>
      <c r="O941" s="12"/>
      <c r="S941" s="10"/>
    </row>
    <row r="942" spans="1:19" s="8" customFormat="1" x14ac:dyDescent="0.2">
      <c r="A942" s="2"/>
      <c r="B942" s="10"/>
      <c r="K942" s="2"/>
      <c r="L942" s="2"/>
      <c r="N942" s="10"/>
      <c r="O942" s="12"/>
      <c r="S942" s="10"/>
    </row>
    <row r="943" spans="1:19" s="8" customFormat="1" x14ac:dyDescent="0.2">
      <c r="A943" s="2"/>
      <c r="B943" s="10"/>
      <c r="K943" s="2"/>
      <c r="L943" s="2"/>
      <c r="N943" s="10"/>
      <c r="O943" s="12"/>
      <c r="S943" s="10"/>
    </row>
    <row r="944" spans="1:19" s="8" customFormat="1" x14ac:dyDescent="0.2">
      <c r="A944" s="2"/>
      <c r="B944" s="10"/>
      <c r="K944" s="2"/>
      <c r="L944" s="2"/>
      <c r="N944" s="10"/>
      <c r="O944" s="12"/>
      <c r="S944" s="10"/>
    </row>
    <row r="945" spans="1:19" s="8" customFormat="1" x14ac:dyDescent="0.2">
      <c r="A945" s="2"/>
      <c r="B945" s="10"/>
      <c r="K945" s="2"/>
      <c r="L945" s="2"/>
      <c r="N945" s="10"/>
      <c r="O945" s="12"/>
      <c r="S945" s="10"/>
    </row>
    <row r="946" spans="1:19" s="8" customFormat="1" x14ac:dyDescent="0.2">
      <c r="A946" s="2"/>
      <c r="B946" s="10"/>
      <c r="K946" s="2"/>
      <c r="L946" s="2"/>
      <c r="N946" s="10"/>
      <c r="O946" s="12"/>
      <c r="S946" s="10"/>
    </row>
    <row r="947" spans="1:19" s="8" customFormat="1" x14ac:dyDescent="0.2">
      <c r="A947" s="2"/>
      <c r="B947" s="10"/>
      <c r="K947" s="2"/>
      <c r="L947" s="2"/>
      <c r="N947" s="10"/>
      <c r="O947" s="12"/>
      <c r="S947" s="10"/>
    </row>
    <row r="948" spans="1:19" s="8" customFormat="1" x14ac:dyDescent="0.2">
      <c r="A948" s="2"/>
      <c r="B948" s="10"/>
      <c r="K948" s="2"/>
      <c r="L948" s="2"/>
      <c r="N948" s="10"/>
      <c r="O948" s="12"/>
      <c r="S948" s="10"/>
    </row>
    <row r="949" spans="1:19" s="8" customFormat="1" x14ac:dyDescent="0.2">
      <c r="A949" s="2"/>
      <c r="B949" s="10"/>
      <c r="K949" s="2"/>
      <c r="L949" s="2"/>
      <c r="N949" s="10"/>
      <c r="O949" s="12"/>
      <c r="S949" s="10"/>
    </row>
    <row r="950" spans="1:19" s="8" customFormat="1" x14ac:dyDescent="0.2">
      <c r="A950" s="2"/>
      <c r="B950" s="10"/>
      <c r="K950" s="2"/>
      <c r="L950" s="2"/>
      <c r="N950" s="10"/>
      <c r="O950" s="12"/>
      <c r="S950" s="10"/>
    </row>
    <row r="951" spans="1:19" s="8" customFormat="1" x14ac:dyDescent="0.2">
      <c r="A951" s="2"/>
      <c r="B951" s="10"/>
      <c r="K951" s="2"/>
      <c r="L951" s="2"/>
      <c r="N951" s="10"/>
      <c r="O951" s="12"/>
      <c r="S951" s="10"/>
    </row>
    <row r="952" spans="1:19" s="8" customFormat="1" x14ac:dyDescent="0.2">
      <c r="A952" s="2"/>
      <c r="B952" s="10"/>
      <c r="K952" s="2"/>
      <c r="L952" s="2"/>
      <c r="N952" s="10"/>
      <c r="O952" s="12"/>
      <c r="S952" s="10"/>
    </row>
    <row r="953" spans="1:19" s="8" customFormat="1" x14ac:dyDescent="0.2">
      <c r="A953" s="2"/>
      <c r="B953" s="10"/>
      <c r="K953" s="2"/>
      <c r="L953" s="2"/>
      <c r="N953" s="10"/>
      <c r="O953" s="12"/>
      <c r="S953" s="10"/>
    </row>
    <row r="954" spans="1:19" s="8" customFormat="1" x14ac:dyDescent="0.2">
      <c r="A954" s="2"/>
      <c r="B954" s="10"/>
      <c r="K954" s="2"/>
      <c r="L954" s="2"/>
      <c r="N954" s="10"/>
      <c r="O954" s="12"/>
      <c r="S954" s="10"/>
    </row>
    <row r="955" spans="1:19" s="8" customFormat="1" x14ac:dyDescent="0.2">
      <c r="A955" s="2"/>
      <c r="B955" s="10"/>
      <c r="K955" s="2"/>
      <c r="L955" s="2"/>
      <c r="N955" s="10"/>
      <c r="O955" s="12"/>
      <c r="S955" s="10"/>
    </row>
    <row r="956" spans="1:19" s="8" customFormat="1" x14ac:dyDescent="0.2">
      <c r="A956" s="2"/>
      <c r="B956" s="10"/>
      <c r="K956" s="2"/>
      <c r="L956" s="2"/>
      <c r="N956" s="10"/>
      <c r="O956" s="12"/>
      <c r="S956" s="10"/>
    </row>
    <row r="957" spans="1:19" s="8" customFormat="1" x14ac:dyDescent="0.2">
      <c r="A957" s="2"/>
      <c r="B957" s="10"/>
      <c r="K957" s="2"/>
      <c r="L957" s="2"/>
      <c r="N957" s="10"/>
      <c r="O957" s="12"/>
      <c r="S957" s="10"/>
    </row>
    <row r="958" spans="1:19" s="8" customFormat="1" x14ac:dyDescent="0.2">
      <c r="A958" s="2"/>
      <c r="B958" s="10"/>
      <c r="K958" s="2"/>
      <c r="L958" s="2"/>
      <c r="N958" s="10"/>
      <c r="O958" s="12"/>
      <c r="S958" s="10"/>
    </row>
    <row r="959" spans="1:19" s="8" customFormat="1" x14ac:dyDescent="0.2">
      <c r="A959" s="2"/>
      <c r="B959" s="10"/>
      <c r="K959" s="2"/>
      <c r="L959" s="2"/>
      <c r="N959" s="10"/>
      <c r="O959" s="12"/>
      <c r="S959" s="10"/>
    </row>
    <row r="960" spans="1:19" s="8" customFormat="1" x14ac:dyDescent="0.2">
      <c r="A960" s="2"/>
      <c r="B960" s="10"/>
      <c r="K960" s="2"/>
      <c r="L960" s="2"/>
      <c r="N960" s="10"/>
      <c r="O960" s="12"/>
      <c r="S960" s="10"/>
    </row>
    <row r="961" spans="1:19" s="8" customFormat="1" x14ac:dyDescent="0.2">
      <c r="A961" s="2"/>
      <c r="B961" s="10"/>
      <c r="K961" s="2"/>
      <c r="L961" s="2"/>
      <c r="N961" s="10"/>
      <c r="O961" s="12"/>
      <c r="S961" s="10"/>
    </row>
    <row r="962" spans="1:19" s="8" customFormat="1" x14ac:dyDescent="0.2">
      <c r="A962" s="2"/>
      <c r="B962" s="10"/>
      <c r="K962" s="2"/>
      <c r="L962" s="2"/>
      <c r="N962" s="10"/>
      <c r="O962" s="12"/>
      <c r="S962" s="10"/>
    </row>
    <row r="963" spans="1:19" s="8" customFormat="1" x14ac:dyDescent="0.2">
      <c r="A963" s="2"/>
      <c r="B963" s="10"/>
      <c r="K963" s="2"/>
      <c r="L963" s="2"/>
      <c r="N963" s="10"/>
      <c r="O963" s="12"/>
      <c r="S963" s="10"/>
    </row>
    <row r="964" spans="1:19" s="8" customFormat="1" x14ac:dyDescent="0.2">
      <c r="A964" s="2"/>
      <c r="B964" s="10"/>
      <c r="K964" s="2"/>
      <c r="L964" s="2"/>
      <c r="N964" s="10"/>
      <c r="O964" s="12"/>
      <c r="S964" s="10"/>
    </row>
    <row r="965" spans="1:19" s="8" customFormat="1" x14ac:dyDescent="0.2">
      <c r="A965" s="2"/>
      <c r="B965" s="10"/>
      <c r="K965" s="2"/>
      <c r="L965" s="2"/>
      <c r="N965" s="10"/>
      <c r="O965" s="12"/>
      <c r="S965" s="10"/>
    </row>
    <row r="966" spans="1:19" s="8" customFormat="1" x14ac:dyDescent="0.2">
      <c r="A966" s="2"/>
      <c r="B966" s="10"/>
      <c r="K966" s="2"/>
      <c r="L966" s="2"/>
      <c r="N966" s="10"/>
      <c r="O966" s="12"/>
      <c r="S966" s="10"/>
    </row>
    <row r="967" spans="1:19" s="8" customFormat="1" x14ac:dyDescent="0.2">
      <c r="A967" s="2"/>
      <c r="B967" s="10"/>
      <c r="K967" s="2"/>
      <c r="L967" s="2"/>
      <c r="N967" s="10"/>
      <c r="O967" s="12"/>
      <c r="S967" s="10"/>
    </row>
    <row r="968" spans="1:19" s="8" customFormat="1" x14ac:dyDescent="0.2">
      <c r="A968" s="2"/>
      <c r="B968" s="10"/>
      <c r="K968" s="2"/>
      <c r="L968" s="2"/>
      <c r="N968" s="10"/>
      <c r="O968" s="12"/>
      <c r="S968" s="10"/>
    </row>
    <row r="969" spans="1:19" s="8" customFormat="1" x14ac:dyDescent="0.2">
      <c r="A969" s="2"/>
      <c r="B969" s="10"/>
      <c r="K969" s="2"/>
      <c r="L969" s="2"/>
      <c r="N969" s="10"/>
      <c r="O969" s="12"/>
      <c r="S969" s="10"/>
    </row>
    <row r="970" spans="1:19" s="8" customFormat="1" x14ac:dyDescent="0.2">
      <c r="A970" s="2"/>
      <c r="B970" s="10"/>
      <c r="K970" s="2"/>
      <c r="L970" s="2"/>
      <c r="N970" s="10"/>
      <c r="O970" s="12"/>
      <c r="S970" s="10"/>
    </row>
    <row r="971" spans="1:19" s="8" customFormat="1" x14ac:dyDescent="0.2">
      <c r="A971" s="2"/>
      <c r="B971" s="10"/>
      <c r="K971" s="2"/>
      <c r="L971" s="2"/>
      <c r="N971" s="10"/>
      <c r="O971" s="12"/>
      <c r="S971" s="10"/>
    </row>
    <row r="972" spans="1:19" s="8" customFormat="1" x14ac:dyDescent="0.2">
      <c r="A972" s="2"/>
      <c r="B972" s="10"/>
      <c r="K972" s="2"/>
      <c r="L972" s="2"/>
      <c r="N972" s="10"/>
      <c r="O972" s="12"/>
      <c r="S972" s="10"/>
    </row>
    <row r="973" spans="1:19" s="8" customFormat="1" x14ac:dyDescent="0.2">
      <c r="A973" s="2"/>
      <c r="B973" s="10"/>
      <c r="K973" s="2"/>
      <c r="L973" s="2"/>
      <c r="N973" s="10"/>
      <c r="O973" s="12"/>
      <c r="S973" s="10"/>
    </row>
    <row r="974" spans="1:19" s="8" customFormat="1" x14ac:dyDescent="0.2">
      <c r="A974" s="2"/>
      <c r="B974" s="10"/>
      <c r="K974" s="2"/>
      <c r="L974" s="2"/>
      <c r="N974" s="10"/>
      <c r="O974" s="12"/>
      <c r="S974" s="10"/>
    </row>
    <row r="975" spans="1:19" s="8" customFormat="1" x14ac:dyDescent="0.2">
      <c r="A975" s="2"/>
      <c r="B975" s="10"/>
      <c r="K975" s="2"/>
      <c r="L975" s="2"/>
      <c r="N975" s="10"/>
      <c r="O975" s="12"/>
      <c r="S975" s="10"/>
    </row>
    <row r="976" spans="1:19" s="8" customFormat="1" x14ac:dyDescent="0.2">
      <c r="A976" s="2"/>
      <c r="B976" s="10"/>
      <c r="K976" s="2"/>
      <c r="L976" s="2"/>
      <c r="N976" s="10"/>
      <c r="O976" s="12"/>
      <c r="S976" s="10"/>
    </row>
    <row r="977" spans="1:19" s="8" customFormat="1" x14ac:dyDescent="0.2">
      <c r="A977" s="2"/>
      <c r="B977" s="10"/>
      <c r="K977" s="2"/>
      <c r="L977" s="2"/>
      <c r="N977" s="10"/>
      <c r="O977" s="12"/>
      <c r="S977" s="10"/>
    </row>
    <row r="978" spans="1:19" s="8" customFormat="1" x14ac:dyDescent="0.2">
      <c r="A978" s="2"/>
      <c r="B978" s="10"/>
      <c r="K978" s="2"/>
      <c r="L978" s="2"/>
      <c r="N978" s="10"/>
      <c r="O978" s="12"/>
      <c r="S978" s="10"/>
    </row>
    <row r="979" spans="1:19" s="8" customFormat="1" x14ac:dyDescent="0.2">
      <c r="A979" s="2"/>
      <c r="B979" s="10"/>
      <c r="K979" s="2"/>
      <c r="L979" s="2"/>
      <c r="N979" s="10"/>
      <c r="O979" s="12"/>
      <c r="S979" s="10"/>
    </row>
    <row r="980" spans="1:19" s="8" customFormat="1" x14ac:dyDescent="0.2">
      <c r="A980" s="2"/>
      <c r="B980" s="10"/>
      <c r="K980" s="2"/>
      <c r="L980" s="2"/>
      <c r="N980" s="10"/>
      <c r="O980" s="12"/>
      <c r="S980" s="10"/>
    </row>
    <row r="981" spans="1:19" s="8" customFormat="1" x14ac:dyDescent="0.2">
      <c r="A981" s="2"/>
      <c r="B981" s="10"/>
      <c r="K981" s="2"/>
      <c r="L981" s="2"/>
      <c r="N981" s="10"/>
      <c r="O981" s="12"/>
      <c r="S981" s="10"/>
    </row>
    <row r="982" spans="1:19" s="8" customFormat="1" x14ac:dyDescent="0.2">
      <c r="A982" s="2"/>
      <c r="B982" s="10"/>
      <c r="K982" s="2"/>
      <c r="L982" s="2"/>
      <c r="N982" s="10"/>
      <c r="O982" s="12"/>
      <c r="S982" s="10"/>
    </row>
    <row r="983" spans="1:19" s="8" customFormat="1" x14ac:dyDescent="0.2">
      <c r="A983" s="2"/>
      <c r="B983" s="10"/>
      <c r="K983" s="2"/>
      <c r="L983" s="2"/>
      <c r="N983" s="10"/>
      <c r="O983" s="12"/>
      <c r="S983" s="10"/>
    </row>
    <row r="984" spans="1:19" s="8" customFormat="1" x14ac:dyDescent="0.2">
      <c r="A984" s="2"/>
      <c r="B984" s="10"/>
      <c r="K984" s="2"/>
      <c r="L984" s="2"/>
      <c r="N984" s="10"/>
      <c r="O984" s="12"/>
      <c r="S984" s="10"/>
    </row>
    <row r="985" spans="1:19" s="8" customFormat="1" x14ac:dyDescent="0.2">
      <c r="A985" s="2"/>
      <c r="B985" s="10"/>
      <c r="K985" s="2"/>
      <c r="L985" s="2"/>
      <c r="N985" s="10"/>
      <c r="O985" s="12"/>
      <c r="S985" s="10"/>
    </row>
    <row r="986" spans="1:19" s="8" customFormat="1" x14ac:dyDescent="0.2">
      <c r="A986" s="2"/>
      <c r="B986" s="10"/>
      <c r="K986" s="2"/>
      <c r="L986" s="2"/>
      <c r="N986" s="10"/>
      <c r="O986" s="12"/>
      <c r="S986" s="10"/>
    </row>
    <row r="987" spans="1:19" s="8" customFormat="1" x14ac:dyDescent="0.2">
      <c r="A987" s="2"/>
      <c r="B987" s="10"/>
      <c r="K987" s="2"/>
      <c r="L987" s="2"/>
      <c r="N987" s="10"/>
      <c r="O987" s="12"/>
      <c r="S987" s="10"/>
    </row>
    <row r="988" spans="1:19" s="8" customFormat="1" x14ac:dyDescent="0.2">
      <c r="A988" s="2"/>
      <c r="B988" s="10"/>
      <c r="K988" s="2"/>
      <c r="L988" s="2"/>
      <c r="N988" s="10"/>
      <c r="O988" s="12"/>
      <c r="S988" s="10"/>
    </row>
    <row r="989" spans="1:19" s="8" customFormat="1" x14ac:dyDescent="0.2">
      <c r="A989" s="2"/>
      <c r="B989" s="10"/>
      <c r="K989" s="2"/>
      <c r="L989" s="2"/>
      <c r="N989" s="10"/>
      <c r="O989" s="12"/>
      <c r="S989" s="10"/>
    </row>
    <row r="990" spans="1:19" s="8" customFormat="1" x14ac:dyDescent="0.2">
      <c r="A990" s="2"/>
      <c r="B990" s="10"/>
      <c r="K990" s="2"/>
      <c r="L990" s="2"/>
      <c r="N990" s="10"/>
      <c r="O990" s="12"/>
      <c r="S990" s="10"/>
    </row>
    <row r="991" spans="1:19" s="8" customFormat="1" x14ac:dyDescent="0.2">
      <c r="A991" s="2"/>
      <c r="B991" s="10"/>
      <c r="K991" s="2"/>
      <c r="L991" s="2"/>
      <c r="N991" s="10"/>
      <c r="O991" s="12"/>
      <c r="S991" s="10"/>
    </row>
    <row r="992" spans="1:19" s="8" customFormat="1" x14ac:dyDescent="0.2">
      <c r="A992" s="2"/>
      <c r="B992" s="10"/>
      <c r="K992" s="2"/>
      <c r="L992" s="2"/>
      <c r="N992" s="10"/>
      <c r="O992" s="12"/>
      <c r="S992" s="10"/>
    </row>
    <row r="993" spans="1:19" s="8" customFormat="1" x14ac:dyDescent="0.2">
      <c r="A993" s="2"/>
      <c r="B993" s="10"/>
      <c r="K993" s="2"/>
      <c r="L993" s="2"/>
      <c r="N993" s="10"/>
      <c r="O993" s="12"/>
      <c r="S993" s="10"/>
    </row>
    <row r="994" spans="1:19" s="8" customFormat="1" x14ac:dyDescent="0.2">
      <c r="A994" s="2"/>
      <c r="B994" s="10"/>
      <c r="K994" s="2"/>
      <c r="L994" s="2"/>
      <c r="N994" s="10"/>
      <c r="O994" s="12"/>
      <c r="S994" s="10"/>
    </row>
    <row r="995" spans="1:19" s="8" customFormat="1" x14ac:dyDescent="0.2">
      <c r="A995" s="2"/>
      <c r="B995" s="10"/>
      <c r="K995" s="2"/>
      <c r="L995" s="2"/>
      <c r="N995" s="10"/>
      <c r="O995" s="12"/>
      <c r="S995" s="10"/>
    </row>
    <row r="996" spans="1:19" s="8" customFormat="1" x14ac:dyDescent="0.2">
      <c r="A996" s="2"/>
      <c r="B996" s="10"/>
      <c r="K996" s="2"/>
      <c r="L996" s="2"/>
      <c r="N996" s="10"/>
      <c r="O996" s="12"/>
      <c r="S996" s="10"/>
    </row>
    <row r="997" spans="1:19" s="8" customFormat="1" x14ac:dyDescent="0.2">
      <c r="A997" s="2"/>
      <c r="B997" s="10"/>
      <c r="K997" s="2"/>
      <c r="L997" s="2"/>
      <c r="N997" s="10"/>
      <c r="O997" s="12"/>
      <c r="S997" s="10"/>
    </row>
    <row r="998" spans="1:19" s="8" customFormat="1" x14ac:dyDescent="0.2">
      <c r="A998" s="2"/>
      <c r="B998" s="10"/>
      <c r="K998" s="2"/>
      <c r="L998" s="2"/>
      <c r="N998" s="10"/>
      <c r="O998" s="12"/>
      <c r="S998" s="10"/>
    </row>
    <row r="999" spans="1:19" s="8" customFormat="1" x14ac:dyDescent="0.2">
      <c r="A999" s="2"/>
      <c r="B999" s="10"/>
      <c r="K999" s="2"/>
      <c r="L999" s="2"/>
      <c r="N999" s="10"/>
      <c r="O999" s="12"/>
      <c r="S999" s="10"/>
    </row>
    <row r="1000" spans="1:19" s="8" customFormat="1" x14ac:dyDescent="0.2">
      <c r="A1000" s="2"/>
      <c r="B1000" s="10"/>
      <c r="K1000" s="2"/>
      <c r="L1000" s="2"/>
      <c r="N1000" s="10"/>
      <c r="O1000" s="12"/>
      <c r="S1000" s="10"/>
    </row>
    <row r="1001" spans="1:19" s="8" customFormat="1" x14ac:dyDescent="0.2">
      <c r="A1001" s="2"/>
      <c r="B1001" s="10"/>
      <c r="K1001" s="2"/>
      <c r="L1001" s="2"/>
      <c r="N1001" s="10"/>
      <c r="O1001" s="12"/>
      <c r="S1001" s="10"/>
    </row>
    <row r="1002" spans="1:19" s="8" customFormat="1" x14ac:dyDescent="0.2">
      <c r="A1002" s="2"/>
      <c r="B1002" s="10"/>
      <c r="K1002" s="2"/>
      <c r="L1002" s="2"/>
      <c r="N1002" s="10"/>
      <c r="O1002" s="12"/>
      <c r="S1002" s="10"/>
    </row>
    <row r="1003" spans="1:19" s="8" customFormat="1" x14ac:dyDescent="0.2">
      <c r="A1003" s="2"/>
      <c r="B1003" s="10"/>
      <c r="K1003" s="2"/>
      <c r="L1003" s="2"/>
      <c r="N1003" s="10"/>
      <c r="O1003" s="12"/>
      <c r="S1003" s="10"/>
    </row>
    <row r="1004" spans="1:19" s="8" customFormat="1" x14ac:dyDescent="0.2">
      <c r="A1004" s="2"/>
      <c r="B1004" s="10"/>
      <c r="K1004" s="2"/>
      <c r="L1004" s="2"/>
      <c r="N1004" s="10"/>
      <c r="O1004" s="12"/>
      <c r="S1004" s="10"/>
    </row>
    <row r="1005" spans="1:19" s="8" customFormat="1" x14ac:dyDescent="0.2">
      <c r="A1005" s="2"/>
      <c r="B1005" s="10"/>
      <c r="K1005" s="2"/>
      <c r="L1005" s="2"/>
      <c r="N1005" s="10"/>
      <c r="O1005" s="12"/>
      <c r="S1005" s="10"/>
    </row>
    <row r="1006" spans="1:19" s="8" customFormat="1" x14ac:dyDescent="0.2">
      <c r="A1006" s="2"/>
      <c r="B1006" s="10"/>
      <c r="K1006" s="2"/>
      <c r="L1006" s="2"/>
      <c r="N1006" s="10"/>
      <c r="O1006" s="12"/>
      <c r="S1006" s="10"/>
    </row>
    <row r="1007" spans="1:19" s="8" customFormat="1" x14ac:dyDescent="0.2">
      <c r="A1007" s="2"/>
      <c r="B1007" s="10"/>
      <c r="K1007" s="2"/>
      <c r="L1007" s="2"/>
      <c r="N1007" s="10"/>
      <c r="O1007" s="12"/>
      <c r="S1007" s="10"/>
    </row>
    <row r="1008" spans="1:19" s="8" customFormat="1" x14ac:dyDescent="0.2">
      <c r="A1008" s="2"/>
      <c r="B1008" s="10"/>
      <c r="K1008" s="2"/>
      <c r="L1008" s="2"/>
      <c r="N1008" s="10"/>
      <c r="O1008" s="12"/>
      <c r="S1008" s="10"/>
    </row>
    <row r="1009" spans="1:19" s="8" customFormat="1" x14ac:dyDescent="0.2">
      <c r="A1009" s="2"/>
      <c r="B1009" s="10"/>
      <c r="K1009" s="2"/>
      <c r="L1009" s="2"/>
      <c r="N1009" s="10"/>
      <c r="O1009" s="12"/>
      <c r="S1009" s="10"/>
    </row>
    <row r="1010" spans="1:19" s="8" customFormat="1" x14ac:dyDescent="0.2">
      <c r="A1010" s="2"/>
      <c r="B1010" s="10"/>
      <c r="K1010" s="2"/>
      <c r="L1010" s="2"/>
      <c r="N1010" s="10"/>
      <c r="O1010" s="12"/>
      <c r="S1010" s="10"/>
    </row>
    <row r="1011" spans="1:19" s="8" customFormat="1" x14ac:dyDescent="0.2">
      <c r="A1011" s="2"/>
      <c r="B1011" s="10"/>
      <c r="K1011" s="2"/>
      <c r="L1011" s="2"/>
      <c r="N1011" s="10"/>
      <c r="O1011" s="12"/>
      <c r="S1011" s="10"/>
    </row>
    <row r="1012" spans="1:19" s="8" customFormat="1" x14ac:dyDescent="0.2">
      <c r="A1012" s="2"/>
      <c r="B1012" s="10"/>
      <c r="K1012" s="2"/>
      <c r="L1012" s="2"/>
      <c r="N1012" s="10"/>
      <c r="O1012" s="12"/>
      <c r="S1012" s="10"/>
    </row>
    <row r="1013" spans="1:19" s="8" customFormat="1" x14ac:dyDescent="0.2">
      <c r="A1013" s="2"/>
      <c r="B1013" s="10"/>
      <c r="K1013" s="2"/>
      <c r="L1013" s="2"/>
      <c r="N1013" s="10"/>
      <c r="O1013" s="12"/>
      <c r="S1013" s="10"/>
    </row>
    <row r="1014" spans="1:19" s="8" customFormat="1" x14ac:dyDescent="0.2">
      <c r="A1014" s="2"/>
      <c r="B1014" s="10"/>
      <c r="K1014" s="2"/>
      <c r="L1014" s="2"/>
      <c r="N1014" s="10"/>
      <c r="O1014" s="12"/>
      <c r="S1014" s="10"/>
    </row>
    <row r="1015" spans="1:19" s="8" customFormat="1" x14ac:dyDescent="0.2">
      <c r="A1015" s="2"/>
      <c r="B1015" s="10"/>
      <c r="K1015" s="2"/>
      <c r="L1015" s="2"/>
      <c r="N1015" s="10"/>
      <c r="O1015" s="12"/>
      <c r="S1015" s="10"/>
    </row>
    <row r="1016" spans="1:19" s="8" customFormat="1" x14ac:dyDescent="0.2">
      <c r="A1016" s="2"/>
      <c r="B1016" s="10"/>
      <c r="K1016" s="2"/>
      <c r="L1016" s="2"/>
      <c r="N1016" s="10"/>
      <c r="O1016" s="12"/>
      <c r="S1016" s="10"/>
    </row>
    <row r="1017" spans="1:19" s="8" customFormat="1" x14ac:dyDescent="0.2">
      <c r="A1017" s="2"/>
      <c r="B1017" s="10"/>
      <c r="K1017" s="2"/>
      <c r="L1017" s="2"/>
      <c r="N1017" s="10"/>
      <c r="O1017" s="12"/>
      <c r="S1017" s="10"/>
    </row>
    <row r="1018" spans="1:19" s="8" customFormat="1" x14ac:dyDescent="0.2">
      <c r="A1018" s="2"/>
      <c r="B1018" s="10"/>
      <c r="K1018" s="2"/>
      <c r="L1018" s="2"/>
      <c r="N1018" s="10"/>
      <c r="O1018" s="12"/>
      <c r="S1018" s="10"/>
    </row>
    <row r="1019" spans="1:19" s="8" customFormat="1" x14ac:dyDescent="0.2">
      <c r="A1019" s="2"/>
      <c r="B1019" s="10"/>
      <c r="K1019" s="2"/>
      <c r="L1019" s="2"/>
      <c r="N1019" s="10"/>
      <c r="O1019" s="12"/>
      <c r="S1019" s="10"/>
    </row>
    <row r="1020" spans="1:19" s="8" customFormat="1" x14ac:dyDescent="0.2">
      <c r="A1020" s="2"/>
      <c r="B1020" s="10"/>
      <c r="K1020" s="2"/>
      <c r="L1020" s="2"/>
      <c r="N1020" s="10"/>
      <c r="O1020" s="12"/>
      <c r="S1020" s="10"/>
    </row>
    <row r="1021" spans="1:19" s="8" customFormat="1" x14ac:dyDescent="0.2">
      <c r="A1021" s="2"/>
      <c r="B1021" s="10"/>
      <c r="K1021" s="2"/>
      <c r="L1021" s="2"/>
      <c r="N1021" s="10"/>
      <c r="O1021" s="12"/>
      <c r="S1021" s="10"/>
    </row>
    <row r="1022" spans="1:19" s="8" customFormat="1" x14ac:dyDescent="0.2">
      <c r="A1022" s="2"/>
      <c r="B1022" s="10"/>
      <c r="K1022" s="2"/>
      <c r="L1022" s="2"/>
      <c r="N1022" s="10"/>
      <c r="O1022" s="12"/>
      <c r="S1022" s="10"/>
    </row>
    <row r="1023" spans="1:19" s="8" customFormat="1" x14ac:dyDescent="0.2">
      <c r="A1023" s="2"/>
      <c r="B1023" s="10"/>
      <c r="K1023" s="2"/>
      <c r="L1023" s="2"/>
      <c r="N1023" s="10"/>
      <c r="O1023" s="12"/>
      <c r="S1023" s="10"/>
    </row>
    <row r="1024" spans="1:19" s="8" customFormat="1" x14ac:dyDescent="0.2">
      <c r="A1024" s="2"/>
      <c r="B1024" s="10"/>
      <c r="K1024" s="2"/>
      <c r="L1024" s="2"/>
      <c r="N1024" s="10"/>
      <c r="O1024" s="12"/>
      <c r="S1024" s="10"/>
    </row>
    <row r="1025" spans="1:19" s="8" customFormat="1" x14ac:dyDescent="0.2">
      <c r="A1025" s="2"/>
      <c r="B1025" s="10"/>
      <c r="K1025" s="2"/>
      <c r="L1025" s="2"/>
      <c r="N1025" s="10"/>
      <c r="O1025" s="12"/>
      <c r="S1025" s="10"/>
    </row>
    <row r="1026" spans="1:19" s="8" customFormat="1" x14ac:dyDescent="0.2">
      <c r="A1026" s="2"/>
      <c r="B1026" s="10"/>
      <c r="K1026" s="2"/>
      <c r="L1026" s="2"/>
      <c r="N1026" s="10"/>
      <c r="O1026" s="12"/>
      <c r="S1026" s="10"/>
    </row>
    <row r="1027" spans="1:19" s="8" customFormat="1" x14ac:dyDescent="0.2">
      <c r="A1027" s="2"/>
      <c r="B1027" s="10"/>
      <c r="K1027" s="2"/>
      <c r="L1027" s="2"/>
      <c r="N1027" s="10"/>
      <c r="O1027" s="12"/>
      <c r="S1027" s="10"/>
    </row>
    <row r="1028" spans="1:19" s="8" customFormat="1" x14ac:dyDescent="0.2">
      <c r="A1028" s="2"/>
      <c r="B1028" s="10"/>
      <c r="K1028" s="2"/>
      <c r="L1028" s="2"/>
      <c r="N1028" s="10"/>
      <c r="O1028" s="12"/>
      <c r="S1028" s="10"/>
    </row>
    <row r="1029" spans="1:19" s="8" customFormat="1" x14ac:dyDescent="0.2">
      <c r="A1029" s="2"/>
      <c r="B1029" s="10"/>
      <c r="K1029" s="2"/>
      <c r="L1029" s="2"/>
      <c r="N1029" s="10"/>
      <c r="O1029" s="12"/>
      <c r="S1029" s="10"/>
    </row>
    <row r="1030" spans="1:19" s="8" customFormat="1" x14ac:dyDescent="0.2">
      <c r="A1030" s="2"/>
      <c r="B1030" s="10"/>
      <c r="K1030" s="2"/>
      <c r="L1030" s="2"/>
      <c r="N1030" s="10"/>
      <c r="O1030" s="12"/>
      <c r="S1030" s="10"/>
    </row>
    <row r="1031" spans="1:19" s="8" customFormat="1" x14ac:dyDescent="0.2">
      <c r="A1031" s="2"/>
      <c r="B1031" s="10"/>
      <c r="K1031" s="2"/>
      <c r="L1031" s="2"/>
      <c r="N1031" s="10"/>
      <c r="O1031" s="12"/>
      <c r="S1031" s="10"/>
    </row>
    <row r="1032" spans="1:19" s="8" customFormat="1" x14ac:dyDescent="0.2">
      <c r="A1032" s="2"/>
      <c r="B1032" s="10"/>
      <c r="K1032" s="2"/>
      <c r="L1032" s="2"/>
      <c r="N1032" s="10"/>
      <c r="O1032" s="12"/>
      <c r="S1032" s="10"/>
    </row>
    <row r="1033" spans="1:19" s="8" customFormat="1" x14ac:dyDescent="0.2">
      <c r="A1033" s="2"/>
      <c r="B1033" s="10"/>
      <c r="K1033" s="2"/>
      <c r="L1033" s="2"/>
      <c r="N1033" s="10"/>
      <c r="O1033" s="12"/>
      <c r="S1033" s="10"/>
    </row>
    <row r="1034" spans="1:19" s="8" customFormat="1" x14ac:dyDescent="0.2">
      <c r="A1034" s="2"/>
      <c r="B1034" s="10"/>
      <c r="K1034" s="2"/>
      <c r="L1034" s="2"/>
      <c r="N1034" s="10"/>
      <c r="O1034" s="12"/>
      <c r="S1034" s="10"/>
    </row>
    <row r="1035" spans="1:19" s="8" customFormat="1" x14ac:dyDescent="0.2">
      <c r="A1035" s="2"/>
      <c r="B1035" s="10"/>
      <c r="K1035" s="2"/>
      <c r="L1035" s="2"/>
      <c r="N1035" s="10"/>
      <c r="O1035" s="12"/>
      <c r="S1035" s="10"/>
    </row>
    <row r="1036" spans="1:19" s="8" customFormat="1" x14ac:dyDescent="0.2">
      <c r="A1036" s="2"/>
      <c r="B1036" s="10"/>
      <c r="K1036" s="2"/>
      <c r="L1036" s="2"/>
      <c r="N1036" s="10"/>
      <c r="O1036" s="12"/>
      <c r="S1036" s="10"/>
    </row>
    <row r="1037" spans="1:19" s="8" customFormat="1" x14ac:dyDescent="0.2">
      <c r="A1037" s="2"/>
      <c r="B1037" s="10"/>
      <c r="K1037" s="2"/>
      <c r="L1037" s="2"/>
      <c r="N1037" s="10"/>
      <c r="O1037" s="12"/>
      <c r="S1037" s="10"/>
    </row>
    <row r="1038" spans="1:19" s="8" customFormat="1" x14ac:dyDescent="0.2">
      <c r="A1038" s="2"/>
      <c r="B1038" s="10"/>
      <c r="K1038" s="2"/>
      <c r="L1038" s="2"/>
      <c r="N1038" s="10"/>
      <c r="O1038" s="12"/>
      <c r="S1038" s="10"/>
    </row>
    <row r="1039" spans="1:19" s="8" customFormat="1" x14ac:dyDescent="0.2">
      <c r="A1039" s="2"/>
      <c r="B1039" s="10"/>
      <c r="K1039" s="2"/>
      <c r="L1039" s="2"/>
      <c r="N1039" s="10"/>
      <c r="O1039" s="12"/>
      <c r="S1039" s="10"/>
    </row>
    <row r="1040" spans="1:19" s="8" customFormat="1" x14ac:dyDescent="0.2">
      <c r="A1040" s="2"/>
      <c r="B1040" s="10"/>
      <c r="K1040" s="2"/>
      <c r="L1040" s="2"/>
      <c r="N1040" s="10"/>
      <c r="O1040" s="12"/>
      <c r="S1040" s="10"/>
    </row>
    <row r="1041" spans="1:19" s="8" customFormat="1" x14ac:dyDescent="0.2">
      <c r="A1041" s="2"/>
      <c r="B1041" s="10"/>
      <c r="K1041" s="2"/>
      <c r="L1041" s="2"/>
      <c r="N1041" s="10"/>
      <c r="O1041" s="12"/>
      <c r="S1041" s="10"/>
    </row>
    <row r="1042" spans="1:19" s="8" customFormat="1" x14ac:dyDescent="0.2">
      <c r="A1042" s="2"/>
      <c r="B1042" s="10"/>
      <c r="K1042" s="2"/>
      <c r="L1042" s="2"/>
      <c r="N1042" s="10"/>
      <c r="O1042" s="12"/>
      <c r="S1042" s="10"/>
    </row>
    <row r="1043" spans="1:19" s="8" customFormat="1" x14ac:dyDescent="0.2">
      <c r="A1043" s="2"/>
      <c r="B1043" s="10"/>
      <c r="K1043" s="2"/>
      <c r="L1043" s="2"/>
      <c r="N1043" s="10"/>
      <c r="O1043" s="12"/>
      <c r="S1043" s="10"/>
    </row>
    <row r="1044" spans="1:19" s="8" customFormat="1" x14ac:dyDescent="0.2">
      <c r="A1044" s="2"/>
      <c r="B1044" s="10"/>
      <c r="K1044" s="2"/>
      <c r="L1044" s="2"/>
      <c r="N1044" s="10"/>
      <c r="O1044" s="12"/>
      <c r="S1044" s="10"/>
    </row>
    <row r="1045" spans="1:19" s="8" customFormat="1" x14ac:dyDescent="0.2">
      <c r="A1045" s="2"/>
      <c r="B1045" s="10"/>
      <c r="K1045" s="2"/>
      <c r="L1045" s="2"/>
      <c r="N1045" s="10"/>
      <c r="O1045" s="12"/>
      <c r="S1045" s="10"/>
    </row>
    <row r="1046" spans="1:19" s="8" customFormat="1" x14ac:dyDescent="0.2">
      <c r="A1046" s="2"/>
      <c r="B1046" s="10"/>
      <c r="K1046" s="2"/>
      <c r="L1046" s="2"/>
      <c r="N1046" s="10"/>
      <c r="O1046" s="12"/>
      <c r="S1046" s="10"/>
    </row>
    <row r="1047" spans="1:19" s="8" customFormat="1" x14ac:dyDescent="0.2">
      <c r="A1047" s="2"/>
      <c r="B1047" s="10"/>
      <c r="K1047" s="2"/>
      <c r="L1047" s="2"/>
      <c r="N1047" s="10"/>
      <c r="O1047" s="12"/>
      <c r="S1047" s="10"/>
    </row>
    <row r="1048" spans="1:19" s="8" customFormat="1" x14ac:dyDescent="0.2">
      <c r="A1048" s="2"/>
      <c r="B1048" s="10"/>
      <c r="K1048" s="2"/>
      <c r="L1048" s="2"/>
      <c r="N1048" s="10"/>
      <c r="O1048" s="12"/>
      <c r="S1048" s="10"/>
    </row>
    <row r="1049" spans="1:19" s="8" customFormat="1" x14ac:dyDescent="0.2">
      <c r="A1049" s="2"/>
      <c r="B1049" s="10"/>
      <c r="K1049" s="2"/>
      <c r="L1049" s="2"/>
      <c r="N1049" s="10"/>
      <c r="O1049" s="12"/>
      <c r="S1049" s="10"/>
    </row>
    <row r="1050" spans="1:19" s="8" customFormat="1" x14ac:dyDescent="0.2">
      <c r="A1050" s="2"/>
      <c r="B1050" s="10"/>
      <c r="K1050" s="2"/>
      <c r="L1050" s="2"/>
      <c r="N1050" s="10"/>
      <c r="O1050" s="12"/>
      <c r="S1050" s="10"/>
    </row>
    <row r="1051" spans="1:19" s="8" customFormat="1" x14ac:dyDescent="0.2">
      <c r="A1051" s="2"/>
      <c r="B1051" s="10"/>
      <c r="K1051" s="2"/>
      <c r="L1051" s="2"/>
      <c r="N1051" s="10"/>
      <c r="O1051" s="12"/>
      <c r="S1051" s="10"/>
    </row>
    <row r="1052" spans="1:19" s="8" customFormat="1" x14ac:dyDescent="0.2">
      <c r="A1052" s="2"/>
      <c r="B1052" s="10"/>
      <c r="K1052" s="2"/>
      <c r="L1052" s="2"/>
      <c r="N1052" s="10"/>
      <c r="O1052" s="12"/>
      <c r="S1052" s="10"/>
    </row>
    <row r="1053" spans="1:19" s="8" customFormat="1" x14ac:dyDescent="0.2">
      <c r="A1053" s="2"/>
      <c r="B1053" s="10"/>
      <c r="K1053" s="2"/>
      <c r="L1053" s="2"/>
      <c r="N1053" s="10"/>
      <c r="O1053" s="12"/>
      <c r="S1053" s="10"/>
    </row>
    <row r="1054" spans="1:19" s="8" customFormat="1" x14ac:dyDescent="0.2">
      <c r="A1054" s="2"/>
      <c r="B1054" s="10"/>
      <c r="K1054" s="2"/>
      <c r="L1054" s="2"/>
      <c r="N1054" s="10"/>
      <c r="O1054" s="12"/>
      <c r="S1054" s="10"/>
    </row>
    <row r="1055" spans="1:19" s="8" customFormat="1" x14ac:dyDescent="0.2">
      <c r="A1055" s="2"/>
      <c r="B1055" s="10"/>
      <c r="K1055" s="2"/>
      <c r="L1055" s="2"/>
      <c r="N1055" s="10"/>
      <c r="O1055" s="12"/>
      <c r="S1055" s="10"/>
    </row>
    <row r="1056" spans="1:19" s="8" customFormat="1" x14ac:dyDescent="0.2">
      <c r="A1056" s="2"/>
      <c r="B1056" s="10"/>
      <c r="K1056" s="2"/>
      <c r="L1056" s="2"/>
      <c r="N1056" s="10"/>
      <c r="O1056" s="12"/>
      <c r="S1056" s="10"/>
    </row>
    <row r="1057" spans="1:19" s="8" customFormat="1" x14ac:dyDescent="0.2">
      <c r="A1057" s="2"/>
      <c r="B1057" s="10"/>
      <c r="K1057" s="2"/>
      <c r="L1057" s="2"/>
      <c r="N1057" s="10"/>
      <c r="O1057" s="12"/>
      <c r="S1057" s="10"/>
    </row>
    <row r="1058" spans="1:19" s="8" customFormat="1" x14ac:dyDescent="0.2">
      <c r="A1058" s="2"/>
      <c r="B1058" s="10"/>
      <c r="K1058" s="2"/>
      <c r="L1058" s="2"/>
      <c r="N1058" s="10"/>
      <c r="O1058" s="12"/>
      <c r="S1058" s="10"/>
    </row>
    <row r="1059" spans="1:19" s="8" customFormat="1" x14ac:dyDescent="0.2">
      <c r="A1059" s="2"/>
      <c r="B1059" s="10"/>
      <c r="K1059" s="2"/>
      <c r="L1059" s="2"/>
      <c r="N1059" s="10"/>
      <c r="O1059" s="12"/>
      <c r="S1059" s="10"/>
    </row>
    <row r="1060" spans="1:19" s="8" customFormat="1" x14ac:dyDescent="0.2">
      <c r="A1060" s="2"/>
      <c r="B1060" s="10"/>
      <c r="K1060" s="2"/>
      <c r="L1060" s="2"/>
      <c r="N1060" s="10"/>
      <c r="O1060" s="12"/>
      <c r="S1060" s="10"/>
    </row>
    <row r="1061" spans="1:19" s="8" customFormat="1" x14ac:dyDescent="0.2">
      <c r="A1061" s="2"/>
      <c r="B1061" s="10"/>
      <c r="K1061" s="2"/>
      <c r="L1061" s="2"/>
      <c r="N1061" s="10"/>
      <c r="O1061" s="12"/>
      <c r="S1061" s="10"/>
    </row>
    <row r="1062" spans="1:19" s="8" customFormat="1" x14ac:dyDescent="0.2">
      <c r="A1062" s="2"/>
      <c r="B1062" s="10"/>
      <c r="K1062" s="2"/>
      <c r="L1062" s="2"/>
      <c r="N1062" s="10"/>
      <c r="O1062" s="12"/>
      <c r="S1062" s="10"/>
    </row>
    <row r="1063" spans="1:19" s="8" customFormat="1" x14ac:dyDescent="0.2">
      <c r="A1063" s="2"/>
      <c r="B1063" s="10"/>
      <c r="K1063" s="2"/>
      <c r="L1063" s="2"/>
      <c r="N1063" s="10"/>
      <c r="O1063" s="12"/>
      <c r="S1063" s="10"/>
    </row>
    <row r="1064" spans="1:19" s="8" customFormat="1" x14ac:dyDescent="0.2">
      <c r="A1064" s="2"/>
      <c r="B1064" s="10"/>
      <c r="K1064" s="2"/>
      <c r="L1064" s="2"/>
      <c r="N1064" s="10"/>
      <c r="O1064" s="12"/>
      <c r="S1064" s="10"/>
    </row>
    <row r="1065" spans="1:19" s="8" customFormat="1" x14ac:dyDescent="0.2">
      <c r="A1065" s="2"/>
      <c r="B1065" s="10"/>
      <c r="K1065" s="2"/>
      <c r="L1065" s="2"/>
      <c r="N1065" s="10"/>
      <c r="O1065" s="12"/>
      <c r="S1065" s="10"/>
    </row>
    <row r="1066" spans="1:19" s="8" customFormat="1" x14ac:dyDescent="0.2">
      <c r="A1066" s="2"/>
      <c r="B1066" s="10"/>
      <c r="K1066" s="2"/>
      <c r="L1066" s="2"/>
      <c r="N1066" s="10"/>
      <c r="O1066" s="12"/>
      <c r="S1066" s="10"/>
    </row>
    <row r="1067" spans="1:19" s="8" customFormat="1" x14ac:dyDescent="0.2">
      <c r="A1067" s="2"/>
      <c r="B1067" s="10"/>
      <c r="K1067" s="2"/>
      <c r="L1067" s="2"/>
      <c r="N1067" s="10"/>
      <c r="O1067" s="12"/>
      <c r="S1067" s="10"/>
    </row>
    <row r="1068" spans="1:19" s="8" customFormat="1" x14ac:dyDescent="0.2">
      <c r="A1068" s="2"/>
      <c r="B1068" s="10"/>
      <c r="K1068" s="2"/>
      <c r="L1068" s="2"/>
      <c r="N1068" s="10"/>
      <c r="O1068" s="12"/>
      <c r="S1068" s="10"/>
    </row>
    <row r="1069" spans="1:19" s="8" customFormat="1" x14ac:dyDescent="0.2">
      <c r="A1069" s="2"/>
      <c r="B1069" s="10"/>
      <c r="K1069" s="2"/>
      <c r="L1069" s="2"/>
      <c r="N1069" s="10"/>
      <c r="O1069" s="12"/>
      <c r="S1069" s="10"/>
    </row>
    <row r="1070" spans="1:19" s="8" customFormat="1" x14ac:dyDescent="0.2">
      <c r="A1070" s="2"/>
      <c r="B1070" s="10"/>
      <c r="K1070" s="2"/>
      <c r="L1070" s="2"/>
      <c r="N1070" s="10"/>
      <c r="O1070" s="12"/>
      <c r="S1070" s="10"/>
    </row>
    <row r="1071" spans="1:19" s="8" customFormat="1" x14ac:dyDescent="0.2">
      <c r="A1071" s="2"/>
      <c r="B1071" s="10"/>
      <c r="K1071" s="2"/>
      <c r="L1071" s="2"/>
      <c r="N1071" s="10"/>
      <c r="O1071" s="12"/>
      <c r="S1071" s="10"/>
    </row>
    <row r="1072" spans="1:19" s="8" customFormat="1" x14ac:dyDescent="0.2">
      <c r="A1072" s="2"/>
      <c r="B1072" s="10"/>
      <c r="K1072" s="2"/>
      <c r="L1072" s="2"/>
      <c r="N1072" s="10"/>
      <c r="O1072" s="12"/>
      <c r="S1072" s="10"/>
    </row>
    <row r="1073" spans="1:19" s="8" customFormat="1" x14ac:dyDescent="0.2">
      <c r="A1073" s="2"/>
      <c r="B1073" s="10"/>
      <c r="K1073" s="2"/>
      <c r="L1073" s="2"/>
      <c r="N1073" s="10"/>
      <c r="O1073" s="12"/>
      <c r="S1073" s="10"/>
    </row>
    <row r="1074" spans="1:19" s="8" customFormat="1" x14ac:dyDescent="0.2">
      <c r="A1074" s="2"/>
      <c r="B1074" s="10"/>
      <c r="K1074" s="2"/>
      <c r="L1074" s="2"/>
      <c r="N1074" s="10"/>
      <c r="O1074" s="12"/>
      <c r="S1074" s="10"/>
    </row>
    <row r="1075" spans="1:19" s="8" customFormat="1" x14ac:dyDescent="0.2">
      <c r="A1075" s="2"/>
      <c r="B1075" s="10"/>
      <c r="K1075" s="2"/>
      <c r="L1075" s="2"/>
      <c r="N1075" s="10"/>
      <c r="O1075" s="12"/>
      <c r="S1075" s="10"/>
    </row>
    <row r="1076" spans="1:19" s="8" customFormat="1" x14ac:dyDescent="0.2">
      <c r="A1076" s="2"/>
      <c r="B1076" s="10"/>
      <c r="K1076" s="2"/>
      <c r="L1076" s="2"/>
      <c r="N1076" s="10"/>
      <c r="O1076" s="12"/>
      <c r="S1076" s="10"/>
    </row>
    <row r="1077" spans="1:19" s="8" customFormat="1" x14ac:dyDescent="0.2">
      <c r="A1077" s="2"/>
      <c r="B1077" s="10"/>
      <c r="K1077" s="2"/>
      <c r="L1077" s="2"/>
      <c r="N1077" s="10"/>
      <c r="O1077" s="12"/>
      <c r="S1077" s="10"/>
    </row>
    <row r="1078" spans="1:19" s="8" customFormat="1" x14ac:dyDescent="0.2">
      <c r="A1078" s="2"/>
      <c r="B1078" s="10"/>
      <c r="K1078" s="2"/>
      <c r="L1078" s="2"/>
      <c r="N1078" s="10"/>
      <c r="O1078" s="12"/>
      <c r="S1078" s="10"/>
    </row>
    <row r="1079" spans="1:19" s="8" customFormat="1" x14ac:dyDescent="0.2">
      <c r="A1079" s="2"/>
      <c r="B1079" s="10"/>
      <c r="K1079" s="2"/>
      <c r="L1079" s="2"/>
      <c r="N1079" s="10"/>
      <c r="O1079" s="12"/>
      <c r="S1079" s="10"/>
    </row>
    <row r="1080" spans="1:19" s="8" customFormat="1" x14ac:dyDescent="0.2">
      <c r="A1080" s="2"/>
      <c r="B1080" s="10"/>
      <c r="K1080" s="2"/>
      <c r="L1080" s="2"/>
      <c r="N1080" s="10"/>
      <c r="O1080" s="12"/>
      <c r="S1080" s="10"/>
    </row>
    <row r="1081" spans="1:19" s="8" customFormat="1" x14ac:dyDescent="0.2">
      <c r="A1081" s="2"/>
      <c r="B1081" s="10"/>
      <c r="K1081" s="2"/>
      <c r="L1081" s="2"/>
      <c r="N1081" s="10"/>
      <c r="O1081" s="12"/>
      <c r="S1081" s="10"/>
    </row>
    <row r="1082" spans="1:19" s="8" customFormat="1" x14ac:dyDescent="0.2">
      <c r="A1082" s="2"/>
      <c r="B1082" s="10"/>
      <c r="K1082" s="2"/>
      <c r="L1082" s="2"/>
      <c r="N1082" s="10"/>
      <c r="O1082" s="12"/>
      <c r="S1082" s="10"/>
    </row>
    <row r="1083" spans="1:19" s="8" customFormat="1" x14ac:dyDescent="0.2">
      <c r="A1083" s="2"/>
      <c r="B1083" s="10"/>
      <c r="K1083" s="2"/>
      <c r="L1083" s="2"/>
      <c r="N1083" s="10"/>
      <c r="O1083" s="12"/>
      <c r="S1083" s="10"/>
    </row>
    <row r="1084" spans="1:19" s="8" customFormat="1" x14ac:dyDescent="0.2">
      <c r="A1084" s="2"/>
      <c r="B1084" s="10"/>
      <c r="K1084" s="2"/>
      <c r="L1084" s="2"/>
      <c r="N1084" s="10"/>
      <c r="O1084" s="12"/>
      <c r="S1084" s="10"/>
    </row>
    <row r="1085" spans="1:19" s="8" customFormat="1" x14ac:dyDescent="0.2">
      <c r="A1085" s="2"/>
      <c r="B1085" s="10"/>
      <c r="K1085" s="2"/>
      <c r="L1085" s="2"/>
      <c r="N1085" s="10"/>
      <c r="O1085" s="12"/>
      <c r="S1085" s="10"/>
    </row>
    <row r="1086" spans="1:19" s="8" customFormat="1" x14ac:dyDescent="0.2">
      <c r="A1086" s="2"/>
      <c r="B1086" s="10"/>
      <c r="K1086" s="2"/>
      <c r="L1086" s="2"/>
      <c r="N1086" s="10"/>
      <c r="O1086" s="12"/>
      <c r="S1086" s="10"/>
    </row>
    <row r="1087" spans="1:19" s="8" customFormat="1" x14ac:dyDescent="0.2">
      <c r="A1087" s="2"/>
      <c r="B1087" s="10"/>
      <c r="K1087" s="2"/>
      <c r="L1087" s="2"/>
      <c r="N1087" s="10"/>
      <c r="O1087" s="12"/>
      <c r="S1087" s="10"/>
    </row>
    <row r="1088" spans="1:19" s="8" customFormat="1" x14ac:dyDescent="0.2">
      <c r="A1088" s="2"/>
      <c r="B1088" s="10"/>
      <c r="K1088" s="2"/>
      <c r="L1088" s="2"/>
      <c r="N1088" s="10"/>
      <c r="O1088" s="12"/>
      <c r="S1088" s="10"/>
    </row>
    <row r="1089" spans="1:19" s="8" customFormat="1" x14ac:dyDescent="0.2">
      <c r="A1089" s="2"/>
      <c r="B1089" s="10"/>
      <c r="K1089" s="2"/>
      <c r="L1089" s="2"/>
      <c r="N1089" s="10"/>
      <c r="O1089" s="12"/>
      <c r="S1089" s="10"/>
    </row>
    <row r="1090" spans="1:19" s="8" customFormat="1" x14ac:dyDescent="0.2">
      <c r="A1090" s="2"/>
      <c r="B1090" s="10"/>
      <c r="K1090" s="2"/>
      <c r="L1090" s="2"/>
      <c r="N1090" s="10"/>
      <c r="O1090" s="12"/>
      <c r="S1090" s="10"/>
    </row>
    <row r="1091" spans="1:19" s="8" customFormat="1" x14ac:dyDescent="0.2">
      <c r="A1091" s="2"/>
      <c r="B1091" s="10"/>
      <c r="K1091" s="2"/>
      <c r="L1091" s="2"/>
      <c r="N1091" s="10"/>
      <c r="O1091" s="12"/>
      <c r="S1091" s="10"/>
    </row>
    <row r="1092" spans="1:19" s="8" customFormat="1" x14ac:dyDescent="0.2">
      <c r="A1092" s="2"/>
      <c r="B1092" s="10"/>
      <c r="K1092" s="2"/>
      <c r="L1092" s="2"/>
      <c r="N1092" s="10"/>
      <c r="O1092" s="12"/>
      <c r="S1092" s="10"/>
    </row>
    <row r="1093" spans="1:19" s="8" customFormat="1" x14ac:dyDescent="0.2">
      <c r="A1093" s="2"/>
      <c r="B1093" s="10"/>
      <c r="K1093" s="2"/>
      <c r="L1093" s="2"/>
      <c r="N1093" s="10"/>
      <c r="O1093" s="12"/>
      <c r="S1093" s="10"/>
    </row>
    <row r="1094" spans="1:19" s="8" customFormat="1" x14ac:dyDescent="0.2">
      <c r="A1094" s="2"/>
      <c r="B1094" s="10"/>
      <c r="K1094" s="2"/>
      <c r="L1094" s="2"/>
      <c r="N1094" s="10"/>
      <c r="O1094" s="12"/>
      <c r="S1094" s="10"/>
    </row>
    <row r="1095" spans="1:19" s="8" customFormat="1" x14ac:dyDescent="0.2">
      <c r="A1095" s="2"/>
      <c r="B1095" s="10"/>
      <c r="K1095" s="2"/>
      <c r="L1095" s="2"/>
      <c r="N1095" s="10"/>
      <c r="O1095" s="12"/>
      <c r="S1095" s="10"/>
    </row>
    <row r="1096" spans="1:19" s="8" customFormat="1" x14ac:dyDescent="0.2">
      <c r="A1096" s="2"/>
      <c r="B1096" s="10"/>
      <c r="K1096" s="2"/>
      <c r="L1096" s="2"/>
      <c r="N1096" s="10"/>
      <c r="O1096" s="12"/>
      <c r="S1096" s="10"/>
    </row>
    <row r="1097" spans="1:19" s="8" customFormat="1" x14ac:dyDescent="0.2">
      <c r="A1097" s="2"/>
      <c r="B1097" s="10"/>
      <c r="K1097" s="2"/>
      <c r="L1097" s="2"/>
      <c r="N1097" s="10"/>
      <c r="O1097" s="12"/>
      <c r="S1097" s="10"/>
    </row>
    <row r="1098" spans="1:19" s="8" customFormat="1" x14ac:dyDescent="0.2">
      <c r="A1098" s="2"/>
      <c r="B1098" s="10"/>
      <c r="K1098" s="2"/>
      <c r="L1098" s="2"/>
      <c r="N1098" s="10"/>
      <c r="O1098" s="12"/>
      <c r="S1098" s="10"/>
    </row>
    <row r="1099" spans="1:19" s="8" customFormat="1" x14ac:dyDescent="0.2">
      <c r="A1099" s="2"/>
      <c r="B1099" s="10"/>
      <c r="K1099" s="2"/>
      <c r="L1099" s="2"/>
      <c r="N1099" s="10"/>
      <c r="O1099" s="12"/>
      <c r="S1099" s="10"/>
    </row>
    <row r="1100" spans="1:19" s="8" customFormat="1" x14ac:dyDescent="0.2">
      <c r="A1100" s="2"/>
      <c r="B1100" s="10"/>
      <c r="K1100" s="2"/>
      <c r="L1100" s="2"/>
      <c r="N1100" s="10"/>
      <c r="O1100" s="12"/>
      <c r="S1100" s="10"/>
    </row>
    <row r="1101" spans="1:19" s="8" customFormat="1" x14ac:dyDescent="0.2">
      <c r="A1101" s="2"/>
      <c r="B1101" s="10"/>
      <c r="K1101" s="2"/>
      <c r="L1101" s="2"/>
      <c r="N1101" s="10"/>
      <c r="O1101" s="12"/>
      <c r="S1101" s="10"/>
    </row>
    <row r="1102" spans="1:19" s="8" customFormat="1" x14ac:dyDescent="0.2">
      <c r="A1102" s="2"/>
      <c r="B1102" s="10"/>
      <c r="K1102" s="2"/>
      <c r="L1102" s="2"/>
      <c r="N1102" s="10"/>
      <c r="O1102" s="12"/>
      <c r="S1102" s="10"/>
    </row>
    <row r="1103" spans="1:19" s="8" customFormat="1" x14ac:dyDescent="0.2">
      <c r="A1103" s="2"/>
      <c r="B1103" s="10"/>
      <c r="K1103" s="2"/>
      <c r="L1103" s="2"/>
      <c r="N1103" s="10"/>
      <c r="O1103" s="12"/>
      <c r="S1103" s="10"/>
    </row>
    <row r="1104" spans="1:19" s="8" customFormat="1" x14ac:dyDescent="0.2">
      <c r="A1104" s="2"/>
      <c r="B1104" s="10"/>
      <c r="K1104" s="2"/>
      <c r="L1104" s="2"/>
      <c r="N1104" s="10"/>
      <c r="O1104" s="12"/>
      <c r="S1104" s="10"/>
    </row>
    <row r="1105" spans="1:19" s="8" customFormat="1" x14ac:dyDescent="0.2">
      <c r="A1105" s="2"/>
      <c r="B1105" s="10"/>
      <c r="K1105" s="2"/>
      <c r="L1105" s="2"/>
      <c r="N1105" s="10"/>
      <c r="O1105" s="12"/>
      <c r="S1105" s="10"/>
    </row>
    <row r="1106" spans="1:19" s="8" customFormat="1" x14ac:dyDescent="0.2">
      <c r="A1106" s="2"/>
      <c r="B1106" s="10"/>
      <c r="K1106" s="2"/>
      <c r="L1106" s="2"/>
      <c r="N1106" s="10"/>
      <c r="O1106" s="12"/>
      <c r="S1106" s="10"/>
    </row>
    <row r="1107" spans="1:19" s="8" customFormat="1" x14ac:dyDescent="0.2">
      <c r="A1107" s="2"/>
      <c r="B1107" s="10"/>
      <c r="K1107" s="2"/>
      <c r="L1107" s="2"/>
      <c r="N1107" s="10"/>
      <c r="O1107" s="12"/>
      <c r="S1107" s="10"/>
    </row>
    <row r="1108" spans="1:19" s="8" customFormat="1" x14ac:dyDescent="0.2">
      <c r="A1108" s="2"/>
      <c r="B1108" s="10"/>
      <c r="K1108" s="2"/>
      <c r="L1108" s="2"/>
      <c r="N1108" s="10"/>
      <c r="O1108" s="12"/>
      <c r="S1108" s="10"/>
    </row>
    <row r="1109" spans="1:19" s="8" customFormat="1" x14ac:dyDescent="0.2">
      <c r="A1109" s="2"/>
      <c r="B1109" s="10"/>
      <c r="K1109" s="2"/>
      <c r="L1109" s="2"/>
      <c r="N1109" s="10"/>
      <c r="O1109" s="12"/>
      <c r="S1109" s="10"/>
    </row>
    <row r="1110" spans="1:19" s="8" customFormat="1" x14ac:dyDescent="0.2">
      <c r="A1110" s="2"/>
      <c r="B1110" s="10"/>
      <c r="K1110" s="2"/>
      <c r="L1110" s="2"/>
      <c r="N1110" s="10"/>
      <c r="O1110" s="12"/>
      <c r="S1110" s="10"/>
    </row>
    <row r="1111" spans="1:19" s="8" customFormat="1" x14ac:dyDescent="0.2">
      <c r="A1111" s="2"/>
      <c r="B1111" s="10"/>
      <c r="K1111" s="2"/>
      <c r="L1111" s="2"/>
      <c r="N1111" s="10"/>
      <c r="O1111" s="12"/>
      <c r="S1111" s="10"/>
    </row>
    <row r="1112" spans="1:19" s="8" customFormat="1" x14ac:dyDescent="0.2">
      <c r="A1112" s="2"/>
      <c r="B1112" s="10"/>
      <c r="K1112" s="2"/>
      <c r="L1112" s="2"/>
      <c r="N1112" s="10"/>
      <c r="O1112" s="12"/>
      <c r="S1112" s="10"/>
    </row>
    <row r="1113" spans="1:19" s="8" customFormat="1" x14ac:dyDescent="0.2">
      <c r="A1113" s="2"/>
      <c r="B1113" s="10"/>
      <c r="K1113" s="2"/>
      <c r="L1113" s="2"/>
      <c r="N1113" s="10"/>
      <c r="O1113" s="12"/>
      <c r="S1113" s="10"/>
    </row>
    <row r="1114" spans="1:19" s="8" customFormat="1" x14ac:dyDescent="0.2">
      <c r="A1114" s="2"/>
      <c r="B1114" s="10"/>
      <c r="K1114" s="2"/>
      <c r="L1114" s="2"/>
      <c r="N1114" s="10"/>
      <c r="O1114" s="12"/>
      <c r="S1114" s="10"/>
    </row>
    <row r="1115" spans="1:19" s="8" customFormat="1" x14ac:dyDescent="0.2">
      <c r="A1115" s="2"/>
      <c r="B1115" s="10"/>
      <c r="K1115" s="2"/>
      <c r="L1115" s="2"/>
      <c r="N1115" s="10"/>
      <c r="O1115" s="12"/>
      <c r="S1115" s="10"/>
    </row>
    <row r="1116" spans="1:19" s="8" customFormat="1" x14ac:dyDescent="0.2">
      <c r="A1116" s="2"/>
      <c r="B1116" s="10"/>
      <c r="K1116" s="2"/>
      <c r="L1116" s="2"/>
      <c r="N1116" s="10"/>
      <c r="O1116" s="12"/>
      <c r="S1116" s="10"/>
    </row>
    <row r="1117" spans="1:19" s="8" customFormat="1" x14ac:dyDescent="0.2">
      <c r="A1117" s="2"/>
      <c r="B1117" s="10"/>
      <c r="K1117" s="2"/>
      <c r="L1117" s="2"/>
      <c r="N1117" s="10"/>
      <c r="O1117" s="12"/>
      <c r="S1117" s="10"/>
    </row>
    <row r="1118" spans="1:19" s="8" customFormat="1" x14ac:dyDescent="0.2">
      <c r="A1118" s="2"/>
      <c r="B1118" s="10"/>
      <c r="K1118" s="2"/>
      <c r="L1118" s="2"/>
      <c r="N1118" s="10"/>
      <c r="O1118" s="12"/>
      <c r="S1118" s="10"/>
    </row>
    <row r="1119" spans="1:19" s="8" customFormat="1" x14ac:dyDescent="0.2">
      <c r="A1119" s="2"/>
      <c r="B1119" s="10"/>
      <c r="K1119" s="2"/>
      <c r="L1119" s="2"/>
      <c r="N1119" s="10"/>
      <c r="O1119" s="12"/>
      <c r="S1119" s="10"/>
    </row>
    <row r="1120" spans="1:19" s="8" customFormat="1" x14ac:dyDescent="0.2">
      <c r="A1120" s="2"/>
      <c r="B1120" s="10"/>
      <c r="K1120" s="2"/>
      <c r="L1120" s="2"/>
      <c r="N1120" s="10"/>
      <c r="O1120" s="12"/>
      <c r="S1120" s="10"/>
    </row>
    <row r="1121" spans="1:19" s="8" customFormat="1" x14ac:dyDescent="0.2">
      <c r="A1121" s="2"/>
      <c r="B1121" s="10"/>
      <c r="K1121" s="2"/>
      <c r="L1121" s="2"/>
      <c r="N1121" s="10"/>
      <c r="O1121" s="12"/>
      <c r="S1121" s="10"/>
    </row>
    <row r="1122" spans="1:19" s="8" customFormat="1" x14ac:dyDescent="0.2">
      <c r="A1122" s="2"/>
      <c r="B1122" s="10"/>
      <c r="K1122" s="2"/>
      <c r="L1122" s="2"/>
      <c r="N1122" s="10"/>
      <c r="O1122" s="12"/>
      <c r="S1122" s="10"/>
    </row>
    <row r="1123" spans="1:19" s="8" customFormat="1" x14ac:dyDescent="0.2">
      <c r="A1123" s="2"/>
      <c r="B1123" s="10"/>
      <c r="K1123" s="2"/>
      <c r="L1123" s="2"/>
      <c r="N1123" s="10"/>
      <c r="O1123" s="12"/>
      <c r="S1123" s="10"/>
    </row>
    <row r="1124" spans="1:19" s="8" customFormat="1" x14ac:dyDescent="0.2">
      <c r="A1124" s="2"/>
      <c r="B1124" s="10"/>
      <c r="K1124" s="2"/>
      <c r="L1124" s="2"/>
      <c r="N1124" s="10"/>
      <c r="O1124" s="12"/>
      <c r="S1124" s="10"/>
    </row>
    <row r="1125" spans="1:19" s="8" customFormat="1" x14ac:dyDescent="0.2">
      <c r="A1125" s="2"/>
      <c r="B1125" s="10"/>
      <c r="K1125" s="2"/>
      <c r="L1125" s="2"/>
      <c r="N1125" s="10"/>
      <c r="O1125" s="12"/>
      <c r="S1125" s="10"/>
    </row>
    <row r="1126" spans="1:19" s="8" customFormat="1" x14ac:dyDescent="0.2">
      <c r="A1126" s="2"/>
      <c r="B1126" s="10"/>
      <c r="K1126" s="2"/>
      <c r="L1126" s="2"/>
      <c r="N1126" s="10"/>
      <c r="O1126" s="12"/>
      <c r="S1126" s="10"/>
    </row>
    <row r="1127" spans="1:19" s="8" customFormat="1" x14ac:dyDescent="0.2">
      <c r="A1127" s="2"/>
      <c r="B1127" s="10"/>
      <c r="K1127" s="2"/>
      <c r="L1127" s="2"/>
      <c r="N1127" s="10"/>
      <c r="O1127" s="12"/>
      <c r="S1127" s="10"/>
    </row>
    <row r="1128" spans="1:19" s="8" customFormat="1" x14ac:dyDescent="0.2">
      <c r="A1128" s="2"/>
      <c r="B1128" s="10"/>
      <c r="K1128" s="2"/>
      <c r="L1128" s="2"/>
      <c r="N1128" s="10"/>
      <c r="O1128" s="12"/>
      <c r="S1128" s="10"/>
    </row>
    <row r="1129" spans="1:19" s="8" customFormat="1" x14ac:dyDescent="0.2">
      <c r="A1129" s="2"/>
      <c r="B1129" s="10"/>
      <c r="K1129" s="2"/>
      <c r="L1129" s="2"/>
      <c r="N1129" s="10"/>
      <c r="O1129" s="12"/>
      <c r="S1129" s="10"/>
    </row>
    <row r="1130" spans="1:19" s="8" customFormat="1" x14ac:dyDescent="0.2">
      <c r="A1130" s="2"/>
      <c r="B1130" s="10"/>
      <c r="K1130" s="2"/>
      <c r="L1130" s="2"/>
      <c r="N1130" s="10"/>
      <c r="O1130" s="12"/>
      <c r="S1130" s="10"/>
    </row>
    <row r="1131" spans="1:19" s="8" customFormat="1" x14ac:dyDescent="0.2">
      <c r="A1131" s="2"/>
      <c r="B1131" s="10"/>
      <c r="K1131" s="2"/>
      <c r="L1131" s="2"/>
      <c r="N1131" s="10"/>
      <c r="O1131" s="12"/>
      <c r="S1131" s="10"/>
    </row>
    <row r="1132" spans="1:19" s="8" customFormat="1" x14ac:dyDescent="0.2">
      <c r="A1132" s="2"/>
      <c r="B1132" s="10"/>
      <c r="K1132" s="2"/>
      <c r="L1132" s="2"/>
      <c r="N1132" s="10"/>
      <c r="O1132" s="12"/>
      <c r="S1132" s="10"/>
    </row>
    <row r="1133" spans="1:19" s="8" customFormat="1" x14ac:dyDescent="0.2">
      <c r="A1133" s="2"/>
      <c r="B1133" s="10"/>
      <c r="K1133" s="2"/>
      <c r="L1133" s="2"/>
      <c r="N1133" s="10"/>
      <c r="O1133" s="12"/>
      <c r="S1133" s="10"/>
    </row>
    <row r="1134" spans="1:19" s="8" customFormat="1" x14ac:dyDescent="0.2">
      <c r="A1134" s="2"/>
      <c r="B1134" s="10"/>
      <c r="K1134" s="2"/>
      <c r="L1134" s="2"/>
      <c r="N1134" s="10"/>
      <c r="O1134" s="12"/>
      <c r="S1134" s="10"/>
    </row>
    <row r="1135" spans="1:19" s="8" customFormat="1" x14ac:dyDescent="0.2">
      <c r="A1135" s="2"/>
      <c r="B1135" s="10"/>
      <c r="K1135" s="2"/>
      <c r="L1135" s="2"/>
      <c r="N1135" s="10"/>
      <c r="O1135" s="12"/>
      <c r="S1135" s="10"/>
    </row>
    <row r="1136" spans="1:19" s="8" customFormat="1" x14ac:dyDescent="0.2">
      <c r="A1136" s="2"/>
      <c r="B1136" s="10"/>
      <c r="K1136" s="2"/>
      <c r="L1136" s="2"/>
      <c r="N1136" s="10"/>
      <c r="O1136" s="12"/>
      <c r="S1136" s="10"/>
    </row>
    <row r="1137" spans="1:19" s="8" customFormat="1" x14ac:dyDescent="0.2">
      <c r="A1137" s="2"/>
      <c r="B1137" s="10"/>
      <c r="K1137" s="2"/>
      <c r="L1137" s="2"/>
      <c r="N1137" s="10"/>
      <c r="O1137" s="12"/>
      <c r="S1137" s="10"/>
    </row>
    <row r="1138" spans="1:19" s="8" customFormat="1" x14ac:dyDescent="0.2">
      <c r="A1138" s="2"/>
      <c r="B1138" s="10"/>
      <c r="K1138" s="2"/>
      <c r="L1138" s="2"/>
      <c r="N1138" s="10"/>
      <c r="O1138" s="12"/>
      <c r="S1138" s="10"/>
    </row>
    <row r="1139" spans="1:19" s="8" customFormat="1" x14ac:dyDescent="0.2">
      <c r="A1139" s="2"/>
      <c r="B1139" s="10"/>
      <c r="K1139" s="2"/>
      <c r="L1139" s="2"/>
      <c r="N1139" s="10"/>
      <c r="O1139" s="12"/>
      <c r="S1139" s="10"/>
    </row>
    <row r="1140" spans="1:19" s="8" customFormat="1" x14ac:dyDescent="0.2">
      <c r="A1140" s="2"/>
      <c r="B1140" s="10"/>
      <c r="K1140" s="2"/>
      <c r="L1140" s="2"/>
      <c r="N1140" s="10"/>
      <c r="O1140" s="12"/>
      <c r="S1140" s="10"/>
    </row>
    <row r="1141" spans="1:19" s="8" customFormat="1" x14ac:dyDescent="0.2">
      <c r="A1141" s="2"/>
      <c r="B1141" s="10"/>
      <c r="K1141" s="2"/>
      <c r="L1141" s="2"/>
      <c r="N1141" s="10"/>
      <c r="O1141" s="12"/>
      <c r="S1141" s="10"/>
    </row>
    <row r="1142" spans="1:19" s="8" customFormat="1" x14ac:dyDescent="0.2">
      <c r="A1142" s="2"/>
      <c r="B1142" s="10"/>
      <c r="K1142" s="2"/>
      <c r="L1142" s="2"/>
      <c r="N1142" s="10"/>
      <c r="O1142" s="12"/>
      <c r="S1142" s="10"/>
    </row>
    <row r="1143" spans="1:19" s="8" customFormat="1" x14ac:dyDescent="0.2">
      <c r="A1143" s="2"/>
      <c r="B1143" s="10"/>
      <c r="K1143" s="2"/>
      <c r="L1143" s="2"/>
      <c r="N1143" s="10"/>
      <c r="O1143" s="12"/>
      <c r="S1143" s="10"/>
    </row>
    <row r="1144" spans="1:19" s="8" customFormat="1" x14ac:dyDescent="0.2">
      <c r="A1144" s="2"/>
      <c r="B1144" s="10"/>
      <c r="K1144" s="2"/>
      <c r="L1144" s="2"/>
      <c r="N1144" s="10"/>
      <c r="O1144" s="12"/>
      <c r="S1144" s="10"/>
    </row>
    <row r="1145" spans="1:19" s="8" customFormat="1" x14ac:dyDescent="0.2">
      <c r="A1145" s="2"/>
      <c r="B1145" s="10"/>
      <c r="K1145" s="2"/>
      <c r="L1145" s="2"/>
      <c r="N1145" s="10"/>
      <c r="O1145" s="12"/>
      <c r="S1145" s="10"/>
    </row>
    <row r="1146" spans="1:19" s="8" customFormat="1" x14ac:dyDescent="0.2">
      <c r="A1146" s="2"/>
      <c r="B1146" s="10"/>
      <c r="K1146" s="2"/>
      <c r="L1146" s="2"/>
      <c r="N1146" s="10"/>
      <c r="O1146" s="12"/>
      <c r="S1146" s="10"/>
    </row>
    <row r="1147" spans="1:19" s="8" customFormat="1" x14ac:dyDescent="0.2">
      <c r="A1147" s="2"/>
      <c r="B1147" s="10"/>
      <c r="K1147" s="2"/>
      <c r="L1147" s="2"/>
      <c r="N1147" s="10"/>
      <c r="O1147" s="12"/>
      <c r="S1147" s="10"/>
    </row>
    <row r="1148" spans="1:19" s="8" customFormat="1" x14ac:dyDescent="0.2">
      <c r="A1148" s="2"/>
      <c r="B1148" s="10"/>
      <c r="K1148" s="2"/>
      <c r="L1148" s="2"/>
      <c r="N1148" s="10"/>
      <c r="O1148" s="12"/>
      <c r="S1148" s="10"/>
    </row>
    <row r="1149" spans="1:19" s="8" customFormat="1" x14ac:dyDescent="0.2">
      <c r="A1149" s="2"/>
      <c r="B1149" s="10"/>
      <c r="K1149" s="2"/>
      <c r="L1149" s="2"/>
      <c r="N1149" s="10"/>
      <c r="O1149" s="12"/>
      <c r="S1149" s="10"/>
    </row>
    <row r="1150" spans="1:19" s="8" customFormat="1" x14ac:dyDescent="0.2">
      <c r="A1150" s="2"/>
      <c r="B1150" s="10"/>
      <c r="K1150" s="2"/>
      <c r="L1150" s="2"/>
      <c r="N1150" s="10"/>
      <c r="O1150" s="12"/>
      <c r="S1150" s="10"/>
    </row>
    <row r="1151" spans="1:19" s="8" customFormat="1" x14ac:dyDescent="0.2">
      <c r="A1151" s="2"/>
      <c r="B1151" s="10"/>
      <c r="K1151" s="2"/>
      <c r="L1151" s="2"/>
      <c r="N1151" s="10"/>
      <c r="O1151" s="12"/>
      <c r="S1151" s="10"/>
    </row>
    <row r="1152" spans="1:19" s="8" customFormat="1" x14ac:dyDescent="0.2">
      <c r="A1152" s="2"/>
      <c r="B1152" s="10"/>
      <c r="K1152" s="2"/>
      <c r="L1152" s="2"/>
      <c r="N1152" s="10"/>
      <c r="O1152" s="12"/>
      <c r="S1152" s="10"/>
    </row>
    <row r="1153" spans="1:19" s="8" customFormat="1" x14ac:dyDescent="0.2">
      <c r="A1153" s="2"/>
      <c r="B1153" s="10"/>
      <c r="K1153" s="2"/>
      <c r="L1153" s="2"/>
      <c r="N1153" s="10"/>
      <c r="O1153" s="12"/>
      <c r="S1153" s="10"/>
    </row>
    <row r="1154" spans="1:19" s="8" customFormat="1" x14ac:dyDescent="0.2">
      <c r="A1154" s="2"/>
      <c r="B1154" s="10"/>
      <c r="K1154" s="2"/>
      <c r="L1154" s="2"/>
      <c r="N1154" s="10"/>
      <c r="O1154" s="12"/>
      <c r="S1154" s="10"/>
    </row>
    <row r="1155" spans="1:19" s="8" customFormat="1" x14ac:dyDescent="0.2">
      <c r="A1155" s="2"/>
      <c r="B1155" s="10"/>
      <c r="K1155" s="2"/>
      <c r="L1155" s="2"/>
      <c r="N1155" s="10"/>
      <c r="O1155" s="12"/>
      <c r="S1155" s="10"/>
    </row>
    <row r="1156" spans="1:19" s="8" customFormat="1" x14ac:dyDescent="0.2">
      <c r="A1156" s="2"/>
      <c r="B1156" s="10"/>
      <c r="K1156" s="2"/>
      <c r="L1156" s="2"/>
      <c r="N1156" s="10"/>
      <c r="O1156" s="12"/>
      <c r="S1156" s="10"/>
    </row>
    <row r="1157" spans="1:19" s="8" customFormat="1" x14ac:dyDescent="0.2">
      <c r="A1157" s="2"/>
      <c r="B1157" s="10"/>
      <c r="K1157" s="2"/>
      <c r="L1157" s="2"/>
      <c r="N1157" s="10"/>
      <c r="O1157" s="12"/>
      <c r="S1157" s="10"/>
    </row>
    <row r="1158" spans="1:19" s="8" customFormat="1" x14ac:dyDescent="0.2">
      <c r="A1158" s="2"/>
      <c r="B1158" s="10"/>
      <c r="K1158" s="2"/>
      <c r="L1158" s="2"/>
      <c r="N1158" s="10"/>
      <c r="O1158" s="12"/>
      <c r="S1158" s="10"/>
    </row>
    <row r="1159" spans="1:19" s="8" customFormat="1" x14ac:dyDescent="0.2">
      <c r="A1159" s="2"/>
      <c r="B1159" s="10"/>
      <c r="K1159" s="2"/>
      <c r="L1159" s="2"/>
      <c r="N1159" s="10"/>
      <c r="O1159" s="12"/>
      <c r="S1159" s="10"/>
    </row>
    <row r="1160" spans="1:19" s="8" customFormat="1" x14ac:dyDescent="0.2">
      <c r="A1160" s="2"/>
      <c r="B1160" s="10"/>
      <c r="K1160" s="2"/>
      <c r="L1160" s="2"/>
      <c r="N1160" s="10"/>
      <c r="O1160" s="12"/>
      <c r="S1160" s="10"/>
    </row>
    <row r="1161" spans="1:19" s="8" customFormat="1" x14ac:dyDescent="0.2">
      <c r="A1161" s="2"/>
      <c r="B1161" s="10"/>
      <c r="K1161" s="2"/>
      <c r="L1161" s="2"/>
      <c r="N1161" s="10"/>
      <c r="O1161" s="12"/>
      <c r="S1161" s="10"/>
    </row>
    <row r="1162" spans="1:19" s="8" customFormat="1" x14ac:dyDescent="0.2">
      <c r="A1162" s="2"/>
      <c r="B1162" s="10"/>
      <c r="K1162" s="2"/>
      <c r="L1162" s="2"/>
      <c r="N1162" s="10"/>
      <c r="O1162" s="12"/>
      <c r="S1162" s="10"/>
    </row>
    <row r="1163" spans="1:19" s="8" customFormat="1" x14ac:dyDescent="0.2">
      <c r="A1163" s="2"/>
      <c r="B1163" s="10"/>
      <c r="K1163" s="2"/>
      <c r="L1163" s="2"/>
      <c r="N1163" s="10"/>
      <c r="O1163" s="12"/>
      <c r="S1163" s="10"/>
    </row>
    <row r="1164" spans="1:19" s="8" customFormat="1" x14ac:dyDescent="0.2">
      <c r="A1164" s="2"/>
      <c r="B1164" s="10"/>
      <c r="K1164" s="2"/>
      <c r="L1164" s="2"/>
      <c r="N1164" s="10"/>
      <c r="O1164" s="12"/>
      <c r="S1164" s="10"/>
    </row>
    <row r="1165" spans="1:19" s="8" customFormat="1" x14ac:dyDescent="0.2">
      <c r="A1165" s="2"/>
      <c r="B1165" s="10"/>
      <c r="K1165" s="2"/>
      <c r="L1165" s="2"/>
      <c r="N1165" s="10"/>
      <c r="O1165" s="12"/>
      <c r="S1165" s="10"/>
    </row>
    <row r="1166" spans="1:19" s="8" customFormat="1" x14ac:dyDescent="0.2">
      <c r="A1166" s="2"/>
      <c r="B1166" s="10"/>
      <c r="K1166" s="2"/>
      <c r="L1166" s="2"/>
      <c r="N1166" s="10"/>
      <c r="O1166" s="12"/>
      <c r="S1166" s="10"/>
    </row>
    <row r="1167" spans="1:19" s="8" customFormat="1" x14ac:dyDescent="0.2">
      <c r="A1167" s="2"/>
      <c r="B1167" s="10"/>
      <c r="K1167" s="2"/>
      <c r="L1167" s="2"/>
      <c r="N1167" s="10"/>
      <c r="O1167" s="12"/>
      <c r="S1167" s="10"/>
    </row>
    <row r="1168" spans="1:19" s="8" customFormat="1" x14ac:dyDescent="0.2">
      <c r="A1168" s="2"/>
      <c r="B1168" s="10"/>
      <c r="K1168" s="2"/>
      <c r="L1168" s="2"/>
      <c r="N1168" s="10"/>
      <c r="O1168" s="12"/>
      <c r="S1168" s="10"/>
    </row>
    <row r="1169" spans="1:19" s="8" customFormat="1" x14ac:dyDescent="0.2">
      <c r="A1169" s="2"/>
      <c r="B1169" s="10"/>
      <c r="K1169" s="2"/>
      <c r="L1169" s="2"/>
      <c r="N1169" s="10"/>
      <c r="O1169" s="12"/>
      <c r="S1169" s="10"/>
    </row>
    <row r="1170" spans="1:19" s="8" customFormat="1" x14ac:dyDescent="0.2">
      <c r="A1170" s="2"/>
      <c r="B1170" s="10"/>
      <c r="K1170" s="2"/>
      <c r="L1170" s="2"/>
      <c r="N1170" s="10"/>
      <c r="O1170" s="12"/>
      <c r="S1170" s="10"/>
    </row>
    <row r="1171" spans="1:19" s="8" customFormat="1" x14ac:dyDescent="0.2">
      <c r="A1171" s="2"/>
      <c r="B1171" s="10"/>
      <c r="K1171" s="2"/>
      <c r="L1171" s="2"/>
      <c r="N1171" s="10"/>
      <c r="O1171" s="12"/>
      <c r="S1171" s="10"/>
    </row>
    <row r="1172" spans="1:19" s="8" customFormat="1" x14ac:dyDescent="0.2">
      <c r="A1172" s="2"/>
      <c r="B1172" s="10"/>
      <c r="K1172" s="2"/>
      <c r="L1172" s="2"/>
      <c r="N1172" s="10"/>
      <c r="O1172" s="12"/>
      <c r="S1172" s="10"/>
    </row>
    <row r="1173" spans="1:19" s="8" customFormat="1" x14ac:dyDescent="0.2">
      <c r="A1173" s="2"/>
      <c r="B1173" s="10"/>
      <c r="K1173" s="2"/>
      <c r="L1173" s="2"/>
      <c r="N1173" s="10"/>
      <c r="O1173" s="12"/>
      <c r="S1173" s="10"/>
    </row>
    <row r="1174" spans="1:19" s="8" customFormat="1" x14ac:dyDescent="0.2">
      <c r="A1174" s="2"/>
      <c r="B1174" s="10"/>
      <c r="K1174" s="2"/>
      <c r="L1174" s="2"/>
      <c r="N1174" s="10"/>
      <c r="O1174" s="12"/>
      <c r="S1174" s="10"/>
    </row>
    <row r="1175" spans="1:19" s="8" customFormat="1" x14ac:dyDescent="0.2">
      <c r="A1175" s="2"/>
      <c r="B1175" s="10"/>
      <c r="K1175" s="2"/>
      <c r="L1175" s="2"/>
      <c r="N1175" s="10"/>
      <c r="O1175" s="12"/>
      <c r="S1175" s="10"/>
    </row>
    <row r="1176" spans="1:19" s="8" customFormat="1" x14ac:dyDescent="0.2">
      <c r="A1176" s="2"/>
      <c r="B1176" s="10"/>
      <c r="K1176" s="2"/>
      <c r="L1176" s="2"/>
      <c r="N1176" s="10"/>
      <c r="O1176" s="12"/>
      <c r="S1176" s="10"/>
    </row>
    <row r="1177" spans="1:19" s="8" customFormat="1" x14ac:dyDescent="0.2">
      <c r="A1177" s="2"/>
      <c r="B1177" s="10"/>
      <c r="K1177" s="2"/>
      <c r="L1177" s="2"/>
      <c r="N1177" s="10"/>
      <c r="O1177" s="12"/>
      <c r="S1177" s="10"/>
    </row>
    <row r="1178" spans="1:19" s="8" customFormat="1" x14ac:dyDescent="0.2">
      <c r="A1178" s="2"/>
      <c r="B1178" s="10"/>
      <c r="K1178" s="2"/>
      <c r="L1178" s="2"/>
      <c r="N1178" s="10"/>
      <c r="O1178" s="12"/>
      <c r="S1178" s="10"/>
    </row>
    <row r="1179" spans="1:19" s="8" customFormat="1" x14ac:dyDescent="0.2">
      <c r="A1179" s="2"/>
      <c r="B1179" s="10"/>
      <c r="K1179" s="2"/>
      <c r="L1179" s="2"/>
      <c r="N1179" s="10"/>
      <c r="O1179" s="12"/>
      <c r="S1179" s="10"/>
    </row>
    <row r="1180" spans="1:19" s="8" customFormat="1" x14ac:dyDescent="0.2">
      <c r="A1180" s="2"/>
      <c r="B1180" s="10"/>
      <c r="K1180" s="2"/>
      <c r="L1180" s="2"/>
      <c r="N1180" s="10"/>
      <c r="O1180" s="12"/>
      <c r="S1180" s="10"/>
    </row>
    <row r="1181" spans="1:19" s="8" customFormat="1" x14ac:dyDescent="0.2">
      <c r="A1181" s="2"/>
      <c r="B1181" s="10"/>
      <c r="K1181" s="2"/>
      <c r="L1181" s="2"/>
      <c r="N1181" s="10"/>
      <c r="O1181" s="12"/>
      <c r="S1181" s="10"/>
    </row>
    <row r="1182" spans="1:19" s="8" customFormat="1" x14ac:dyDescent="0.2">
      <c r="A1182" s="2"/>
      <c r="B1182" s="10"/>
      <c r="K1182" s="2"/>
      <c r="L1182" s="2"/>
      <c r="N1182" s="10"/>
      <c r="O1182" s="12"/>
      <c r="S1182" s="10"/>
    </row>
    <row r="1183" spans="1:19" s="8" customFormat="1" x14ac:dyDescent="0.2">
      <c r="A1183" s="2"/>
      <c r="B1183" s="10"/>
      <c r="K1183" s="2"/>
      <c r="L1183" s="2"/>
      <c r="N1183" s="10"/>
      <c r="O1183" s="12"/>
      <c r="S1183" s="10"/>
    </row>
    <row r="1184" spans="1:19" s="8" customFormat="1" x14ac:dyDescent="0.2">
      <c r="A1184" s="2"/>
      <c r="B1184" s="10"/>
      <c r="K1184" s="2"/>
      <c r="L1184" s="2"/>
      <c r="N1184" s="10"/>
      <c r="O1184" s="12"/>
      <c r="S1184" s="10"/>
    </row>
    <row r="1185" spans="1:19" s="8" customFormat="1" x14ac:dyDescent="0.2">
      <c r="A1185" s="2"/>
      <c r="B1185" s="10"/>
      <c r="K1185" s="2"/>
      <c r="L1185" s="2"/>
      <c r="N1185" s="10"/>
      <c r="O1185" s="12"/>
      <c r="S1185" s="10"/>
    </row>
    <row r="1186" spans="1:19" s="8" customFormat="1" x14ac:dyDescent="0.2">
      <c r="A1186" s="2"/>
      <c r="B1186" s="10"/>
      <c r="K1186" s="2"/>
      <c r="L1186" s="2"/>
      <c r="N1186" s="10"/>
      <c r="O1186" s="12"/>
      <c r="S1186" s="10"/>
    </row>
    <row r="1187" spans="1:19" s="8" customFormat="1" x14ac:dyDescent="0.2">
      <c r="A1187" s="2"/>
      <c r="B1187" s="10"/>
      <c r="K1187" s="2"/>
      <c r="L1187" s="2"/>
      <c r="N1187" s="10"/>
      <c r="O1187" s="12"/>
      <c r="S1187" s="10"/>
    </row>
    <row r="1188" spans="1:19" s="8" customFormat="1" x14ac:dyDescent="0.2">
      <c r="A1188" s="2"/>
      <c r="B1188" s="10"/>
      <c r="K1188" s="2"/>
      <c r="L1188" s="2"/>
      <c r="N1188" s="10"/>
      <c r="O1188" s="12"/>
      <c r="S1188" s="10"/>
    </row>
    <row r="1189" spans="1:19" s="8" customFormat="1" x14ac:dyDescent="0.2">
      <c r="A1189" s="2"/>
      <c r="B1189" s="10"/>
      <c r="K1189" s="2"/>
      <c r="L1189" s="2"/>
      <c r="N1189" s="10"/>
      <c r="O1189" s="12"/>
      <c r="S1189" s="10"/>
    </row>
    <row r="1190" spans="1:19" s="8" customFormat="1" x14ac:dyDescent="0.2">
      <c r="A1190" s="2"/>
      <c r="B1190" s="10"/>
      <c r="K1190" s="2"/>
      <c r="L1190" s="2"/>
      <c r="N1190" s="10"/>
      <c r="O1190" s="12"/>
      <c r="S1190" s="10"/>
    </row>
    <row r="1191" spans="1:19" s="8" customFormat="1" x14ac:dyDescent="0.2">
      <c r="A1191" s="2"/>
      <c r="B1191" s="10"/>
      <c r="K1191" s="2"/>
      <c r="L1191" s="2"/>
      <c r="N1191" s="10"/>
      <c r="O1191" s="12"/>
      <c r="S1191" s="10"/>
    </row>
    <row r="1192" spans="1:19" s="8" customFormat="1" x14ac:dyDescent="0.2">
      <c r="A1192" s="2"/>
      <c r="B1192" s="10"/>
      <c r="K1192" s="2"/>
      <c r="L1192" s="2"/>
      <c r="N1192" s="10"/>
      <c r="O1192" s="12"/>
      <c r="S1192" s="10"/>
    </row>
    <row r="1193" spans="1:19" s="8" customFormat="1" x14ac:dyDescent="0.2">
      <c r="A1193" s="2"/>
      <c r="B1193" s="10"/>
      <c r="K1193" s="2"/>
      <c r="L1193" s="2"/>
      <c r="N1193" s="10"/>
      <c r="O1193" s="12"/>
      <c r="S1193" s="10"/>
    </row>
    <row r="1194" spans="1:19" s="8" customFormat="1" x14ac:dyDescent="0.2">
      <c r="A1194" s="2"/>
      <c r="B1194" s="10"/>
      <c r="K1194" s="2"/>
      <c r="L1194" s="2"/>
      <c r="N1194" s="10"/>
      <c r="O1194" s="12"/>
      <c r="S1194" s="10"/>
    </row>
    <row r="1195" spans="1:19" s="8" customFormat="1" x14ac:dyDescent="0.2">
      <c r="A1195" s="2"/>
      <c r="B1195" s="10"/>
      <c r="K1195" s="2"/>
      <c r="L1195" s="2"/>
      <c r="N1195" s="10"/>
      <c r="O1195" s="12"/>
      <c r="S1195" s="10"/>
    </row>
    <row r="1196" spans="1:19" s="8" customFormat="1" x14ac:dyDescent="0.2">
      <c r="A1196" s="2"/>
      <c r="B1196" s="10"/>
      <c r="K1196" s="2"/>
      <c r="L1196" s="2"/>
      <c r="N1196" s="10"/>
      <c r="O1196" s="12"/>
      <c r="S1196" s="10"/>
    </row>
    <row r="1197" spans="1:19" s="8" customFormat="1" x14ac:dyDescent="0.2">
      <c r="A1197" s="2"/>
      <c r="B1197" s="10"/>
      <c r="K1197" s="2"/>
      <c r="L1197" s="2"/>
      <c r="N1197" s="10"/>
      <c r="O1197" s="12"/>
      <c r="S1197" s="10"/>
    </row>
    <row r="1198" spans="1:19" s="8" customFormat="1" x14ac:dyDescent="0.2">
      <c r="A1198" s="2"/>
      <c r="B1198" s="10"/>
      <c r="K1198" s="2"/>
      <c r="L1198" s="2"/>
      <c r="N1198" s="10"/>
      <c r="O1198" s="12"/>
      <c r="S1198" s="10"/>
    </row>
    <row r="1199" spans="1:19" s="8" customFormat="1" x14ac:dyDescent="0.2">
      <c r="A1199" s="2"/>
      <c r="B1199" s="10"/>
      <c r="K1199" s="2"/>
      <c r="L1199" s="2"/>
      <c r="N1199" s="10"/>
      <c r="O1199" s="12"/>
      <c r="S1199" s="10"/>
    </row>
    <row r="1200" spans="1:19" s="8" customFormat="1" x14ac:dyDescent="0.2">
      <c r="A1200" s="2"/>
      <c r="B1200" s="10"/>
      <c r="K1200" s="2"/>
      <c r="L1200" s="2"/>
      <c r="N1200" s="10"/>
      <c r="O1200" s="12"/>
      <c r="S1200" s="10"/>
    </row>
    <row r="1201" spans="1:19" s="8" customFormat="1" x14ac:dyDescent="0.2">
      <c r="A1201" s="2"/>
      <c r="B1201" s="10"/>
      <c r="K1201" s="2"/>
      <c r="L1201" s="2"/>
      <c r="N1201" s="10"/>
      <c r="O1201" s="12"/>
      <c r="S1201" s="10"/>
    </row>
    <row r="1202" spans="1:19" s="8" customFormat="1" x14ac:dyDescent="0.2">
      <c r="A1202" s="2"/>
      <c r="B1202" s="10"/>
      <c r="K1202" s="2"/>
      <c r="L1202" s="2"/>
      <c r="N1202" s="10"/>
      <c r="O1202" s="12"/>
      <c r="S1202" s="10"/>
    </row>
    <row r="1203" spans="1:19" s="8" customFormat="1" x14ac:dyDescent="0.2">
      <c r="A1203" s="2"/>
      <c r="B1203" s="10"/>
      <c r="K1203" s="2"/>
      <c r="L1203" s="2"/>
      <c r="N1203" s="10"/>
      <c r="O1203" s="12"/>
      <c r="S1203" s="10"/>
    </row>
    <row r="1204" spans="1:19" s="8" customFormat="1" x14ac:dyDescent="0.2">
      <c r="A1204" s="2"/>
      <c r="B1204" s="10"/>
      <c r="K1204" s="2"/>
      <c r="L1204" s="2"/>
      <c r="N1204" s="10"/>
      <c r="O1204" s="12"/>
      <c r="S1204" s="10"/>
    </row>
    <row r="1205" spans="1:19" s="8" customFormat="1" x14ac:dyDescent="0.2">
      <c r="A1205" s="2"/>
      <c r="B1205" s="10"/>
      <c r="K1205" s="2"/>
      <c r="L1205" s="2"/>
      <c r="N1205" s="10"/>
      <c r="O1205" s="12"/>
      <c r="S1205" s="10"/>
    </row>
    <row r="1206" spans="1:19" s="8" customFormat="1" x14ac:dyDescent="0.2">
      <c r="A1206" s="2"/>
      <c r="B1206" s="10"/>
      <c r="K1206" s="2"/>
      <c r="L1206" s="2"/>
      <c r="N1206" s="10"/>
      <c r="O1206" s="12"/>
      <c r="S1206" s="10"/>
    </row>
    <row r="1207" spans="1:19" s="8" customFormat="1" x14ac:dyDescent="0.2">
      <c r="A1207" s="2"/>
      <c r="B1207" s="10"/>
      <c r="K1207" s="2"/>
      <c r="L1207" s="2"/>
      <c r="N1207" s="10"/>
      <c r="O1207" s="12"/>
      <c r="S1207" s="10"/>
    </row>
    <row r="1208" spans="1:19" s="8" customFormat="1" x14ac:dyDescent="0.2">
      <c r="A1208" s="2"/>
      <c r="B1208" s="10"/>
      <c r="K1208" s="2"/>
      <c r="L1208" s="2"/>
      <c r="N1208" s="10"/>
      <c r="O1208" s="12"/>
      <c r="S1208" s="10"/>
    </row>
    <row r="1209" spans="1:19" s="8" customFormat="1" x14ac:dyDescent="0.2">
      <c r="A1209" s="2"/>
      <c r="B1209" s="10"/>
      <c r="K1209" s="2"/>
      <c r="L1209" s="2"/>
      <c r="N1209" s="10"/>
      <c r="O1209" s="12"/>
      <c r="S1209" s="10"/>
    </row>
    <row r="1210" spans="1:19" s="8" customFormat="1" x14ac:dyDescent="0.2">
      <c r="A1210" s="2"/>
      <c r="B1210" s="10"/>
      <c r="K1210" s="2"/>
      <c r="L1210" s="2"/>
      <c r="N1210" s="10"/>
      <c r="O1210" s="12"/>
      <c r="S1210" s="10"/>
    </row>
    <row r="1211" spans="1:19" s="8" customFormat="1" x14ac:dyDescent="0.2">
      <c r="A1211" s="2"/>
      <c r="B1211" s="10"/>
      <c r="K1211" s="2"/>
      <c r="L1211" s="2"/>
      <c r="N1211" s="10"/>
      <c r="O1211" s="12"/>
      <c r="S1211" s="10"/>
    </row>
    <row r="1212" spans="1:19" s="8" customFormat="1" x14ac:dyDescent="0.2">
      <c r="A1212" s="2"/>
      <c r="B1212" s="10"/>
      <c r="K1212" s="2"/>
      <c r="L1212" s="2"/>
      <c r="N1212" s="10"/>
      <c r="O1212" s="12"/>
      <c r="S1212" s="10"/>
    </row>
    <row r="1213" spans="1:19" s="8" customFormat="1" x14ac:dyDescent="0.2">
      <c r="A1213" s="2"/>
      <c r="B1213" s="10"/>
      <c r="K1213" s="2"/>
      <c r="L1213" s="2"/>
      <c r="N1213" s="10"/>
      <c r="O1213" s="12"/>
      <c r="S1213" s="10"/>
    </row>
    <row r="1214" spans="1:19" s="8" customFormat="1" x14ac:dyDescent="0.2">
      <c r="A1214" s="2"/>
      <c r="B1214" s="10"/>
      <c r="K1214" s="2"/>
      <c r="L1214" s="2"/>
      <c r="N1214" s="10"/>
      <c r="O1214" s="12"/>
      <c r="S1214" s="10"/>
    </row>
    <row r="1215" spans="1:19" s="8" customFormat="1" x14ac:dyDescent="0.2">
      <c r="A1215" s="2"/>
      <c r="B1215" s="10"/>
      <c r="K1215" s="2"/>
      <c r="L1215" s="2"/>
      <c r="N1215" s="10"/>
      <c r="O1215" s="12"/>
      <c r="S1215" s="10"/>
    </row>
    <row r="1216" spans="1:19" s="8" customFormat="1" x14ac:dyDescent="0.2">
      <c r="A1216" s="2"/>
      <c r="B1216" s="10"/>
      <c r="K1216" s="2"/>
      <c r="L1216" s="2"/>
      <c r="N1216" s="10"/>
      <c r="O1216" s="12"/>
      <c r="S1216" s="10"/>
    </row>
    <row r="1217" spans="1:19" s="8" customFormat="1" x14ac:dyDescent="0.2">
      <c r="A1217" s="2"/>
      <c r="B1217" s="10"/>
      <c r="K1217" s="2"/>
      <c r="L1217" s="2"/>
      <c r="N1217" s="10"/>
      <c r="O1217" s="12"/>
      <c r="S1217" s="10"/>
    </row>
    <row r="1218" spans="1:19" s="8" customFormat="1" x14ac:dyDescent="0.2">
      <c r="A1218" s="2"/>
      <c r="B1218" s="10"/>
      <c r="K1218" s="2"/>
      <c r="L1218" s="2"/>
      <c r="N1218" s="10"/>
      <c r="O1218" s="12"/>
      <c r="S1218" s="10"/>
    </row>
    <row r="1219" spans="1:19" s="8" customFormat="1" x14ac:dyDescent="0.2">
      <c r="A1219" s="2"/>
      <c r="B1219" s="10"/>
      <c r="K1219" s="2"/>
      <c r="L1219" s="2"/>
      <c r="N1219" s="10"/>
      <c r="O1219" s="12"/>
      <c r="S1219" s="10"/>
    </row>
    <row r="1220" spans="1:19" s="8" customFormat="1" x14ac:dyDescent="0.2">
      <c r="A1220" s="2"/>
      <c r="B1220" s="10"/>
      <c r="K1220" s="2"/>
      <c r="L1220" s="2"/>
      <c r="N1220" s="10"/>
      <c r="O1220" s="12"/>
      <c r="S1220" s="10"/>
    </row>
    <row r="1221" spans="1:19" s="8" customFormat="1" x14ac:dyDescent="0.2">
      <c r="A1221" s="2"/>
      <c r="B1221" s="10"/>
      <c r="K1221" s="2"/>
      <c r="L1221" s="2"/>
      <c r="N1221" s="10"/>
      <c r="O1221" s="12"/>
      <c r="S1221" s="10"/>
    </row>
    <row r="1222" spans="1:19" s="8" customFormat="1" x14ac:dyDescent="0.2">
      <c r="A1222" s="2"/>
      <c r="B1222" s="10"/>
      <c r="K1222" s="2"/>
      <c r="L1222" s="2"/>
      <c r="N1222" s="10"/>
      <c r="O1222" s="12"/>
      <c r="S1222" s="10"/>
    </row>
    <row r="1223" spans="1:19" s="8" customFormat="1" x14ac:dyDescent="0.2">
      <c r="A1223" s="2"/>
      <c r="B1223" s="10"/>
      <c r="K1223" s="2"/>
      <c r="L1223" s="2"/>
      <c r="N1223" s="10"/>
      <c r="O1223" s="12"/>
      <c r="S1223" s="10"/>
    </row>
    <row r="1224" spans="1:19" s="8" customFormat="1" x14ac:dyDescent="0.2">
      <c r="A1224" s="2"/>
      <c r="B1224" s="10"/>
      <c r="K1224" s="2"/>
      <c r="L1224" s="2"/>
      <c r="N1224" s="10"/>
      <c r="O1224" s="12"/>
      <c r="S1224" s="10"/>
    </row>
    <row r="1225" spans="1:19" s="8" customFormat="1" x14ac:dyDescent="0.2">
      <c r="A1225" s="2"/>
      <c r="B1225" s="10"/>
      <c r="K1225" s="2"/>
      <c r="L1225" s="2"/>
      <c r="N1225" s="10"/>
      <c r="O1225" s="12"/>
      <c r="S1225" s="10"/>
    </row>
    <row r="1226" spans="1:19" s="8" customFormat="1" x14ac:dyDescent="0.2">
      <c r="A1226" s="2"/>
      <c r="B1226" s="10"/>
      <c r="K1226" s="2"/>
      <c r="L1226" s="2"/>
      <c r="N1226" s="10"/>
      <c r="O1226" s="12"/>
      <c r="S1226" s="10"/>
    </row>
    <row r="1227" spans="1:19" s="8" customFormat="1" x14ac:dyDescent="0.2">
      <c r="A1227" s="2"/>
      <c r="B1227" s="10"/>
      <c r="K1227" s="2"/>
      <c r="L1227" s="2"/>
      <c r="N1227" s="10"/>
      <c r="O1227" s="12"/>
      <c r="S1227" s="10"/>
    </row>
    <row r="1228" spans="1:19" s="8" customFormat="1" x14ac:dyDescent="0.2">
      <c r="A1228" s="2"/>
      <c r="B1228" s="10"/>
      <c r="K1228" s="2"/>
      <c r="L1228" s="2"/>
      <c r="N1228" s="10"/>
      <c r="O1228" s="12"/>
      <c r="S1228" s="10"/>
    </row>
    <row r="1229" spans="1:19" s="8" customFormat="1" x14ac:dyDescent="0.2">
      <c r="A1229" s="2"/>
      <c r="B1229" s="10"/>
      <c r="K1229" s="2"/>
      <c r="L1229" s="2"/>
      <c r="N1229" s="10"/>
      <c r="O1229" s="12"/>
      <c r="S1229" s="10"/>
    </row>
    <row r="1230" spans="1:19" s="8" customFormat="1" x14ac:dyDescent="0.2">
      <c r="A1230" s="2"/>
      <c r="B1230" s="10"/>
      <c r="K1230" s="2"/>
      <c r="L1230" s="2"/>
      <c r="N1230" s="10"/>
      <c r="O1230" s="12"/>
      <c r="S1230" s="10"/>
    </row>
    <row r="1231" spans="1:19" s="8" customFormat="1" x14ac:dyDescent="0.2">
      <c r="A1231" s="2"/>
      <c r="B1231" s="10"/>
      <c r="K1231" s="2"/>
      <c r="L1231" s="2"/>
      <c r="N1231" s="10"/>
      <c r="O1231" s="12"/>
      <c r="S1231" s="10"/>
    </row>
    <row r="1232" spans="1:19" s="8" customFormat="1" x14ac:dyDescent="0.2">
      <c r="A1232" s="2"/>
      <c r="B1232" s="10"/>
      <c r="K1232" s="2"/>
      <c r="L1232" s="2"/>
      <c r="N1232" s="10"/>
      <c r="O1232" s="12"/>
      <c r="S1232" s="10"/>
    </row>
    <row r="1233" spans="1:19" s="8" customFormat="1" x14ac:dyDescent="0.2">
      <c r="A1233" s="2"/>
      <c r="B1233" s="10"/>
      <c r="K1233" s="2"/>
      <c r="L1233" s="2"/>
      <c r="N1233" s="10"/>
      <c r="O1233" s="12"/>
      <c r="S1233" s="10"/>
    </row>
    <row r="1234" spans="1:19" s="8" customFormat="1" x14ac:dyDescent="0.2">
      <c r="A1234" s="2"/>
      <c r="B1234" s="10"/>
      <c r="K1234" s="2"/>
      <c r="L1234" s="2"/>
      <c r="N1234" s="10"/>
      <c r="O1234" s="12"/>
      <c r="S1234" s="10"/>
    </row>
    <row r="1235" spans="1:19" s="8" customFormat="1" x14ac:dyDescent="0.2">
      <c r="A1235" s="2"/>
      <c r="B1235" s="10"/>
      <c r="K1235" s="2"/>
      <c r="L1235" s="2"/>
      <c r="N1235" s="10"/>
      <c r="O1235" s="12"/>
      <c r="S1235" s="10"/>
    </row>
    <row r="1236" spans="1:19" s="8" customFormat="1" x14ac:dyDescent="0.2">
      <c r="A1236" s="2"/>
      <c r="B1236" s="10"/>
      <c r="K1236" s="2"/>
      <c r="L1236" s="2"/>
      <c r="N1236" s="10"/>
      <c r="O1236" s="12"/>
      <c r="S1236" s="10"/>
    </row>
    <row r="1237" spans="1:19" s="8" customFormat="1" x14ac:dyDescent="0.2">
      <c r="A1237" s="2"/>
      <c r="B1237" s="10"/>
      <c r="K1237" s="2"/>
      <c r="L1237" s="2"/>
      <c r="N1237" s="10"/>
      <c r="O1237" s="12"/>
      <c r="S1237" s="10"/>
    </row>
    <row r="1238" spans="1:19" s="8" customFormat="1" x14ac:dyDescent="0.2">
      <c r="A1238" s="2"/>
      <c r="B1238" s="10"/>
      <c r="K1238" s="2"/>
      <c r="L1238" s="2"/>
      <c r="N1238" s="10"/>
      <c r="O1238" s="12"/>
      <c r="S1238" s="10"/>
    </row>
    <row r="1239" spans="1:19" s="8" customFormat="1" x14ac:dyDescent="0.2">
      <c r="A1239" s="2"/>
      <c r="B1239" s="10"/>
      <c r="K1239" s="2"/>
      <c r="L1239" s="2"/>
      <c r="N1239" s="10"/>
      <c r="O1239" s="12"/>
      <c r="S1239" s="10"/>
    </row>
    <row r="1240" spans="1:19" s="8" customFormat="1" x14ac:dyDescent="0.2">
      <c r="A1240" s="2"/>
      <c r="B1240" s="10"/>
      <c r="K1240" s="2"/>
      <c r="L1240" s="2"/>
      <c r="N1240" s="10"/>
      <c r="O1240" s="12"/>
      <c r="S1240" s="10"/>
    </row>
    <row r="1241" spans="1:19" s="8" customFormat="1" x14ac:dyDescent="0.2">
      <c r="A1241" s="2"/>
      <c r="B1241" s="10"/>
      <c r="K1241" s="2"/>
      <c r="L1241" s="2"/>
      <c r="N1241" s="10"/>
      <c r="O1241" s="12"/>
      <c r="S1241" s="10"/>
    </row>
    <row r="1242" spans="1:19" s="8" customFormat="1" x14ac:dyDescent="0.2">
      <c r="A1242" s="2"/>
      <c r="B1242" s="10"/>
      <c r="K1242" s="2"/>
      <c r="L1242" s="2"/>
      <c r="N1242" s="10"/>
      <c r="O1242" s="12"/>
      <c r="S1242" s="10"/>
    </row>
    <row r="1243" spans="1:19" s="8" customFormat="1" x14ac:dyDescent="0.2">
      <c r="A1243" s="2"/>
      <c r="B1243" s="10"/>
      <c r="K1243" s="2"/>
      <c r="L1243" s="2"/>
      <c r="N1243" s="10"/>
      <c r="O1243" s="12"/>
      <c r="S1243" s="10"/>
    </row>
    <row r="1244" spans="1:19" s="8" customFormat="1" x14ac:dyDescent="0.2">
      <c r="A1244" s="2"/>
      <c r="B1244" s="10"/>
      <c r="K1244" s="2"/>
      <c r="L1244" s="2"/>
      <c r="N1244" s="10"/>
      <c r="O1244" s="12"/>
      <c r="S1244" s="10"/>
    </row>
    <row r="1245" spans="1:19" s="8" customFormat="1" x14ac:dyDescent="0.2">
      <c r="A1245" s="2"/>
      <c r="B1245" s="10"/>
      <c r="K1245" s="2"/>
      <c r="L1245" s="2"/>
      <c r="N1245" s="10"/>
      <c r="O1245" s="12"/>
      <c r="S1245" s="10"/>
    </row>
    <row r="1246" spans="1:19" s="8" customFormat="1" x14ac:dyDescent="0.2">
      <c r="A1246" s="2"/>
      <c r="B1246" s="10"/>
      <c r="K1246" s="2"/>
      <c r="L1246" s="2"/>
      <c r="N1246" s="10"/>
      <c r="O1246" s="12"/>
      <c r="S1246" s="10"/>
    </row>
    <row r="1247" spans="1:19" s="8" customFormat="1" x14ac:dyDescent="0.2">
      <c r="A1247" s="2"/>
      <c r="B1247" s="10"/>
      <c r="K1247" s="2"/>
      <c r="L1247" s="2"/>
      <c r="N1247" s="10"/>
      <c r="O1247" s="12"/>
      <c r="S1247" s="10"/>
    </row>
    <row r="1248" spans="1:19" s="8" customFormat="1" x14ac:dyDescent="0.2">
      <c r="A1248" s="2"/>
      <c r="B1248" s="10"/>
      <c r="K1248" s="2"/>
      <c r="L1248" s="2"/>
      <c r="N1248" s="10"/>
      <c r="O1248" s="12"/>
      <c r="S1248" s="10"/>
    </row>
    <row r="1249" spans="1:19" s="8" customFormat="1" x14ac:dyDescent="0.2">
      <c r="A1249" s="2"/>
      <c r="B1249" s="10"/>
      <c r="K1249" s="2"/>
      <c r="L1249" s="2"/>
      <c r="N1249" s="10"/>
      <c r="O1249" s="12"/>
      <c r="S1249" s="10"/>
    </row>
    <row r="1250" spans="1:19" s="8" customFormat="1" x14ac:dyDescent="0.2">
      <c r="A1250" s="2"/>
      <c r="B1250" s="10"/>
      <c r="K1250" s="2"/>
      <c r="L1250" s="2"/>
      <c r="N1250" s="10"/>
      <c r="O1250" s="12"/>
      <c r="S1250" s="10"/>
    </row>
    <row r="1251" spans="1:19" s="8" customFormat="1" x14ac:dyDescent="0.2">
      <c r="A1251" s="2"/>
      <c r="B1251" s="10"/>
      <c r="K1251" s="2"/>
      <c r="L1251" s="2"/>
      <c r="N1251" s="10"/>
      <c r="O1251" s="12"/>
      <c r="S1251" s="10"/>
    </row>
    <row r="1252" spans="1:19" s="8" customFormat="1" x14ac:dyDescent="0.2">
      <c r="A1252" s="2"/>
      <c r="B1252" s="10"/>
      <c r="K1252" s="2"/>
      <c r="L1252" s="2"/>
      <c r="N1252" s="10"/>
      <c r="O1252" s="12"/>
      <c r="S1252" s="10"/>
    </row>
    <row r="1253" spans="1:19" s="8" customFormat="1" x14ac:dyDescent="0.2">
      <c r="A1253" s="2"/>
      <c r="B1253" s="10"/>
      <c r="K1253" s="2"/>
      <c r="L1253" s="2"/>
      <c r="N1253" s="10"/>
      <c r="O1253" s="12"/>
      <c r="S1253" s="10"/>
    </row>
    <row r="1254" spans="1:19" s="8" customFormat="1" x14ac:dyDescent="0.2">
      <c r="A1254" s="2"/>
      <c r="B1254" s="10"/>
      <c r="K1254" s="2"/>
      <c r="L1254" s="2"/>
      <c r="N1254" s="10"/>
      <c r="O1254" s="12"/>
      <c r="S1254" s="10"/>
    </row>
    <row r="1255" spans="1:19" s="8" customFormat="1" x14ac:dyDescent="0.2">
      <c r="A1255" s="2"/>
      <c r="B1255" s="10"/>
      <c r="K1255" s="2"/>
      <c r="L1255" s="2"/>
      <c r="N1255" s="10"/>
      <c r="O1255" s="12"/>
      <c r="S1255" s="10"/>
    </row>
    <row r="1256" spans="1:19" s="8" customFormat="1" x14ac:dyDescent="0.2">
      <c r="A1256" s="2"/>
      <c r="B1256" s="10"/>
      <c r="K1256" s="2"/>
      <c r="L1256" s="2"/>
      <c r="N1256" s="10"/>
      <c r="O1256" s="12"/>
      <c r="S1256" s="10"/>
    </row>
    <row r="1257" spans="1:19" s="8" customFormat="1" x14ac:dyDescent="0.2">
      <c r="A1257" s="2"/>
      <c r="B1257" s="10"/>
      <c r="K1257" s="2"/>
      <c r="L1257" s="2"/>
      <c r="N1257" s="10"/>
      <c r="O1257" s="12"/>
      <c r="S1257" s="10"/>
    </row>
    <row r="1258" spans="1:19" s="8" customFormat="1" x14ac:dyDescent="0.2">
      <c r="A1258" s="2"/>
      <c r="B1258" s="10"/>
      <c r="K1258" s="2"/>
      <c r="L1258" s="2"/>
      <c r="N1258" s="10"/>
      <c r="O1258" s="12"/>
      <c r="S1258" s="10"/>
    </row>
    <row r="1259" spans="1:19" s="8" customFormat="1" x14ac:dyDescent="0.2">
      <c r="A1259" s="2"/>
      <c r="B1259" s="10"/>
      <c r="K1259" s="2"/>
      <c r="L1259" s="2"/>
      <c r="N1259" s="10"/>
      <c r="O1259" s="12"/>
      <c r="S1259" s="10"/>
    </row>
    <row r="1260" spans="1:19" s="8" customFormat="1" x14ac:dyDescent="0.2">
      <c r="A1260" s="2"/>
      <c r="B1260" s="10"/>
      <c r="K1260" s="2"/>
      <c r="L1260" s="2"/>
      <c r="N1260" s="10"/>
      <c r="O1260" s="12"/>
      <c r="S1260" s="10"/>
    </row>
    <row r="1261" spans="1:19" s="8" customFormat="1" x14ac:dyDescent="0.2">
      <c r="A1261" s="2"/>
      <c r="B1261" s="10"/>
      <c r="K1261" s="2"/>
      <c r="L1261" s="2"/>
      <c r="N1261" s="10"/>
      <c r="O1261" s="12"/>
      <c r="S1261" s="10"/>
    </row>
    <row r="1262" spans="1:19" s="8" customFormat="1" x14ac:dyDescent="0.2">
      <c r="A1262" s="2"/>
      <c r="B1262" s="10"/>
      <c r="K1262" s="2"/>
      <c r="L1262" s="2"/>
      <c r="N1262" s="10"/>
      <c r="O1262" s="12"/>
      <c r="S1262" s="10"/>
    </row>
    <row r="1263" spans="1:19" s="8" customFormat="1" x14ac:dyDescent="0.2">
      <c r="A1263" s="2"/>
      <c r="B1263" s="10"/>
      <c r="K1263" s="2"/>
      <c r="L1263" s="2"/>
      <c r="N1263" s="10"/>
      <c r="O1263" s="12"/>
      <c r="S1263" s="10"/>
    </row>
    <row r="1264" spans="1:19" s="8" customFormat="1" x14ac:dyDescent="0.2">
      <c r="A1264" s="2"/>
      <c r="B1264" s="10"/>
      <c r="K1264" s="2"/>
      <c r="L1264" s="2"/>
      <c r="N1264" s="10"/>
      <c r="O1264" s="12"/>
      <c r="S1264" s="10"/>
    </row>
    <row r="1265" spans="1:19" s="8" customFormat="1" x14ac:dyDescent="0.2">
      <c r="A1265" s="2"/>
      <c r="B1265" s="10"/>
      <c r="K1265" s="2"/>
      <c r="L1265" s="2"/>
      <c r="N1265" s="10"/>
      <c r="O1265" s="12"/>
      <c r="S1265" s="10"/>
    </row>
    <row r="1266" spans="1:19" s="8" customFormat="1" x14ac:dyDescent="0.2">
      <c r="A1266" s="2"/>
      <c r="B1266" s="10"/>
      <c r="K1266" s="2"/>
      <c r="L1266" s="2"/>
      <c r="N1266" s="10"/>
      <c r="O1266" s="12"/>
      <c r="S1266" s="10"/>
    </row>
    <row r="1267" spans="1:19" s="8" customFormat="1" x14ac:dyDescent="0.2">
      <c r="A1267" s="2"/>
      <c r="B1267" s="10"/>
      <c r="K1267" s="2"/>
      <c r="L1267" s="2"/>
      <c r="N1267" s="10"/>
      <c r="O1267" s="12"/>
      <c r="S1267" s="10"/>
    </row>
    <row r="1268" spans="1:19" s="8" customFormat="1" x14ac:dyDescent="0.2">
      <c r="A1268" s="2"/>
      <c r="B1268" s="10"/>
      <c r="K1268" s="2"/>
      <c r="L1268" s="2"/>
      <c r="N1268" s="10"/>
      <c r="O1268" s="12"/>
      <c r="S1268" s="10"/>
    </row>
    <row r="1269" spans="1:19" s="8" customFormat="1" x14ac:dyDescent="0.2">
      <c r="A1269" s="2"/>
      <c r="B1269" s="10"/>
      <c r="K1269" s="2"/>
      <c r="L1269" s="2"/>
      <c r="N1269" s="10"/>
      <c r="O1269" s="12"/>
      <c r="S1269" s="10"/>
    </row>
    <row r="1270" spans="1:19" s="8" customFormat="1" x14ac:dyDescent="0.2">
      <c r="A1270" s="2"/>
      <c r="B1270" s="10"/>
      <c r="K1270" s="2"/>
      <c r="L1270" s="2"/>
      <c r="N1270" s="10"/>
      <c r="O1270" s="12"/>
      <c r="S1270" s="10"/>
    </row>
    <row r="1271" spans="1:19" s="8" customFormat="1" x14ac:dyDescent="0.2">
      <c r="A1271" s="2"/>
      <c r="B1271" s="10"/>
      <c r="K1271" s="2"/>
      <c r="L1271" s="2"/>
      <c r="N1271" s="10"/>
      <c r="O1271" s="12"/>
      <c r="S1271" s="10"/>
    </row>
    <row r="1272" spans="1:19" s="8" customFormat="1" x14ac:dyDescent="0.2">
      <c r="A1272" s="2"/>
      <c r="B1272" s="10"/>
      <c r="K1272" s="2"/>
      <c r="L1272" s="2"/>
      <c r="N1272" s="10"/>
      <c r="O1272" s="12"/>
      <c r="S1272" s="10"/>
    </row>
    <row r="1273" spans="1:19" s="8" customFormat="1" x14ac:dyDescent="0.2">
      <c r="A1273" s="2"/>
      <c r="B1273" s="10"/>
      <c r="K1273" s="2"/>
      <c r="L1273" s="2"/>
      <c r="N1273" s="10"/>
      <c r="O1273" s="12"/>
      <c r="S1273" s="10"/>
    </row>
    <row r="1274" spans="1:19" s="8" customFormat="1" x14ac:dyDescent="0.2">
      <c r="A1274" s="2"/>
      <c r="B1274" s="10"/>
      <c r="K1274" s="2"/>
      <c r="L1274" s="2"/>
      <c r="N1274" s="10"/>
      <c r="O1274" s="12"/>
      <c r="S1274" s="10"/>
    </row>
    <row r="1275" spans="1:19" s="8" customFormat="1" x14ac:dyDescent="0.2">
      <c r="A1275" s="2"/>
      <c r="B1275" s="10"/>
      <c r="K1275" s="2"/>
      <c r="L1275" s="2"/>
      <c r="N1275" s="10"/>
      <c r="O1275" s="12"/>
      <c r="S1275" s="10"/>
    </row>
    <row r="1276" spans="1:19" s="8" customFormat="1" x14ac:dyDescent="0.2">
      <c r="A1276" s="2"/>
      <c r="B1276" s="10"/>
      <c r="K1276" s="2"/>
      <c r="L1276" s="2"/>
      <c r="N1276" s="10"/>
      <c r="O1276" s="12"/>
      <c r="S1276" s="10"/>
    </row>
    <row r="1277" spans="1:19" s="8" customFormat="1" x14ac:dyDescent="0.2">
      <c r="A1277" s="2"/>
      <c r="B1277" s="10"/>
      <c r="K1277" s="2"/>
      <c r="L1277" s="2"/>
      <c r="N1277" s="10"/>
      <c r="O1277" s="12"/>
      <c r="S1277" s="10"/>
    </row>
    <row r="1278" spans="1:19" s="8" customFormat="1" x14ac:dyDescent="0.2">
      <c r="A1278" s="2"/>
      <c r="B1278" s="10"/>
      <c r="K1278" s="2"/>
      <c r="L1278" s="2"/>
      <c r="N1278" s="10"/>
      <c r="O1278" s="12"/>
      <c r="S1278" s="10"/>
    </row>
    <row r="1279" spans="1:19" s="8" customFormat="1" x14ac:dyDescent="0.2">
      <c r="A1279" s="2"/>
      <c r="B1279" s="10"/>
      <c r="K1279" s="2"/>
      <c r="L1279" s="2"/>
      <c r="N1279" s="10"/>
      <c r="O1279" s="12"/>
      <c r="S1279" s="10"/>
    </row>
    <row r="1280" spans="1:19" s="8" customFormat="1" x14ac:dyDescent="0.2">
      <c r="A1280" s="2"/>
      <c r="B1280" s="10"/>
      <c r="K1280" s="2"/>
      <c r="L1280" s="2"/>
      <c r="N1280" s="10"/>
      <c r="O1280" s="12"/>
      <c r="S1280" s="10"/>
    </row>
    <row r="1281" spans="1:19" s="8" customFormat="1" x14ac:dyDescent="0.2">
      <c r="A1281" s="2"/>
      <c r="B1281" s="10"/>
      <c r="K1281" s="2"/>
      <c r="L1281" s="2"/>
      <c r="N1281" s="10"/>
      <c r="O1281" s="12"/>
      <c r="S1281" s="10"/>
    </row>
    <row r="1282" spans="1:19" s="8" customFormat="1" x14ac:dyDescent="0.2">
      <c r="A1282" s="2"/>
      <c r="B1282" s="10"/>
      <c r="K1282" s="2"/>
      <c r="L1282" s="2"/>
      <c r="N1282" s="10"/>
      <c r="O1282" s="12"/>
      <c r="S1282" s="10"/>
    </row>
    <row r="1283" spans="1:19" s="8" customFormat="1" x14ac:dyDescent="0.2">
      <c r="A1283" s="2"/>
      <c r="B1283" s="10"/>
      <c r="K1283" s="2"/>
      <c r="L1283" s="2"/>
      <c r="N1283" s="10"/>
      <c r="O1283" s="12"/>
      <c r="S1283" s="10"/>
    </row>
    <row r="1284" spans="1:19" s="8" customFormat="1" x14ac:dyDescent="0.2">
      <c r="A1284" s="2"/>
      <c r="B1284" s="10"/>
      <c r="K1284" s="2"/>
      <c r="L1284" s="2"/>
      <c r="N1284" s="10"/>
      <c r="O1284" s="12"/>
      <c r="S1284" s="10"/>
    </row>
    <row r="1285" spans="1:19" s="8" customFormat="1" x14ac:dyDescent="0.2">
      <c r="A1285" s="2"/>
      <c r="B1285" s="10"/>
      <c r="K1285" s="2"/>
      <c r="L1285" s="2"/>
      <c r="N1285" s="10"/>
      <c r="O1285" s="12"/>
      <c r="S1285" s="10"/>
    </row>
    <row r="1286" spans="1:19" s="8" customFormat="1" x14ac:dyDescent="0.2">
      <c r="A1286" s="2"/>
      <c r="B1286" s="10"/>
      <c r="K1286" s="2"/>
      <c r="L1286" s="2"/>
      <c r="N1286" s="10"/>
      <c r="O1286" s="12"/>
      <c r="S1286" s="10"/>
    </row>
    <row r="1287" spans="1:19" s="8" customFormat="1" x14ac:dyDescent="0.2">
      <c r="A1287" s="2"/>
      <c r="B1287" s="10"/>
      <c r="K1287" s="2"/>
      <c r="L1287" s="2"/>
      <c r="N1287" s="10"/>
      <c r="O1287" s="12"/>
      <c r="S1287" s="10"/>
    </row>
    <row r="1288" spans="1:19" s="8" customFormat="1" x14ac:dyDescent="0.2">
      <c r="A1288" s="2"/>
      <c r="B1288" s="10"/>
      <c r="K1288" s="2"/>
      <c r="L1288" s="2"/>
      <c r="N1288" s="10"/>
      <c r="O1288" s="12"/>
      <c r="S1288" s="10"/>
    </row>
    <row r="1289" spans="1:19" s="8" customFormat="1" x14ac:dyDescent="0.2">
      <c r="A1289" s="2"/>
      <c r="B1289" s="10"/>
      <c r="K1289" s="2"/>
      <c r="L1289" s="2"/>
      <c r="N1289" s="10"/>
      <c r="O1289" s="12"/>
      <c r="S1289" s="10"/>
    </row>
    <row r="1290" spans="1:19" s="8" customFormat="1" x14ac:dyDescent="0.2">
      <c r="A1290" s="2"/>
      <c r="B1290" s="10"/>
      <c r="K1290" s="2"/>
      <c r="L1290" s="2"/>
      <c r="N1290" s="10"/>
      <c r="O1290" s="12"/>
      <c r="S1290" s="10"/>
    </row>
    <row r="1291" spans="1:19" s="8" customFormat="1" x14ac:dyDescent="0.2">
      <c r="A1291" s="2"/>
      <c r="B1291" s="10"/>
      <c r="K1291" s="2"/>
      <c r="L1291" s="2"/>
      <c r="N1291" s="10"/>
      <c r="O1291" s="12"/>
      <c r="S1291" s="10"/>
    </row>
    <row r="1292" spans="1:19" s="8" customFormat="1" x14ac:dyDescent="0.2">
      <c r="A1292" s="2"/>
      <c r="B1292" s="10"/>
      <c r="K1292" s="2"/>
      <c r="L1292" s="2"/>
      <c r="N1292" s="10"/>
      <c r="O1292" s="12"/>
      <c r="S1292" s="10"/>
    </row>
    <row r="1293" spans="1:19" s="8" customFormat="1" x14ac:dyDescent="0.2">
      <c r="A1293" s="2"/>
      <c r="B1293" s="10"/>
      <c r="K1293" s="2"/>
      <c r="L1293" s="2"/>
      <c r="N1293" s="10"/>
      <c r="O1293" s="12"/>
      <c r="S1293" s="10"/>
    </row>
    <row r="1294" spans="1:19" s="8" customFormat="1" x14ac:dyDescent="0.2">
      <c r="A1294" s="2"/>
      <c r="B1294" s="10"/>
      <c r="K1294" s="2"/>
      <c r="L1294" s="2"/>
      <c r="N1294" s="10"/>
      <c r="O1294" s="12"/>
      <c r="S1294" s="10"/>
    </row>
    <row r="1295" spans="1:19" s="8" customFormat="1" x14ac:dyDescent="0.2">
      <c r="A1295" s="2"/>
      <c r="B1295" s="10"/>
      <c r="K1295" s="2"/>
      <c r="L1295" s="2"/>
      <c r="N1295" s="10"/>
      <c r="O1295" s="12"/>
      <c r="S1295" s="10"/>
    </row>
    <row r="1296" spans="1:19" s="8" customFormat="1" x14ac:dyDescent="0.2">
      <c r="A1296" s="2"/>
      <c r="B1296" s="10"/>
      <c r="K1296" s="2"/>
      <c r="L1296" s="2"/>
      <c r="N1296" s="10"/>
      <c r="O1296" s="12"/>
      <c r="S1296" s="10"/>
    </row>
    <row r="1297" spans="1:19" s="8" customFormat="1" x14ac:dyDescent="0.2">
      <c r="A1297" s="2"/>
      <c r="B1297" s="10"/>
      <c r="K1297" s="2"/>
      <c r="L1297" s="2"/>
      <c r="N1297" s="10"/>
      <c r="O1297" s="12"/>
      <c r="S1297" s="10"/>
    </row>
    <row r="1298" spans="1:19" s="8" customFormat="1" x14ac:dyDescent="0.2">
      <c r="A1298" s="2"/>
      <c r="B1298" s="10"/>
      <c r="K1298" s="2"/>
      <c r="L1298" s="2"/>
      <c r="N1298" s="10"/>
      <c r="O1298" s="12"/>
      <c r="S1298" s="10"/>
    </row>
    <row r="1299" spans="1:19" s="8" customFormat="1" x14ac:dyDescent="0.2">
      <c r="A1299" s="2"/>
      <c r="B1299" s="10"/>
      <c r="K1299" s="2"/>
      <c r="L1299" s="2"/>
      <c r="N1299" s="10"/>
      <c r="O1299" s="12"/>
      <c r="S1299" s="10"/>
    </row>
    <row r="1300" spans="1:19" s="8" customFormat="1" x14ac:dyDescent="0.2">
      <c r="A1300" s="2"/>
      <c r="B1300" s="10"/>
      <c r="K1300" s="2"/>
      <c r="L1300" s="2"/>
      <c r="N1300" s="10"/>
      <c r="O1300" s="12"/>
      <c r="S1300" s="10"/>
    </row>
    <row r="1301" spans="1:19" s="8" customFormat="1" x14ac:dyDescent="0.2">
      <c r="A1301" s="2"/>
      <c r="B1301" s="10"/>
      <c r="K1301" s="2"/>
      <c r="L1301" s="2"/>
      <c r="N1301" s="10"/>
      <c r="O1301" s="12"/>
      <c r="S1301" s="10"/>
    </row>
    <row r="1302" spans="1:19" s="8" customFormat="1" x14ac:dyDescent="0.2">
      <c r="A1302" s="2"/>
      <c r="B1302" s="10"/>
      <c r="K1302" s="2"/>
      <c r="L1302" s="2"/>
      <c r="N1302" s="10"/>
      <c r="O1302" s="12"/>
      <c r="S1302" s="10"/>
    </row>
    <row r="1303" spans="1:19" s="8" customFormat="1" x14ac:dyDescent="0.2">
      <c r="A1303" s="2"/>
      <c r="B1303" s="10"/>
      <c r="K1303" s="2"/>
      <c r="L1303" s="2"/>
      <c r="N1303" s="10"/>
      <c r="O1303" s="12"/>
      <c r="S1303" s="10"/>
    </row>
    <row r="1304" spans="1:19" s="8" customFormat="1" x14ac:dyDescent="0.2">
      <c r="A1304" s="2"/>
      <c r="B1304" s="10"/>
      <c r="K1304" s="2"/>
      <c r="L1304" s="2"/>
      <c r="N1304" s="10"/>
      <c r="O1304" s="12"/>
      <c r="S1304" s="10"/>
    </row>
    <row r="1305" spans="1:19" s="8" customFormat="1" x14ac:dyDescent="0.2">
      <c r="A1305" s="2"/>
      <c r="B1305" s="10"/>
      <c r="K1305" s="2"/>
      <c r="L1305" s="2"/>
      <c r="N1305" s="10"/>
      <c r="O1305" s="12"/>
      <c r="S1305" s="10"/>
    </row>
    <row r="1306" spans="1:19" s="8" customFormat="1" x14ac:dyDescent="0.2">
      <c r="A1306" s="2"/>
      <c r="B1306" s="10"/>
      <c r="K1306" s="2"/>
      <c r="L1306" s="2"/>
      <c r="N1306" s="10"/>
      <c r="O1306" s="12"/>
      <c r="S1306" s="10"/>
    </row>
    <row r="1307" spans="1:19" s="8" customFormat="1" x14ac:dyDescent="0.2">
      <c r="A1307" s="2"/>
      <c r="B1307" s="10"/>
      <c r="K1307" s="2"/>
      <c r="L1307" s="2"/>
      <c r="N1307" s="10"/>
      <c r="O1307" s="12"/>
      <c r="S1307" s="10"/>
    </row>
    <row r="1308" spans="1:19" s="8" customFormat="1" x14ac:dyDescent="0.2">
      <c r="A1308" s="2"/>
      <c r="B1308" s="10"/>
      <c r="K1308" s="2"/>
      <c r="L1308" s="2"/>
      <c r="N1308" s="10"/>
      <c r="O1308" s="12"/>
      <c r="S1308" s="10"/>
    </row>
    <row r="1309" spans="1:19" s="8" customFormat="1" x14ac:dyDescent="0.2">
      <c r="A1309" s="2"/>
      <c r="B1309" s="10"/>
      <c r="K1309" s="2"/>
      <c r="L1309" s="2"/>
      <c r="N1309" s="10"/>
      <c r="O1309" s="12"/>
      <c r="S1309" s="10"/>
    </row>
    <row r="1310" spans="1:19" s="8" customFormat="1" x14ac:dyDescent="0.2">
      <c r="A1310" s="2"/>
      <c r="B1310" s="10"/>
      <c r="K1310" s="2"/>
      <c r="L1310" s="2"/>
      <c r="N1310" s="10"/>
      <c r="O1310" s="12"/>
      <c r="S1310" s="10"/>
    </row>
    <row r="1311" spans="1:19" s="8" customFormat="1" x14ac:dyDescent="0.2">
      <c r="A1311" s="2"/>
      <c r="B1311" s="10"/>
      <c r="K1311" s="2"/>
      <c r="L1311" s="2"/>
      <c r="N1311" s="10"/>
      <c r="O1311" s="12"/>
      <c r="S1311" s="10"/>
    </row>
    <row r="1312" spans="1:19" s="8" customFormat="1" x14ac:dyDescent="0.2">
      <c r="A1312" s="2"/>
      <c r="B1312" s="10"/>
      <c r="K1312" s="2"/>
      <c r="L1312" s="2"/>
      <c r="N1312" s="10"/>
      <c r="O1312" s="12"/>
      <c r="S1312" s="10"/>
    </row>
    <row r="1313" spans="1:19" s="8" customFormat="1" x14ac:dyDescent="0.2">
      <c r="A1313" s="2"/>
      <c r="B1313" s="10"/>
      <c r="K1313" s="2"/>
      <c r="L1313" s="2"/>
      <c r="N1313" s="10"/>
      <c r="O1313" s="12"/>
      <c r="S1313" s="10"/>
    </row>
    <row r="1314" spans="1:19" s="8" customFormat="1" x14ac:dyDescent="0.2">
      <c r="A1314" s="2"/>
      <c r="B1314" s="10"/>
      <c r="K1314" s="2"/>
      <c r="L1314" s="2"/>
      <c r="N1314" s="10"/>
      <c r="O1314" s="12"/>
      <c r="S1314" s="10"/>
    </row>
    <row r="1315" spans="1:19" s="8" customFormat="1" x14ac:dyDescent="0.2">
      <c r="A1315" s="2"/>
      <c r="B1315" s="10"/>
      <c r="K1315" s="2"/>
      <c r="L1315" s="2"/>
      <c r="N1315" s="10"/>
      <c r="O1315" s="12"/>
      <c r="S1315" s="10"/>
    </row>
    <row r="1316" spans="1:19" s="8" customFormat="1" x14ac:dyDescent="0.2">
      <c r="A1316" s="2"/>
      <c r="B1316" s="10"/>
      <c r="K1316" s="2"/>
      <c r="L1316" s="2"/>
      <c r="N1316" s="10"/>
      <c r="O1316" s="12"/>
      <c r="S1316" s="10"/>
    </row>
    <row r="1317" spans="1:19" s="8" customFormat="1" x14ac:dyDescent="0.2">
      <c r="A1317" s="2"/>
      <c r="B1317" s="10"/>
      <c r="K1317" s="2"/>
      <c r="L1317" s="2"/>
      <c r="N1317" s="10"/>
      <c r="O1317" s="12"/>
      <c r="S1317" s="10"/>
    </row>
    <row r="1318" spans="1:19" s="8" customFormat="1" x14ac:dyDescent="0.2">
      <c r="A1318" s="2"/>
      <c r="B1318" s="10"/>
      <c r="K1318" s="2"/>
      <c r="L1318" s="2"/>
      <c r="N1318" s="10"/>
      <c r="O1318" s="12"/>
      <c r="S1318" s="10"/>
    </row>
    <row r="1319" spans="1:19" s="8" customFormat="1" x14ac:dyDescent="0.2">
      <c r="A1319" s="2"/>
      <c r="B1319" s="10"/>
      <c r="K1319" s="2"/>
      <c r="L1319" s="2"/>
      <c r="N1319" s="10"/>
      <c r="O1319" s="12"/>
      <c r="S1319" s="10"/>
    </row>
    <row r="1320" spans="1:19" s="8" customFormat="1" x14ac:dyDescent="0.2">
      <c r="A1320" s="2"/>
      <c r="B1320" s="10"/>
      <c r="K1320" s="2"/>
      <c r="L1320" s="2"/>
      <c r="N1320" s="10"/>
      <c r="O1320" s="12"/>
      <c r="S1320" s="10"/>
    </row>
    <row r="1321" spans="1:19" s="8" customFormat="1" x14ac:dyDescent="0.2">
      <c r="A1321" s="2"/>
      <c r="B1321" s="10"/>
      <c r="K1321" s="2"/>
      <c r="L1321" s="2"/>
      <c r="N1321" s="10"/>
      <c r="O1321" s="12"/>
      <c r="S1321" s="10"/>
    </row>
    <row r="1322" spans="1:19" s="8" customFormat="1" x14ac:dyDescent="0.2">
      <c r="A1322" s="2"/>
      <c r="B1322" s="10"/>
      <c r="K1322" s="2"/>
      <c r="L1322" s="2"/>
      <c r="N1322" s="10"/>
      <c r="O1322" s="12"/>
      <c r="S1322" s="10"/>
    </row>
    <row r="1323" spans="1:19" s="8" customFormat="1" x14ac:dyDescent="0.2">
      <c r="A1323" s="2"/>
      <c r="B1323" s="10"/>
      <c r="K1323" s="2"/>
      <c r="L1323" s="2"/>
      <c r="N1323" s="10"/>
      <c r="O1323" s="12"/>
      <c r="S1323" s="10"/>
    </row>
    <row r="1324" spans="1:19" s="8" customFormat="1" x14ac:dyDescent="0.2">
      <c r="A1324" s="2"/>
      <c r="B1324" s="10"/>
      <c r="K1324" s="2"/>
      <c r="L1324" s="2"/>
      <c r="N1324" s="10"/>
      <c r="O1324" s="12"/>
      <c r="S1324" s="10"/>
    </row>
    <row r="1325" spans="1:19" s="8" customFormat="1" x14ac:dyDescent="0.2">
      <c r="A1325" s="2"/>
      <c r="B1325" s="10"/>
      <c r="K1325" s="2"/>
      <c r="L1325" s="2"/>
      <c r="N1325" s="10"/>
      <c r="O1325" s="12"/>
      <c r="S1325" s="10"/>
    </row>
    <row r="1326" spans="1:19" s="8" customFormat="1" x14ac:dyDescent="0.2">
      <c r="A1326" s="2"/>
      <c r="B1326" s="10"/>
      <c r="K1326" s="2"/>
      <c r="L1326" s="2"/>
      <c r="N1326" s="10"/>
      <c r="O1326" s="12"/>
      <c r="S1326" s="10"/>
    </row>
    <row r="1327" spans="1:19" s="8" customFormat="1" x14ac:dyDescent="0.2">
      <c r="A1327" s="2"/>
      <c r="B1327" s="10"/>
      <c r="K1327" s="2"/>
      <c r="L1327" s="2"/>
      <c r="N1327" s="10"/>
      <c r="O1327" s="12"/>
      <c r="S1327" s="10"/>
    </row>
    <row r="1328" spans="1:19" s="8" customFormat="1" x14ac:dyDescent="0.2">
      <c r="A1328" s="2"/>
      <c r="B1328" s="10"/>
      <c r="K1328" s="2"/>
      <c r="L1328" s="2"/>
      <c r="N1328" s="10"/>
      <c r="O1328" s="12"/>
      <c r="S1328" s="10"/>
    </row>
    <row r="1329" spans="1:19" s="8" customFormat="1" x14ac:dyDescent="0.2">
      <c r="A1329" s="2"/>
      <c r="B1329" s="10"/>
      <c r="K1329" s="2"/>
      <c r="L1329" s="2"/>
      <c r="N1329" s="10"/>
      <c r="O1329" s="12"/>
      <c r="S1329" s="10"/>
    </row>
    <row r="1330" spans="1:19" s="8" customFormat="1" x14ac:dyDescent="0.2">
      <c r="A1330" s="2"/>
      <c r="B1330" s="10"/>
      <c r="K1330" s="2"/>
      <c r="L1330" s="2"/>
      <c r="N1330" s="10"/>
      <c r="O1330" s="12"/>
      <c r="S1330" s="10"/>
    </row>
    <row r="1331" spans="1:19" s="8" customFormat="1" x14ac:dyDescent="0.2">
      <c r="A1331" s="2"/>
      <c r="B1331" s="10"/>
      <c r="K1331" s="2"/>
      <c r="L1331" s="2"/>
      <c r="N1331" s="10"/>
      <c r="O1331" s="12"/>
      <c r="S1331" s="10"/>
    </row>
    <row r="1332" spans="1:19" s="8" customFormat="1" x14ac:dyDescent="0.2">
      <c r="A1332" s="2"/>
      <c r="B1332" s="10"/>
      <c r="K1332" s="2"/>
      <c r="L1332" s="2"/>
      <c r="N1332" s="10"/>
      <c r="O1332" s="12"/>
      <c r="S1332" s="10"/>
    </row>
    <row r="1333" spans="1:19" s="8" customFormat="1" x14ac:dyDescent="0.2">
      <c r="A1333" s="2"/>
      <c r="B1333" s="10"/>
      <c r="K1333" s="2"/>
      <c r="L1333" s="2"/>
      <c r="N1333" s="10"/>
      <c r="O1333" s="12"/>
      <c r="S1333" s="10"/>
    </row>
    <row r="1334" spans="1:19" s="8" customFormat="1" x14ac:dyDescent="0.2">
      <c r="A1334" s="2"/>
      <c r="B1334" s="10"/>
      <c r="K1334" s="2"/>
      <c r="L1334" s="2"/>
      <c r="N1334" s="10"/>
      <c r="O1334" s="12"/>
      <c r="S1334" s="10"/>
    </row>
    <row r="1335" spans="1:19" s="8" customFormat="1" x14ac:dyDescent="0.2">
      <c r="A1335" s="2"/>
      <c r="B1335" s="10"/>
      <c r="K1335" s="2"/>
      <c r="L1335" s="2"/>
      <c r="N1335" s="10"/>
      <c r="O1335" s="12"/>
      <c r="S1335" s="10"/>
    </row>
    <row r="1336" spans="1:19" s="8" customFormat="1" x14ac:dyDescent="0.2">
      <c r="A1336" s="2"/>
      <c r="B1336" s="10"/>
      <c r="K1336" s="2"/>
      <c r="L1336" s="2"/>
      <c r="N1336" s="10"/>
      <c r="O1336" s="12"/>
      <c r="S1336" s="10"/>
    </row>
    <row r="1337" spans="1:19" s="8" customFormat="1" x14ac:dyDescent="0.2">
      <c r="A1337" s="2"/>
      <c r="B1337" s="10"/>
      <c r="K1337" s="2"/>
      <c r="L1337" s="2"/>
      <c r="N1337" s="10"/>
      <c r="O1337" s="12"/>
      <c r="S1337" s="10"/>
    </row>
    <row r="1338" spans="1:19" s="8" customFormat="1" x14ac:dyDescent="0.2">
      <c r="A1338" s="2"/>
      <c r="B1338" s="10"/>
      <c r="K1338" s="2"/>
      <c r="L1338" s="2"/>
      <c r="N1338" s="10"/>
      <c r="O1338" s="12"/>
      <c r="S1338" s="10"/>
    </row>
    <row r="1339" spans="1:19" s="8" customFormat="1" x14ac:dyDescent="0.2">
      <c r="A1339" s="2"/>
      <c r="B1339" s="10"/>
      <c r="K1339" s="2"/>
      <c r="L1339" s="2"/>
      <c r="N1339" s="10"/>
      <c r="O1339" s="12"/>
      <c r="S1339" s="10"/>
    </row>
    <row r="1340" spans="1:19" s="8" customFormat="1" x14ac:dyDescent="0.2">
      <c r="A1340" s="2"/>
      <c r="B1340" s="10"/>
      <c r="K1340" s="2"/>
      <c r="L1340" s="2"/>
      <c r="N1340" s="10"/>
      <c r="O1340" s="12"/>
      <c r="S1340" s="10"/>
    </row>
    <row r="1341" spans="1:19" s="8" customFormat="1" x14ac:dyDescent="0.2">
      <c r="A1341" s="2"/>
      <c r="B1341" s="10"/>
      <c r="K1341" s="2"/>
      <c r="L1341" s="2"/>
      <c r="N1341" s="10"/>
      <c r="O1341" s="12"/>
      <c r="S1341" s="10"/>
    </row>
    <row r="1342" spans="1:19" s="8" customFormat="1" x14ac:dyDescent="0.2">
      <c r="A1342" s="2"/>
      <c r="B1342" s="10"/>
      <c r="K1342" s="2"/>
      <c r="L1342" s="2"/>
      <c r="N1342" s="10"/>
      <c r="O1342" s="12"/>
      <c r="S1342" s="10"/>
    </row>
    <row r="1343" spans="1:19" s="8" customFormat="1" x14ac:dyDescent="0.2">
      <c r="A1343" s="2"/>
      <c r="B1343" s="10"/>
      <c r="K1343" s="2"/>
      <c r="L1343" s="2"/>
      <c r="N1343" s="10"/>
      <c r="O1343" s="12"/>
      <c r="S1343" s="10"/>
    </row>
    <row r="1344" spans="1:19" s="8" customFormat="1" x14ac:dyDescent="0.2">
      <c r="A1344" s="2"/>
      <c r="B1344" s="10"/>
      <c r="K1344" s="2"/>
      <c r="L1344" s="2"/>
      <c r="N1344" s="10"/>
      <c r="O1344" s="12"/>
      <c r="S1344" s="10"/>
    </row>
    <row r="1345" spans="1:19" s="8" customFormat="1" x14ac:dyDescent="0.2">
      <c r="A1345" s="2"/>
      <c r="B1345" s="10"/>
      <c r="K1345" s="2"/>
      <c r="L1345" s="2"/>
      <c r="N1345" s="10"/>
      <c r="O1345" s="12"/>
      <c r="S1345" s="10"/>
    </row>
    <row r="1346" spans="1:19" s="8" customFormat="1" x14ac:dyDescent="0.2">
      <c r="A1346" s="2"/>
      <c r="B1346" s="10"/>
      <c r="K1346" s="2"/>
      <c r="L1346" s="2"/>
      <c r="N1346" s="10"/>
      <c r="O1346" s="12"/>
      <c r="S1346" s="10"/>
    </row>
    <row r="1347" spans="1:19" s="8" customFormat="1" x14ac:dyDescent="0.2">
      <c r="A1347" s="2"/>
      <c r="B1347" s="10"/>
      <c r="K1347" s="2"/>
      <c r="L1347" s="2"/>
      <c r="N1347" s="10"/>
      <c r="O1347" s="12"/>
      <c r="S1347" s="10"/>
    </row>
    <row r="1348" spans="1:19" s="8" customFormat="1" x14ac:dyDescent="0.2">
      <c r="A1348" s="2"/>
      <c r="B1348" s="10"/>
      <c r="K1348" s="2"/>
      <c r="L1348" s="2"/>
      <c r="N1348" s="10"/>
      <c r="O1348" s="12"/>
      <c r="S1348" s="10"/>
    </row>
    <row r="1349" spans="1:19" s="8" customFormat="1" x14ac:dyDescent="0.2">
      <c r="A1349" s="2"/>
      <c r="B1349" s="10"/>
      <c r="K1349" s="2"/>
      <c r="L1349" s="2"/>
      <c r="N1349" s="10"/>
      <c r="O1349" s="12"/>
      <c r="S1349" s="10"/>
    </row>
    <row r="1350" spans="1:19" s="8" customFormat="1" x14ac:dyDescent="0.2">
      <c r="A1350" s="2"/>
      <c r="B1350" s="10"/>
      <c r="K1350" s="2"/>
      <c r="L1350" s="2"/>
      <c r="N1350" s="10"/>
      <c r="O1350" s="12"/>
      <c r="S1350" s="10"/>
    </row>
    <row r="1351" spans="1:19" s="8" customFormat="1" x14ac:dyDescent="0.2">
      <c r="A1351" s="2"/>
      <c r="B1351" s="10"/>
      <c r="K1351" s="2"/>
      <c r="L1351" s="2"/>
      <c r="N1351" s="10"/>
      <c r="O1351" s="12"/>
      <c r="S1351" s="10"/>
    </row>
    <row r="1352" spans="1:19" s="8" customFormat="1" x14ac:dyDescent="0.2">
      <c r="A1352" s="2"/>
      <c r="B1352" s="10"/>
      <c r="K1352" s="2"/>
      <c r="L1352" s="2"/>
      <c r="N1352" s="10"/>
      <c r="O1352" s="12"/>
      <c r="S1352" s="10"/>
    </row>
    <row r="1353" spans="1:19" s="8" customFormat="1" x14ac:dyDescent="0.2">
      <c r="A1353" s="2"/>
      <c r="B1353" s="10"/>
      <c r="K1353" s="2"/>
      <c r="L1353" s="2"/>
      <c r="N1353" s="10"/>
      <c r="O1353" s="12"/>
      <c r="S1353" s="10"/>
    </row>
    <row r="1354" spans="1:19" s="8" customFormat="1" x14ac:dyDescent="0.2">
      <c r="A1354" s="2"/>
      <c r="B1354" s="10"/>
      <c r="K1354" s="2"/>
      <c r="L1354" s="2"/>
      <c r="N1354" s="10"/>
      <c r="O1354" s="12"/>
      <c r="S1354" s="10"/>
    </row>
    <row r="1355" spans="1:19" s="8" customFormat="1" x14ac:dyDescent="0.2">
      <c r="A1355" s="2"/>
      <c r="B1355" s="10"/>
      <c r="K1355" s="2"/>
      <c r="L1355" s="2"/>
      <c r="N1355" s="10"/>
      <c r="O1355" s="12"/>
      <c r="S1355" s="10"/>
    </row>
    <row r="1356" spans="1:19" s="8" customFormat="1" x14ac:dyDescent="0.2">
      <c r="A1356" s="2"/>
      <c r="B1356" s="10"/>
      <c r="K1356" s="2"/>
      <c r="L1356" s="2"/>
      <c r="N1356" s="10"/>
      <c r="O1356" s="12"/>
      <c r="S1356" s="10"/>
    </row>
    <row r="1357" spans="1:19" s="8" customFormat="1" x14ac:dyDescent="0.2">
      <c r="A1357" s="2"/>
      <c r="B1357" s="10"/>
      <c r="K1357" s="2"/>
      <c r="L1357" s="2"/>
      <c r="N1357" s="10"/>
      <c r="O1357" s="12"/>
      <c r="S1357" s="10"/>
    </row>
    <row r="1358" spans="1:19" s="8" customFormat="1" x14ac:dyDescent="0.2">
      <c r="A1358" s="2"/>
      <c r="B1358" s="10"/>
      <c r="K1358" s="2"/>
      <c r="L1358" s="2"/>
      <c r="N1358" s="10"/>
      <c r="O1358" s="12"/>
      <c r="S1358" s="10"/>
    </row>
    <row r="1359" spans="1:19" s="8" customFormat="1" x14ac:dyDescent="0.2">
      <c r="A1359" s="2"/>
      <c r="B1359" s="10"/>
      <c r="K1359" s="2"/>
      <c r="L1359" s="2"/>
      <c r="N1359" s="10"/>
      <c r="O1359" s="12"/>
      <c r="S1359" s="10"/>
    </row>
    <row r="1360" spans="1:19" s="8" customFormat="1" x14ac:dyDescent="0.2">
      <c r="A1360" s="2"/>
      <c r="B1360" s="10"/>
      <c r="K1360" s="2"/>
      <c r="L1360" s="2"/>
      <c r="N1360" s="10"/>
      <c r="O1360" s="12"/>
      <c r="S1360" s="10"/>
    </row>
    <row r="1361" spans="1:19" s="8" customFormat="1" x14ac:dyDescent="0.2">
      <c r="A1361" s="2"/>
      <c r="B1361" s="10"/>
      <c r="K1361" s="2"/>
      <c r="L1361" s="2"/>
      <c r="N1361" s="10"/>
      <c r="O1361" s="12"/>
      <c r="S1361" s="10"/>
    </row>
    <row r="1362" spans="1:19" s="8" customFormat="1" x14ac:dyDescent="0.2">
      <c r="A1362" s="2"/>
      <c r="B1362" s="10"/>
      <c r="K1362" s="2"/>
      <c r="L1362" s="2"/>
      <c r="N1362" s="10"/>
      <c r="O1362" s="12"/>
      <c r="S1362" s="10"/>
    </row>
    <row r="1363" spans="1:19" s="8" customFormat="1" x14ac:dyDescent="0.2">
      <c r="A1363" s="2"/>
      <c r="B1363" s="10"/>
      <c r="K1363" s="2"/>
      <c r="L1363" s="2"/>
      <c r="N1363" s="10"/>
      <c r="O1363" s="12"/>
      <c r="S1363" s="10"/>
    </row>
    <row r="1364" spans="1:19" s="8" customFormat="1" x14ac:dyDescent="0.2">
      <c r="A1364" s="2"/>
      <c r="B1364" s="10"/>
      <c r="K1364" s="2"/>
      <c r="L1364" s="2"/>
      <c r="N1364" s="10"/>
      <c r="O1364" s="12"/>
      <c r="S1364" s="10"/>
    </row>
    <row r="1365" spans="1:19" s="8" customFormat="1" x14ac:dyDescent="0.2">
      <c r="A1365" s="2"/>
      <c r="B1365" s="10"/>
      <c r="K1365" s="2"/>
      <c r="L1365" s="2"/>
      <c r="N1365" s="10"/>
      <c r="O1365" s="12"/>
      <c r="S1365" s="10"/>
    </row>
    <row r="1366" spans="1:19" s="8" customFormat="1" x14ac:dyDescent="0.2">
      <c r="A1366" s="2"/>
      <c r="B1366" s="10"/>
      <c r="K1366" s="2"/>
      <c r="L1366" s="2"/>
      <c r="N1366" s="10"/>
      <c r="O1366" s="12"/>
      <c r="S1366" s="10"/>
    </row>
    <row r="1367" spans="1:19" s="8" customFormat="1" x14ac:dyDescent="0.2">
      <c r="A1367" s="2"/>
      <c r="B1367" s="10"/>
      <c r="K1367" s="2"/>
      <c r="L1367" s="2"/>
      <c r="N1367" s="10"/>
      <c r="O1367" s="12"/>
      <c r="S1367" s="10"/>
    </row>
    <row r="1368" spans="1:19" s="8" customFormat="1" x14ac:dyDescent="0.2">
      <c r="A1368" s="2"/>
      <c r="B1368" s="10"/>
      <c r="K1368" s="2"/>
      <c r="L1368" s="2"/>
      <c r="N1368" s="10"/>
      <c r="O1368" s="12"/>
      <c r="S1368" s="10"/>
    </row>
    <row r="1369" spans="1:19" s="8" customFormat="1" x14ac:dyDescent="0.2">
      <c r="A1369" s="2"/>
      <c r="B1369" s="10"/>
      <c r="K1369" s="2"/>
      <c r="L1369" s="2"/>
      <c r="N1369" s="10"/>
      <c r="O1369" s="12"/>
      <c r="S1369" s="10"/>
    </row>
    <row r="1370" spans="1:19" s="8" customFormat="1" x14ac:dyDescent="0.2">
      <c r="A1370" s="2"/>
      <c r="B1370" s="10"/>
      <c r="K1370" s="2"/>
      <c r="L1370" s="2"/>
      <c r="N1370" s="10"/>
      <c r="O1370" s="12"/>
      <c r="S1370" s="10"/>
    </row>
    <row r="1371" spans="1:19" s="8" customFormat="1" x14ac:dyDescent="0.2">
      <c r="A1371" s="2"/>
      <c r="B1371" s="10"/>
      <c r="K1371" s="2"/>
      <c r="L1371" s="2"/>
      <c r="N1371" s="10"/>
      <c r="O1371" s="12"/>
      <c r="S1371" s="10"/>
    </row>
    <row r="1372" spans="1:19" s="8" customFormat="1" x14ac:dyDescent="0.2">
      <c r="A1372" s="2"/>
      <c r="B1372" s="10"/>
      <c r="K1372" s="2"/>
      <c r="L1372" s="2"/>
      <c r="N1372" s="10"/>
      <c r="O1372" s="12"/>
      <c r="S1372" s="10"/>
    </row>
    <row r="1373" spans="1:19" s="8" customFormat="1" x14ac:dyDescent="0.2">
      <c r="A1373" s="2"/>
      <c r="B1373" s="10"/>
      <c r="K1373" s="2"/>
      <c r="L1373" s="2"/>
      <c r="N1373" s="10"/>
      <c r="O1373" s="12"/>
      <c r="S1373" s="10"/>
    </row>
    <row r="1374" spans="1:19" s="8" customFormat="1" x14ac:dyDescent="0.2">
      <c r="A1374" s="2"/>
      <c r="B1374" s="10"/>
      <c r="K1374" s="2"/>
      <c r="L1374" s="2"/>
      <c r="N1374" s="10"/>
      <c r="O1374" s="12"/>
      <c r="S1374" s="10"/>
    </row>
    <row r="1375" spans="1:19" s="8" customFormat="1" x14ac:dyDescent="0.2">
      <c r="A1375" s="2"/>
      <c r="B1375" s="10"/>
      <c r="K1375" s="2"/>
      <c r="L1375" s="2"/>
      <c r="N1375" s="10"/>
      <c r="O1375" s="12"/>
      <c r="S1375" s="10"/>
    </row>
    <row r="1376" spans="1:19" s="8" customFormat="1" x14ac:dyDescent="0.2">
      <c r="A1376" s="2"/>
      <c r="B1376" s="10"/>
      <c r="K1376" s="2"/>
      <c r="L1376" s="2"/>
      <c r="N1376" s="10"/>
      <c r="O1376" s="12"/>
      <c r="S1376" s="10"/>
    </row>
    <row r="1377" spans="1:19" s="8" customFormat="1" x14ac:dyDescent="0.2">
      <c r="A1377" s="2"/>
      <c r="B1377" s="10"/>
      <c r="K1377" s="2"/>
      <c r="L1377" s="2"/>
      <c r="N1377" s="10"/>
      <c r="O1377" s="12"/>
      <c r="S1377" s="10"/>
    </row>
    <row r="1378" spans="1:19" s="8" customFormat="1" x14ac:dyDescent="0.2">
      <c r="A1378" s="2"/>
      <c r="B1378" s="10"/>
      <c r="K1378" s="2"/>
      <c r="L1378" s="2"/>
      <c r="N1378" s="10"/>
      <c r="O1378" s="12"/>
      <c r="S1378" s="10"/>
    </row>
    <row r="1379" spans="1:19" s="8" customFormat="1" x14ac:dyDescent="0.2">
      <c r="A1379" s="2"/>
      <c r="B1379" s="10"/>
      <c r="K1379" s="2"/>
      <c r="L1379" s="2"/>
      <c r="N1379" s="10"/>
      <c r="O1379" s="12"/>
      <c r="S1379" s="10"/>
    </row>
    <row r="1380" spans="1:19" s="8" customFormat="1" x14ac:dyDescent="0.2">
      <c r="A1380" s="2"/>
      <c r="B1380" s="10"/>
      <c r="K1380" s="2"/>
      <c r="L1380" s="2"/>
      <c r="N1380" s="10"/>
      <c r="O1380" s="12"/>
      <c r="S1380" s="10"/>
    </row>
    <row r="1381" spans="1:19" s="8" customFormat="1" x14ac:dyDescent="0.2">
      <c r="A1381" s="2"/>
      <c r="B1381" s="10"/>
      <c r="K1381" s="2"/>
      <c r="L1381" s="2"/>
      <c r="N1381" s="10"/>
      <c r="O1381" s="12"/>
      <c r="S1381" s="10"/>
    </row>
    <row r="1382" spans="1:19" s="8" customFormat="1" x14ac:dyDescent="0.2">
      <c r="A1382" s="2"/>
      <c r="B1382" s="10"/>
      <c r="K1382" s="2"/>
      <c r="L1382" s="2"/>
      <c r="N1382" s="10"/>
      <c r="O1382" s="12"/>
      <c r="S1382" s="10"/>
    </row>
    <row r="1383" spans="1:19" s="8" customFormat="1" x14ac:dyDescent="0.2">
      <c r="A1383" s="2"/>
      <c r="B1383" s="10"/>
      <c r="K1383" s="2"/>
      <c r="L1383" s="2"/>
      <c r="N1383" s="10"/>
      <c r="O1383" s="12"/>
      <c r="S1383" s="10"/>
    </row>
    <row r="1384" spans="1:19" s="8" customFormat="1" x14ac:dyDescent="0.2">
      <c r="A1384" s="2"/>
      <c r="B1384" s="10"/>
      <c r="K1384" s="2"/>
      <c r="L1384" s="2"/>
      <c r="N1384" s="10"/>
      <c r="O1384" s="12"/>
      <c r="S1384" s="10"/>
    </row>
    <row r="1385" spans="1:19" s="8" customFormat="1" x14ac:dyDescent="0.2">
      <c r="A1385" s="2"/>
      <c r="B1385" s="10"/>
      <c r="K1385" s="2"/>
      <c r="L1385" s="2"/>
      <c r="N1385" s="10"/>
      <c r="O1385" s="12"/>
      <c r="S1385" s="10"/>
    </row>
    <row r="1386" spans="1:19" s="8" customFormat="1" x14ac:dyDescent="0.2">
      <c r="A1386" s="2"/>
      <c r="B1386" s="10"/>
      <c r="K1386" s="2"/>
      <c r="L1386" s="2"/>
      <c r="N1386" s="10"/>
      <c r="O1386" s="12"/>
      <c r="S1386" s="10"/>
    </row>
    <row r="1387" spans="1:19" s="8" customFormat="1" x14ac:dyDescent="0.2">
      <c r="A1387" s="2"/>
      <c r="B1387" s="10"/>
      <c r="K1387" s="2"/>
      <c r="L1387" s="2"/>
      <c r="N1387" s="10"/>
      <c r="O1387" s="12"/>
      <c r="S1387" s="10"/>
    </row>
    <row r="1388" spans="1:19" s="8" customFormat="1" x14ac:dyDescent="0.2">
      <c r="A1388" s="2"/>
      <c r="B1388" s="10"/>
      <c r="K1388" s="2"/>
      <c r="L1388" s="2"/>
      <c r="N1388" s="10"/>
      <c r="O1388" s="12"/>
      <c r="S1388" s="10"/>
    </row>
    <row r="1389" spans="1:19" s="8" customFormat="1" x14ac:dyDescent="0.2">
      <c r="A1389" s="2"/>
      <c r="B1389" s="10"/>
      <c r="K1389" s="2"/>
      <c r="L1389" s="2"/>
      <c r="N1389" s="10"/>
      <c r="O1389" s="12"/>
      <c r="S1389" s="10"/>
    </row>
    <row r="1390" spans="1:19" s="8" customFormat="1" x14ac:dyDescent="0.2">
      <c r="A1390" s="2"/>
      <c r="B1390" s="10"/>
      <c r="K1390" s="2"/>
      <c r="L1390" s="2"/>
      <c r="N1390" s="10"/>
      <c r="O1390" s="12"/>
      <c r="S1390" s="10"/>
    </row>
    <row r="1391" spans="1:19" s="8" customFormat="1" x14ac:dyDescent="0.2">
      <c r="A1391" s="2"/>
      <c r="B1391" s="10"/>
      <c r="K1391" s="2"/>
      <c r="L1391" s="2"/>
      <c r="N1391" s="10"/>
      <c r="O1391" s="12"/>
      <c r="S1391" s="10"/>
    </row>
    <row r="1392" spans="1:19" s="8" customFormat="1" x14ac:dyDescent="0.2">
      <c r="A1392" s="2"/>
      <c r="B1392" s="10"/>
      <c r="K1392" s="2"/>
      <c r="L1392" s="2"/>
      <c r="N1392" s="10"/>
      <c r="O1392" s="12"/>
      <c r="S1392" s="10"/>
    </row>
    <row r="1393" spans="1:19" s="8" customFormat="1" x14ac:dyDescent="0.2">
      <c r="A1393" s="2"/>
      <c r="B1393" s="10"/>
      <c r="K1393" s="2"/>
      <c r="L1393" s="2"/>
      <c r="N1393" s="10"/>
      <c r="O1393" s="12"/>
      <c r="S1393" s="10"/>
    </row>
    <row r="1394" spans="1:19" s="8" customFormat="1" x14ac:dyDescent="0.2">
      <c r="A1394" s="2"/>
      <c r="B1394" s="10"/>
      <c r="K1394" s="2"/>
      <c r="L1394" s="2"/>
      <c r="N1394" s="10"/>
      <c r="O1394" s="12"/>
      <c r="S1394" s="10"/>
    </row>
    <row r="1395" spans="1:19" s="8" customFormat="1" x14ac:dyDescent="0.2">
      <c r="A1395" s="2"/>
      <c r="B1395" s="10"/>
      <c r="K1395" s="2"/>
      <c r="L1395" s="2"/>
      <c r="N1395" s="10"/>
      <c r="O1395" s="12"/>
      <c r="S1395" s="10"/>
    </row>
    <row r="1396" spans="1:19" s="8" customFormat="1" x14ac:dyDescent="0.2">
      <c r="A1396" s="2"/>
      <c r="B1396" s="10"/>
      <c r="K1396" s="2"/>
      <c r="L1396" s="2"/>
      <c r="N1396" s="10"/>
      <c r="O1396" s="12"/>
      <c r="S1396" s="10"/>
    </row>
    <row r="1397" spans="1:19" s="8" customFormat="1" x14ac:dyDescent="0.2">
      <c r="A1397" s="2"/>
      <c r="B1397" s="10"/>
      <c r="K1397" s="2"/>
      <c r="L1397" s="2"/>
      <c r="N1397" s="10"/>
      <c r="O1397" s="12"/>
      <c r="S1397" s="10"/>
    </row>
    <row r="1398" spans="1:19" s="8" customFormat="1" x14ac:dyDescent="0.2">
      <c r="A1398" s="2"/>
      <c r="B1398" s="10"/>
      <c r="K1398" s="2"/>
      <c r="L1398" s="2"/>
      <c r="N1398" s="10"/>
      <c r="O1398" s="12"/>
      <c r="S1398" s="10"/>
    </row>
    <row r="1399" spans="1:19" s="8" customFormat="1" x14ac:dyDescent="0.2">
      <c r="A1399" s="2"/>
      <c r="B1399" s="10"/>
      <c r="K1399" s="2"/>
      <c r="L1399" s="2"/>
      <c r="N1399" s="10"/>
      <c r="O1399" s="12"/>
      <c r="S1399" s="10"/>
    </row>
    <row r="1400" spans="1:19" s="8" customFormat="1" x14ac:dyDescent="0.2">
      <c r="A1400" s="2"/>
      <c r="B1400" s="10"/>
      <c r="K1400" s="2"/>
      <c r="L1400" s="2"/>
      <c r="N1400" s="10"/>
      <c r="O1400" s="12"/>
      <c r="S1400" s="10"/>
    </row>
    <row r="1401" spans="1:19" s="8" customFormat="1" x14ac:dyDescent="0.2">
      <c r="A1401" s="2"/>
      <c r="B1401" s="10"/>
      <c r="K1401" s="2"/>
      <c r="L1401" s="2"/>
      <c r="N1401" s="10"/>
      <c r="O1401" s="12"/>
      <c r="S1401" s="10"/>
    </row>
    <row r="1402" spans="1:19" s="8" customFormat="1" x14ac:dyDescent="0.2">
      <c r="A1402" s="2"/>
      <c r="B1402" s="10"/>
      <c r="K1402" s="2"/>
      <c r="L1402" s="2"/>
      <c r="N1402" s="10"/>
      <c r="O1402" s="12"/>
      <c r="S1402" s="10"/>
    </row>
    <row r="1403" spans="1:19" s="8" customFormat="1" x14ac:dyDescent="0.2">
      <c r="A1403" s="2"/>
      <c r="B1403" s="10"/>
      <c r="K1403" s="2"/>
      <c r="L1403" s="2"/>
      <c r="N1403" s="10"/>
      <c r="O1403" s="12"/>
      <c r="S1403" s="10"/>
    </row>
    <row r="1404" spans="1:19" s="8" customFormat="1" x14ac:dyDescent="0.2">
      <c r="A1404" s="2"/>
      <c r="B1404" s="10"/>
      <c r="K1404" s="2"/>
      <c r="L1404" s="2"/>
      <c r="N1404" s="10"/>
      <c r="O1404" s="12"/>
      <c r="S1404" s="10"/>
    </row>
    <row r="1405" spans="1:19" s="8" customFormat="1" x14ac:dyDescent="0.2">
      <c r="A1405" s="2"/>
      <c r="B1405" s="10"/>
      <c r="K1405" s="2"/>
      <c r="L1405" s="2"/>
      <c r="N1405" s="10"/>
      <c r="O1405" s="12"/>
      <c r="S1405" s="10"/>
    </row>
    <row r="1406" spans="1:19" s="8" customFormat="1" x14ac:dyDescent="0.2">
      <c r="A1406" s="2"/>
      <c r="B1406" s="10"/>
      <c r="K1406" s="2"/>
      <c r="L1406" s="2"/>
      <c r="N1406" s="10"/>
      <c r="O1406" s="12"/>
      <c r="S1406" s="10"/>
    </row>
    <row r="1407" spans="1:19" s="8" customFormat="1" x14ac:dyDescent="0.2">
      <c r="A1407" s="2"/>
      <c r="B1407" s="10"/>
      <c r="K1407" s="2"/>
      <c r="L1407" s="2"/>
      <c r="N1407" s="10"/>
      <c r="O1407" s="12"/>
      <c r="S1407" s="10"/>
    </row>
    <row r="1408" spans="1:19" s="8" customFormat="1" x14ac:dyDescent="0.2">
      <c r="A1408" s="2"/>
      <c r="B1408" s="10"/>
      <c r="K1408" s="2"/>
      <c r="L1408" s="2"/>
      <c r="N1408" s="10"/>
      <c r="O1408" s="12"/>
      <c r="S1408" s="10"/>
    </row>
    <row r="1409" spans="1:19" s="8" customFormat="1" x14ac:dyDescent="0.2">
      <c r="A1409" s="2"/>
      <c r="B1409" s="10"/>
      <c r="K1409" s="2"/>
      <c r="L1409" s="2"/>
      <c r="N1409" s="10"/>
      <c r="O1409" s="12"/>
      <c r="S1409" s="10"/>
    </row>
    <row r="1410" spans="1:19" s="8" customFormat="1" x14ac:dyDescent="0.2">
      <c r="A1410" s="2"/>
      <c r="B1410" s="10"/>
      <c r="K1410" s="2"/>
      <c r="L1410" s="2"/>
      <c r="N1410" s="10"/>
      <c r="O1410" s="12"/>
      <c r="S1410" s="10"/>
    </row>
    <row r="1411" spans="1:19" s="8" customFormat="1" x14ac:dyDescent="0.2">
      <c r="A1411" s="2"/>
      <c r="B1411" s="10"/>
      <c r="K1411" s="2"/>
      <c r="L1411" s="2"/>
      <c r="N1411" s="10"/>
      <c r="O1411" s="12"/>
      <c r="S1411" s="10"/>
    </row>
    <row r="1412" spans="1:19" s="8" customFormat="1" x14ac:dyDescent="0.2">
      <c r="A1412" s="2"/>
      <c r="B1412" s="10"/>
      <c r="K1412" s="2"/>
      <c r="L1412" s="2"/>
      <c r="N1412" s="10"/>
      <c r="O1412" s="12"/>
      <c r="S1412" s="10"/>
    </row>
    <row r="1413" spans="1:19" s="8" customFormat="1" x14ac:dyDescent="0.2">
      <c r="A1413" s="2"/>
      <c r="B1413" s="10"/>
      <c r="K1413" s="2"/>
      <c r="L1413" s="2"/>
      <c r="N1413" s="10"/>
      <c r="O1413" s="12"/>
      <c r="S1413" s="10"/>
    </row>
    <row r="1414" spans="1:19" s="8" customFormat="1" x14ac:dyDescent="0.2">
      <c r="A1414" s="2"/>
      <c r="B1414" s="10"/>
      <c r="K1414" s="2"/>
      <c r="L1414" s="2"/>
      <c r="N1414" s="10"/>
      <c r="O1414" s="12"/>
      <c r="S1414" s="10"/>
    </row>
    <row r="1415" spans="1:19" s="8" customFormat="1" x14ac:dyDescent="0.2">
      <c r="A1415" s="2"/>
      <c r="B1415" s="10"/>
      <c r="K1415" s="2"/>
      <c r="L1415" s="2"/>
      <c r="N1415" s="10"/>
      <c r="O1415" s="12"/>
      <c r="S1415" s="10"/>
    </row>
    <row r="1416" spans="1:19" s="8" customFormat="1" x14ac:dyDescent="0.2">
      <c r="A1416" s="2"/>
      <c r="B1416" s="10"/>
      <c r="K1416" s="2"/>
      <c r="L1416" s="2"/>
      <c r="N1416" s="10"/>
      <c r="O1416" s="12"/>
      <c r="S1416" s="10"/>
    </row>
    <row r="1417" spans="1:19" s="8" customFormat="1" x14ac:dyDescent="0.2">
      <c r="A1417" s="2"/>
      <c r="B1417" s="10"/>
      <c r="K1417" s="2"/>
      <c r="L1417" s="2"/>
      <c r="N1417" s="10"/>
      <c r="O1417" s="12"/>
      <c r="S1417" s="10"/>
    </row>
    <row r="1418" spans="1:19" s="8" customFormat="1" x14ac:dyDescent="0.2">
      <c r="A1418" s="2"/>
      <c r="B1418" s="10"/>
      <c r="K1418" s="2"/>
      <c r="L1418" s="2"/>
      <c r="N1418" s="10"/>
      <c r="O1418" s="12"/>
      <c r="S1418" s="10"/>
    </row>
    <row r="1419" spans="1:19" s="8" customFormat="1" x14ac:dyDescent="0.2">
      <c r="A1419" s="2"/>
      <c r="B1419" s="10"/>
      <c r="K1419" s="2"/>
      <c r="L1419" s="2"/>
      <c r="N1419" s="10"/>
      <c r="O1419" s="12"/>
      <c r="S1419" s="10"/>
    </row>
    <row r="1420" spans="1:19" s="8" customFormat="1" x14ac:dyDescent="0.2">
      <c r="A1420" s="2"/>
      <c r="B1420" s="10"/>
      <c r="K1420" s="2"/>
      <c r="L1420" s="2"/>
      <c r="N1420" s="10"/>
      <c r="O1420" s="12"/>
      <c r="S1420" s="10"/>
    </row>
    <row r="1421" spans="1:19" s="8" customFormat="1" x14ac:dyDescent="0.2">
      <c r="A1421" s="2"/>
      <c r="B1421" s="10"/>
      <c r="K1421" s="2"/>
      <c r="L1421" s="2"/>
      <c r="N1421" s="10"/>
      <c r="O1421" s="12"/>
      <c r="S1421" s="10"/>
    </row>
    <row r="1422" spans="1:19" s="8" customFormat="1" x14ac:dyDescent="0.2">
      <c r="A1422" s="2"/>
      <c r="B1422" s="10"/>
      <c r="K1422" s="2"/>
      <c r="L1422" s="2"/>
      <c r="N1422" s="10"/>
      <c r="O1422" s="12"/>
      <c r="S1422" s="10"/>
    </row>
    <row r="1423" spans="1:19" s="8" customFormat="1" x14ac:dyDescent="0.2">
      <c r="A1423" s="2"/>
      <c r="B1423" s="10"/>
      <c r="K1423" s="2"/>
      <c r="L1423" s="2"/>
      <c r="N1423" s="10"/>
      <c r="O1423" s="12"/>
      <c r="S1423" s="10"/>
    </row>
    <row r="1424" spans="1:19" s="8" customFormat="1" x14ac:dyDescent="0.2">
      <c r="A1424" s="2"/>
      <c r="B1424" s="10"/>
      <c r="K1424" s="2"/>
      <c r="L1424" s="2"/>
      <c r="N1424" s="10"/>
      <c r="O1424" s="12"/>
      <c r="S1424" s="10"/>
    </row>
    <row r="1425" spans="1:19" s="8" customFormat="1" x14ac:dyDescent="0.2">
      <c r="A1425" s="2"/>
      <c r="B1425" s="10"/>
      <c r="K1425" s="2"/>
      <c r="L1425" s="2"/>
      <c r="N1425" s="10"/>
      <c r="O1425" s="12"/>
      <c r="S1425" s="10"/>
    </row>
    <row r="1426" spans="1:19" s="8" customFormat="1" x14ac:dyDescent="0.2">
      <c r="A1426" s="2"/>
      <c r="B1426" s="10"/>
      <c r="K1426" s="2"/>
      <c r="L1426" s="2"/>
      <c r="N1426" s="10"/>
      <c r="O1426" s="12"/>
      <c r="S1426" s="10"/>
    </row>
    <row r="1427" spans="1:19" s="8" customFormat="1" x14ac:dyDescent="0.2">
      <c r="A1427" s="2"/>
      <c r="B1427" s="10"/>
      <c r="K1427" s="2"/>
      <c r="L1427" s="2"/>
      <c r="N1427" s="10"/>
      <c r="O1427" s="12"/>
      <c r="S1427" s="10"/>
    </row>
    <row r="1428" spans="1:19" s="8" customFormat="1" x14ac:dyDescent="0.2">
      <c r="A1428" s="2"/>
      <c r="B1428" s="10"/>
      <c r="K1428" s="2"/>
      <c r="L1428" s="2"/>
      <c r="N1428" s="10"/>
      <c r="O1428" s="12"/>
      <c r="S1428" s="10"/>
    </row>
    <row r="1429" spans="1:19" s="8" customFormat="1" x14ac:dyDescent="0.2">
      <c r="A1429" s="2"/>
      <c r="B1429" s="10"/>
      <c r="K1429" s="2"/>
      <c r="L1429" s="2"/>
      <c r="N1429" s="10"/>
      <c r="O1429" s="12"/>
      <c r="S1429" s="10"/>
    </row>
    <row r="1430" spans="1:19" s="8" customFormat="1" x14ac:dyDescent="0.2">
      <c r="A1430" s="2"/>
      <c r="B1430" s="10"/>
      <c r="K1430" s="2"/>
      <c r="L1430" s="2"/>
      <c r="N1430" s="10"/>
      <c r="O1430" s="12"/>
      <c r="S1430" s="10"/>
    </row>
    <row r="1431" spans="1:19" s="8" customFormat="1" x14ac:dyDescent="0.2">
      <c r="A1431" s="2"/>
      <c r="B1431" s="10"/>
      <c r="K1431" s="2"/>
      <c r="L1431" s="2"/>
      <c r="N1431" s="10"/>
      <c r="O1431" s="12"/>
      <c r="S1431" s="10"/>
    </row>
    <row r="1432" spans="1:19" s="8" customFormat="1" x14ac:dyDescent="0.2">
      <c r="A1432" s="2"/>
      <c r="B1432" s="10"/>
      <c r="K1432" s="2"/>
      <c r="L1432" s="2"/>
      <c r="N1432" s="10"/>
      <c r="O1432" s="12"/>
      <c r="S1432" s="10"/>
    </row>
    <row r="1433" spans="1:19" s="8" customFormat="1" x14ac:dyDescent="0.2">
      <c r="A1433" s="2"/>
      <c r="B1433" s="10"/>
      <c r="K1433" s="2"/>
      <c r="L1433" s="2"/>
      <c r="N1433" s="10"/>
      <c r="O1433" s="12"/>
      <c r="S1433" s="10"/>
    </row>
    <row r="1434" spans="1:19" s="8" customFormat="1" x14ac:dyDescent="0.2">
      <c r="A1434" s="2"/>
      <c r="B1434" s="10"/>
      <c r="K1434" s="2"/>
      <c r="L1434" s="2"/>
      <c r="N1434" s="10"/>
      <c r="O1434" s="12"/>
      <c r="S1434" s="10"/>
    </row>
    <row r="1435" spans="1:19" s="8" customFormat="1" x14ac:dyDescent="0.2">
      <c r="A1435" s="2"/>
      <c r="B1435" s="10"/>
      <c r="K1435" s="2"/>
      <c r="L1435" s="2"/>
      <c r="N1435" s="10"/>
      <c r="O1435" s="12"/>
      <c r="S1435" s="10"/>
    </row>
    <row r="1436" spans="1:19" s="8" customFormat="1" x14ac:dyDescent="0.2">
      <c r="A1436" s="2"/>
      <c r="B1436" s="10"/>
      <c r="K1436" s="2"/>
      <c r="L1436" s="2"/>
      <c r="N1436" s="10"/>
      <c r="O1436" s="12"/>
      <c r="S1436" s="10"/>
    </row>
    <row r="1437" spans="1:19" s="8" customFormat="1" x14ac:dyDescent="0.2">
      <c r="A1437" s="2"/>
      <c r="B1437" s="10"/>
      <c r="K1437" s="2"/>
      <c r="L1437" s="2"/>
      <c r="N1437" s="10"/>
      <c r="O1437" s="12"/>
      <c r="S1437" s="10"/>
    </row>
    <row r="1438" spans="1:19" s="8" customFormat="1" x14ac:dyDescent="0.2">
      <c r="A1438" s="2"/>
      <c r="B1438" s="10"/>
      <c r="K1438" s="2"/>
      <c r="L1438" s="2"/>
      <c r="N1438" s="10"/>
      <c r="O1438" s="12"/>
      <c r="S1438" s="10"/>
    </row>
    <row r="1439" spans="1:19" s="8" customFormat="1" x14ac:dyDescent="0.2">
      <c r="A1439" s="2"/>
      <c r="B1439" s="10"/>
      <c r="K1439" s="2"/>
      <c r="L1439" s="2"/>
      <c r="N1439" s="10"/>
      <c r="O1439" s="12"/>
      <c r="S1439" s="10"/>
    </row>
    <row r="1440" spans="1:19" s="8" customFormat="1" x14ac:dyDescent="0.2">
      <c r="A1440" s="2"/>
      <c r="B1440" s="10"/>
      <c r="K1440" s="2"/>
      <c r="L1440" s="2"/>
      <c r="N1440" s="10"/>
      <c r="O1440" s="12"/>
      <c r="S1440" s="10"/>
    </row>
    <row r="1441" spans="1:19" s="8" customFormat="1" x14ac:dyDescent="0.2">
      <c r="A1441" s="2"/>
      <c r="B1441" s="10"/>
      <c r="K1441" s="2"/>
      <c r="L1441" s="2"/>
      <c r="N1441" s="10"/>
      <c r="O1441" s="12"/>
      <c r="S1441" s="10"/>
    </row>
    <row r="1442" spans="1:19" s="8" customFormat="1" x14ac:dyDescent="0.2">
      <c r="A1442" s="2"/>
      <c r="B1442" s="10"/>
      <c r="K1442" s="2"/>
      <c r="L1442" s="2"/>
      <c r="N1442" s="10"/>
      <c r="O1442" s="12"/>
      <c r="S1442" s="10"/>
    </row>
    <row r="1443" spans="1:19" s="8" customFormat="1" x14ac:dyDescent="0.2">
      <c r="A1443" s="2"/>
      <c r="B1443" s="10"/>
      <c r="K1443" s="2"/>
      <c r="L1443" s="2"/>
      <c r="N1443" s="10"/>
      <c r="O1443" s="12"/>
      <c r="S1443" s="10"/>
    </row>
    <row r="1444" spans="1:19" s="8" customFormat="1" x14ac:dyDescent="0.2">
      <c r="A1444" s="2"/>
      <c r="B1444" s="10"/>
      <c r="K1444" s="2"/>
      <c r="L1444" s="2"/>
      <c r="N1444" s="10"/>
      <c r="O1444" s="12"/>
      <c r="S1444" s="10"/>
    </row>
    <row r="1445" spans="1:19" s="8" customFormat="1" x14ac:dyDescent="0.2">
      <c r="A1445" s="2"/>
      <c r="B1445" s="10"/>
      <c r="K1445" s="2"/>
      <c r="L1445" s="2"/>
      <c r="N1445" s="10"/>
      <c r="O1445" s="12"/>
      <c r="S1445" s="10"/>
    </row>
    <row r="1446" spans="1:19" s="8" customFormat="1" x14ac:dyDescent="0.2">
      <c r="A1446" s="2"/>
      <c r="B1446" s="10"/>
      <c r="K1446" s="2"/>
      <c r="L1446" s="2"/>
      <c r="N1446" s="10"/>
      <c r="O1446" s="12"/>
      <c r="S1446" s="10"/>
    </row>
    <row r="1447" spans="1:19" s="8" customFormat="1" x14ac:dyDescent="0.2">
      <c r="A1447" s="2"/>
      <c r="B1447" s="10"/>
      <c r="K1447" s="2"/>
      <c r="L1447" s="2"/>
      <c r="N1447" s="10"/>
      <c r="O1447" s="12"/>
      <c r="S1447" s="10"/>
    </row>
    <row r="1448" spans="1:19" s="8" customFormat="1" x14ac:dyDescent="0.2">
      <c r="A1448" s="2"/>
      <c r="B1448" s="10"/>
      <c r="K1448" s="2"/>
      <c r="L1448" s="2"/>
      <c r="N1448" s="10"/>
      <c r="O1448" s="12"/>
      <c r="S1448" s="10"/>
    </row>
    <row r="1449" spans="1:19" s="8" customFormat="1" x14ac:dyDescent="0.2">
      <c r="A1449" s="2"/>
      <c r="B1449" s="10"/>
      <c r="K1449" s="2"/>
      <c r="L1449" s="2"/>
      <c r="N1449" s="10"/>
      <c r="O1449" s="12"/>
      <c r="S1449" s="10"/>
    </row>
    <row r="1450" spans="1:19" s="8" customFormat="1" x14ac:dyDescent="0.2">
      <c r="A1450" s="2"/>
      <c r="B1450" s="10"/>
      <c r="K1450" s="2"/>
      <c r="L1450" s="2"/>
      <c r="N1450" s="10"/>
      <c r="O1450" s="12"/>
      <c r="S1450" s="10"/>
    </row>
    <row r="1451" spans="1:19" s="8" customFormat="1" x14ac:dyDescent="0.2">
      <c r="A1451" s="2"/>
      <c r="B1451" s="10"/>
      <c r="K1451" s="2"/>
      <c r="L1451" s="2"/>
      <c r="N1451" s="10"/>
      <c r="O1451" s="12"/>
      <c r="S1451" s="10"/>
    </row>
    <row r="1452" spans="1:19" s="8" customFormat="1" x14ac:dyDescent="0.2">
      <c r="A1452" s="2"/>
      <c r="B1452" s="10"/>
      <c r="K1452" s="2"/>
      <c r="L1452" s="2"/>
      <c r="N1452" s="10"/>
      <c r="O1452" s="12"/>
      <c r="S1452" s="10"/>
    </row>
    <row r="1453" spans="1:19" s="8" customFormat="1" x14ac:dyDescent="0.2">
      <c r="A1453" s="2"/>
      <c r="B1453" s="10"/>
      <c r="K1453" s="2"/>
      <c r="L1453" s="2"/>
      <c r="N1453" s="10"/>
      <c r="O1453" s="12"/>
      <c r="S1453" s="10"/>
    </row>
    <row r="1454" spans="1:19" s="8" customFormat="1" x14ac:dyDescent="0.2">
      <c r="A1454" s="2"/>
      <c r="B1454" s="10"/>
      <c r="K1454" s="2"/>
      <c r="L1454" s="2"/>
      <c r="N1454" s="10"/>
      <c r="O1454" s="12"/>
      <c r="S1454" s="10"/>
    </row>
    <row r="1455" spans="1:19" s="8" customFormat="1" x14ac:dyDescent="0.2">
      <c r="A1455" s="2"/>
      <c r="B1455" s="10"/>
      <c r="K1455" s="2"/>
      <c r="L1455" s="2"/>
      <c r="N1455" s="10"/>
      <c r="O1455" s="12"/>
      <c r="S1455" s="10"/>
    </row>
    <row r="1456" spans="1:19" s="8" customFormat="1" x14ac:dyDescent="0.2">
      <c r="A1456" s="2"/>
      <c r="B1456" s="10"/>
      <c r="K1456" s="2"/>
      <c r="L1456" s="2"/>
      <c r="N1456" s="10"/>
      <c r="O1456" s="12"/>
      <c r="S1456" s="10"/>
    </row>
    <row r="1457" spans="1:19" s="8" customFormat="1" x14ac:dyDescent="0.2">
      <c r="A1457" s="2"/>
      <c r="B1457" s="10"/>
      <c r="K1457" s="2"/>
      <c r="L1457" s="2"/>
      <c r="N1457" s="10"/>
      <c r="O1457" s="12"/>
      <c r="S1457" s="10"/>
    </row>
    <row r="1458" spans="1:19" s="8" customFormat="1" x14ac:dyDescent="0.2">
      <c r="A1458" s="2"/>
      <c r="B1458" s="10"/>
      <c r="K1458" s="2"/>
      <c r="L1458" s="2"/>
      <c r="N1458" s="10"/>
      <c r="O1458" s="12"/>
      <c r="S1458" s="10"/>
    </row>
    <row r="1459" spans="1:19" s="8" customFormat="1" x14ac:dyDescent="0.2">
      <c r="A1459" s="2"/>
      <c r="B1459" s="10"/>
      <c r="K1459" s="2"/>
      <c r="L1459" s="2"/>
      <c r="N1459" s="10"/>
      <c r="O1459" s="12"/>
      <c r="S1459" s="10"/>
    </row>
    <row r="1460" spans="1:19" s="8" customFormat="1" x14ac:dyDescent="0.2">
      <c r="A1460" s="2"/>
      <c r="B1460" s="10"/>
      <c r="K1460" s="2"/>
      <c r="L1460" s="2"/>
      <c r="N1460" s="10"/>
      <c r="O1460" s="12"/>
      <c r="S1460" s="10"/>
    </row>
    <row r="1461" spans="1:19" s="8" customFormat="1" x14ac:dyDescent="0.2">
      <c r="A1461" s="2"/>
      <c r="B1461" s="10"/>
      <c r="K1461" s="2"/>
      <c r="L1461" s="2"/>
      <c r="N1461" s="10"/>
      <c r="O1461" s="12"/>
      <c r="S1461" s="10"/>
    </row>
    <row r="1462" spans="1:19" s="8" customFormat="1" x14ac:dyDescent="0.2">
      <c r="A1462" s="2"/>
      <c r="B1462" s="10"/>
      <c r="K1462" s="2"/>
      <c r="L1462" s="2"/>
      <c r="N1462" s="10"/>
      <c r="O1462" s="12"/>
      <c r="S1462" s="10"/>
    </row>
    <row r="1463" spans="1:19" s="8" customFormat="1" x14ac:dyDescent="0.2">
      <c r="A1463" s="2"/>
      <c r="B1463" s="10"/>
      <c r="K1463" s="2"/>
      <c r="L1463" s="2"/>
      <c r="N1463" s="10"/>
      <c r="O1463" s="12"/>
      <c r="S1463" s="10"/>
    </row>
    <row r="1464" spans="1:19" s="8" customFormat="1" x14ac:dyDescent="0.2">
      <c r="A1464" s="2"/>
      <c r="B1464" s="10"/>
      <c r="K1464" s="2"/>
      <c r="L1464" s="2"/>
      <c r="N1464" s="10"/>
      <c r="O1464" s="12"/>
      <c r="S1464" s="10"/>
    </row>
    <row r="1465" spans="1:19" s="8" customFormat="1" x14ac:dyDescent="0.2">
      <c r="A1465" s="2"/>
      <c r="B1465" s="10"/>
      <c r="K1465" s="2"/>
      <c r="L1465" s="2"/>
      <c r="N1465" s="10"/>
      <c r="O1465" s="12"/>
      <c r="S1465" s="10"/>
    </row>
    <row r="1466" spans="1:19" s="8" customFormat="1" x14ac:dyDescent="0.2">
      <c r="A1466" s="2"/>
      <c r="B1466" s="10"/>
      <c r="K1466" s="2"/>
      <c r="L1466" s="2"/>
      <c r="N1466" s="10"/>
      <c r="O1466" s="12"/>
      <c r="S1466" s="10"/>
    </row>
    <row r="1467" spans="1:19" s="8" customFormat="1" x14ac:dyDescent="0.2">
      <c r="A1467" s="2"/>
      <c r="B1467" s="10"/>
      <c r="K1467" s="2"/>
      <c r="L1467" s="2"/>
      <c r="N1467" s="10"/>
      <c r="O1467" s="12"/>
      <c r="S1467" s="10"/>
    </row>
    <row r="1468" spans="1:19" s="8" customFormat="1" x14ac:dyDescent="0.2">
      <c r="A1468" s="2"/>
      <c r="B1468" s="10"/>
      <c r="K1468" s="2"/>
      <c r="L1468" s="2"/>
      <c r="N1468" s="10"/>
      <c r="O1468" s="12"/>
      <c r="S1468" s="10"/>
    </row>
    <row r="1469" spans="1:19" s="8" customFormat="1" x14ac:dyDescent="0.2">
      <c r="A1469" s="2"/>
      <c r="B1469" s="10"/>
      <c r="K1469" s="2"/>
      <c r="L1469" s="2"/>
      <c r="N1469" s="10"/>
      <c r="O1469" s="12"/>
      <c r="S1469" s="10"/>
    </row>
    <row r="1470" spans="1:19" s="8" customFormat="1" x14ac:dyDescent="0.2">
      <c r="A1470" s="2"/>
      <c r="B1470" s="10"/>
      <c r="K1470" s="2"/>
      <c r="L1470" s="2"/>
      <c r="N1470" s="10"/>
      <c r="O1470" s="12"/>
      <c r="S1470" s="10"/>
    </row>
    <row r="1471" spans="1:19" s="8" customFormat="1" x14ac:dyDescent="0.2">
      <c r="A1471" s="2"/>
      <c r="B1471" s="10"/>
      <c r="K1471" s="2"/>
      <c r="L1471" s="2"/>
      <c r="N1471" s="10"/>
      <c r="O1471" s="12"/>
      <c r="S1471" s="10"/>
    </row>
    <row r="1472" spans="1:19" s="8" customFormat="1" x14ac:dyDescent="0.2">
      <c r="A1472" s="2"/>
      <c r="B1472" s="10"/>
      <c r="K1472" s="2"/>
      <c r="L1472" s="2"/>
      <c r="N1472" s="10"/>
      <c r="O1472" s="12"/>
      <c r="S1472" s="10"/>
    </row>
    <row r="1473" spans="1:19" s="8" customFormat="1" x14ac:dyDescent="0.2">
      <c r="A1473" s="2"/>
      <c r="B1473" s="10"/>
      <c r="K1473" s="2"/>
      <c r="L1473" s="2"/>
      <c r="N1473" s="10"/>
      <c r="O1473" s="12"/>
      <c r="S1473" s="10"/>
    </row>
    <row r="1474" spans="1:19" s="8" customFormat="1" x14ac:dyDescent="0.2">
      <c r="A1474" s="2"/>
      <c r="B1474" s="10"/>
      <c r="K1474" s="2"/>
      <c r="L1474" s="2"/>
      <c r="N1474" s="10"/>
      <c r="O1474" s="12"/>
      <c r="S1474" s="10"/>
    </row>
    <row r="1475" spans="1:19" s="8" customFormat="1" x14ac:dyDescent="0.2">
      <c r="A1475" s="2"/>
      <c r="B1475" s="10"/>
      <c r="K1475" s="2"/>
      <c r="L1475" s="2"/>
      <c r="N1475" s="10"/>
      <c r="O1475" s="12"/>
      <c r="S1475" s="10"/>
    </row>
    <row r="1476" spans="1:19" s="8" customFormat="1" x14ac:dyDescent="0.2">
      <c r="A1476" s="2"/>
      <c r="B1476" s="10"/>
      <c r="K1476" s="2"/>
      <c r="L1476" s="2"/>
      <c r="N1476" s="10"/>
      <c r="O1476" s="12"/>
      <c r="S1476" s="10"/>
    </row>
    <row r="1477" spans="1:19" s="8" customFormat="1" x14ac:dyDescent="0.2">
      <c r="A1477" s="2"/>
      <c r="B1477" s="10"/>
      <c r="K1477" s="2"/>
      <c r="L1477" s="2"/>
      <c r="N1477" s="10"/>
      <c r="O1477" s="12"/>
      <c r="S1477" s="10"/>
    </row>
    <row r="1478" spans="1:19" s="8" customFormat="1" x14ac:dyDescent="0.2">
      <c r="A1478" s="2"/>
      <c r="B1478" s="10"/>
      <c r="K1478" s="2"/>
      <c r="L1478" s="2"/>
      <c r="N1478" s="10"/>
      <c r="O1478" s="12"/>
      <c r="S1478" s="10"/>
    </row>
    <row r="1479" spans="1:19" s="8" customFormat="1" x14ac:dyDescent="0.2">
      <c r="A1479" s="2"/>
      <c r="B1479" s="10"/>
      <c r="K1479" s="2"/>
      <c r="L1479" s="2"/>
      <c r="N1479" s="10"/>
      <c r="O1479" s="12"/>
      <c r="S1479" s="10"/>
    </row>
    <row r="1480" spans="1:19" s="8" customFormat="1" x14ac:dyDescent="0.2">
      <c r="A1480" s="2"/>
      <c r="B1480" s="10"/>
      <c r="K1480" s="2"/>
      <c r="L1480" s="2"/>
      <c r="N1480" s="10"/>
      <c r="O1480" s="12"/>
      <c r="S1480" s="10"/>
    </row>
    <row r="1481" spans="1:19" s="8" customFormat="1" x14ac:dyDescent="0.2">
      <c r="A1481" s="2"/>
      <c r="B1481" s="10"/>
      <c r="K1481" s="2"/>
      <c r="L1481" s="2"/>
      <c r="N1481" s="10"/>
      <c r="O1481" s="12"/>
      <c r="S1481" s="10"/>
    </row>
    <row r="1482" spans="1:19" s="8" customFormat="1" x14ac:dyDescent="0.2">
      <c r="A1482" s="2"/>
      <c r="B1482" s="10"/>
      <c r="K1482" s="2"/>
      <c r="L1482" s="2"/>
      <c r="N1482" s="10"/>
      <c r="O1482" s="12"/>
      <c r="S1482" s="10"/>
    </row>
    <row r="1483" spans="1:19" s="8" customFormat="1" x14ac:dyDescent="0.2">
      <c r="A1483" s="2"/>
      <c r="B1483" s="10"/>
      <c r="K1483" s="2"/>
      <c r="L1483" s="2"/>
      <c r="N1483" s="10"/>
      <c r="O1483" s="12"/>
      <c r="S1483" s="10"/>
    </row>
    <row r="1484" spans="1:19" s="8" customFormat="1" x14ac:dyDescent="0.2">
      <c r="A1484" s="2"/>
      <c r="B1484" s="10"/>
      <c r="K1484" s="2"/>
      <c r="L1484" s="2"/>
      <c r="N1484" s="10"/>
      <c r="O1484" s="12"/>
      <c r="S1484" s="10"/>
    </row>
    <row r="1485" spans="1:19" s="8" customFormat="1" x14ac:dyDescent="0.2">
      <c r="A1485" s="2"/>
      <c r="B1485" s="10"/>
      <c r="K1485" s="2"/>
      <c r="L1485" s="2"/>
      <c r="N1485" s="10"/>
      <c r="O1485" s="12"/>
      <c r="S1485" s="10"/>
    </row>
    <row r="1486" spans="1:19" s="8" customFormat="1" x14ac:dyDescent="0.2">
      <c r="A1486" s="2"/>
      <c r="B1486" s="10"/>
      <c r="K1486" s="2"/>
      <c r="L1486" s="2"/>
      <c r="N1486" s="10"/>
      <c r="O1486" s="12"/>
      <c r="S1486" s="10"/>
    </row>
    <row r="1487" spans="1:19" s="8" customFormat="1" x14ac:dyDescent="0.2">
      <c r="A1487" s="2"/>
      <c r="B1487" s="10"/>
      <c r="K1487" s="2"/>
      <c r="L1487" s="2"/>
      <c r="N1487" s="10"/>
      <c r="O1487" s="12"/>
      <c r="S1487" s="10"/>
    </row>
    <row r="1488" spans="1:19" s="8" customFormat="1" x14ac:dyDescent="0.2">
      <c r="A1488" s="2"/>
      <c r="B1488" s="10"/>
      <c r="K1488" s="2"/>
      <c r="L1488" s="2"/>
      <c r="N1488" s="10"/>
      <c r="O1488" s="12"/>
      <c r="S1488" s="10"/>
    </row>
    <row r="1489" spans="1:19" s="8" customFormat="1" x14ac:dyDescent="0.2">
      <c r="A1489" s="2"/>
      <c r="B1489" s="10"/>
      <c r="K1489" s="2"/>
      <c r="L1489" s="2"/>
      <c r="N1489" s="10"/>
      <c r="O1489" s="12"/>
      <c r="S1489" s="10"/>
    </row>
    <row r="1490" spans="1:19" s="8" customFormat="1" x14ac:dyDescent="0.2">
      <c r="A1490" s="2"/>
      <c r="B1490" s="10"/>
      <c r="K1490" s="2"/>
      <c r="L1490" s="2"/>
      <c r="N1490" s="10"/>
      <c r="O1490" s="12"/>
      <c r="S1490" s="10"/>
    </row>
    <row r="1491" spans="1:19" s="8" customFormat="1" x14ac:dyDescent="0.2">
      <c r="A1491" s="2"/>
      <c r="B1491" s="10"/>
      <c r="K1491" s="2"/>
      <c r="L1491" s="2"/>
      <c r="N1491" s="10"/>
      <c r="O1491" s="12"/>
      <c r="S1491" s="10"/>
    </row>
    <row r="1492" spans="1:19" s="8" customFormat="1" x14ac:dyDescent="0.2">
      <c r="A1492" s="2"/>
      <c r="B1492" s="10"/>
      <c r="K1492" s="2"/>
      <c r="L1492" s="2"/>
      <c r="N1492" s="10"/>
      <c r="O1492" s="12"/>
      <c r="S1492" s="10"/>
    </row>
    <row r="1493" spans="1:19" s="8" customFormat="1" x14ac:dyDescent="0.2">
      <c r="A1493" s="2"/>
      <c r="B1493" s="10"/>
      <c r="K1493" s="2"/>
      <c r="L1493" s="2"/>
      <c r="N1493" s="10"/>
      <c r="O1493" s="12"/>
      <c r="S1493" s="10"/>
    </row>
    <row r="1494" spans="1:19" s="8" customFormat="1" x14ac:dyDescent="0.2">
      <c r="A1494" s="2"/>
      <c r="B1494" s="10"/>
      <c r="K1494" s="2"/>
      <c r="L1494" s="2"/>
      <c r="N1494" s="10"/>
      <c r="O1494" s="12"/>
      <c r="S1494" s="10"/>
    </row>
    <row r="1495" spans="1:19" s="8" customFormat="1" x14ac:dyDescent="0.2">
      <c r="A1495" s="2"/>
      <c r="B1495" s="10"/>
      <c r="K1495" s="2"/>
      <c r="L1495" s="2"/>
      <c r="N1495" s="10"/>
      <c r="O1495" s="12"/>
      <c r="S1495" s="10"/>
    </row>
    <row r="1496" spans="1:19" s="8" customFormat="1" x14ac:dyDescent="0.2">
      <c r="A1496" s="2"/>
      <c r="B1496" s="10"/>
      <c r="K1496" s="2"/>
      <c r="L1496" s="2"/>
      <c r="N1496" s="10"/>
      <c r="O1496" s="12"/>
      <c r="S1496" s="10"/>
    </row>
    <row r="1497" spans="1:19" s="8" customFormat="1" x14ac:dyDescent="0.2">
      <c r="A1497" s="2"/>
      <c r="B1497" s="10"/>
      <c r="K1497" s="2"/>
      <c r="L1497" s="2"/>
      <c r="N1497" s="10"/>
      <c r="O1497" s="12"/>
      <c r="S1497" s="10"/>
    </row>
    <row r="1498" spans="1:19" s="8" customFormat="1" x14ac:dyDescent="0.2">
      <c r="A1498" s="2"/>
      <c r="B1498" s="10"/>
      <c r="K1498" s="2"/>
      <c r="L1498" s="2"/>
      <c r="N1498" s="10"/>
      <c r="O1498" s="12"/>
      <c r="S1498" s="10"/>
    </row>
    <row r="1499" spans="1:19" s="8" customFormat="1" x14ac:dyDescent="0.2">
      <c r="A1499" s="2"/>
      <c r="B1499" s="10"/>
      <c r="K1499" s="2"/>
      <c r="L1499" s="2"/>
      <c r="N1499" s="10"/>
      <c r="O1499" s="12"/>
      <c r="S1499" s="10"/>
    </row>
    <row r="1500" spans="1:19" s="8" customFormat="1" x14ac:dyDescent="0.2">
      <c r="A1500" s="2"/>
      <c r="B1500" s="10"/>
      <c r="K1500" s="2"/>
      <c r="L1500" s="2"/>
      <c r="N1500" s="10"/>
      <c r="O1500" s="12"/>
      <c r="S1500" s="10"/>
    </row>
    <row r="1501" spans="1:19" s="8" customFormat="1" x14ac:dyDescent="0.2">
      <c r="A1501" s="2"/>
      <c r="B1501" s="10"/>
      <c r="K1501" s="2"/>
      <c r="L1501" s="2"/>
      <c r="N1501" s="10"/>
      <c r="O1501" s="12"/>
      <c r="S1501" s="10"/>
    </row>
    <row r="1502" spans="1:19" s="8" customFormat="1" x14ac:dyDescent="0.2">
      <c r="A1502" s="2"/>
      <c r="B1502" s="10"/>
      <c r="K1502" s="2"/>
      <c r="L1502" s="2"/>
      <c r="N1502" s="10"/>
      <c r="O1502" s="12"/>
      <c r="S1502" s="10"/>
    </row>
    <row r="1503" spans="1:19" s="8" customFormat="1" x14ac:dyDescent="0.2">
      <c r="A1503" s="2"/>
      <c r="B1503" s="10"/>
      <c r="K1503" s="2"/>
      <c r="L1503" s="2"/>
      <c r="N1503" s="10"/>
      <c r="O1503" s="12"/>
      <c r="S1503" s="10"/>
    </row>
    <row r="1504" spans="1:19" s="8" customFormat="1" x14ac:dyDescent="0.2">
      <c r="A1504" s="2"/>
      <c r="B1504" s="10"/>
      <c r="K1504" s="2"/>
      <c r="L1504" s="2"/>
      <c r="N1504" s="10"/>
      <c r="O1504" s="12"/>
      <c r="S1504" s="10"/>
    </row>
    <row r="1505" spans="1:19" s="8" customFormat="1" x14ac:dyDescent="0.2">
      <c r="A1505" s="2"/>
      <c r="B1505" s="10"/>
      <c r="K1505" s="2"/>
      <c r="L1505" s="2"/>
      <c r="N1505" s="10"/>
      <c r="O1505" s="12"/>
      <c r="S1505" s="10"/>
    </row>
    <row r="1506" spans="1:19" s="8" customFormat="1" x14ac:dyDescent="0.2">
      <c r="A1506" s="2"/>
      <c r="B1506" s="10"/>
      <c r="K1506" s="2"/>
      <c r="L1506" s="2"/>
      <c r="N1506" s="10"/>
      <c r="O1506" s="12"/>
      <c r="S1506" s="10"/>
    </row>
    <row r="1507" spans="1:19" s="8" customFormat="1" x14ac:dyDescent="0.2">
      <c r="A1507" s="2"/>
      <c r="B1507" s="10"/>
      <c r="K1507" s="2"/>
      <c r="L1507" s="2"/>
      <c r="N1507" s="10"/>
      <c r="O1507" s="12"/>
      <c r="S1507" s="10"/>
    </row>
    <row r="1508" spans="1:19" s="8" customFormat="1" x14ac:dyDescent="0.2">
      <c r="A1508" s="2"/>
      <c r="B1508" s="10"/>
      <c r="K1508" s="2"/>
      <c r="L1508" s="2"/>
      <c r="N1508" s="10"/>
      <c r="O1508" s="12"/>
      <c r="S1508" s="10"/>
    </row>
    <row r="1509" spans="1:19" s="8" customFormat="1" x14ac:dyDescent="0.2">
      <c r="A1509" s="2"/>
      <c r="B1509" s="10"/>
      <c r="K1509" s="2"/>
      <c r="L1509" s="2"/>
      <c r="N1509" s="10"/>
      <c r="O1509" s="12"/>
      <c r="S1509" s="10"/>
    </row>
    <row r="1510" spans="1:19" s="8" customFormat="1" x14ac:dyDescent="0.2">
      <c r="A1510" s="2"/>
      <c r="B1510" s="10"/>
      <c r="K1510" s="2"/>
      <c r="L1510" s="2"/>
      <c r="N1510" s="10"/>
      <c r="O1510" s="12"/>
      <c r="S1510" s="10"/>
    </row>
    <row r="1511" spans="1:19" s="8" customFormat="1" x14ac:dyDescent="0.2">
      <c r="A1511" s="2"/>
      <c r="B1511" s="10"/>
      <c r="K1511" s="2"/>
      <c r="L1511" s="2"/>
      <c r="N1511" s="10"/>
      <c r="O1511" s="12"/>
      <c r="S1511" s="10"/>
    </row>
    <row r="1512" spans="1:19" s="8" customFormat="1" x14ac:dyDescent="0.2">
      <c r="A1512" s="2"/>
      <c r="B1512" s="10"/>
      <c r="K1512" s="2"/>
      <c r="L1512" s="2"/>
      <c r="N1512" s="10"/>
      <c r="O1512" s="12"/>
      <c r="S1512" s="10"/>
    </row>
    <row r="1513" spans="1:19" s="8" customFormat="1" x14ac:dyDescent="0.2">
      <c r="A1513" s="2"/>
      <c r="B1513" s="10"/>
      <c r="K1513" s="2"/>
      <c r="L1513" s="2"/>
      <c r="N1513" s="10"/>
      <c r="O1513" s="12"/>
      <c r="S1513" s="10"/>
    </row>
    <row r="1514" spans="1:19" s="8" customFormat="1" x14ac:dyDescent="0.2">
      <c r="A1514" s="2"/>
      <c r="B1514" s="10"/>
      <c r="K1514" s="2"/>
      <c r="L1514" s="2"/>
      <c r="N1514" s="10"/>
      <c r="O1514" s="12"/>
      <c r="S1514" s="10"/>
    </row>
    <row r="1515" spans="1:19" s="8" customFormat="1" x14ac:dyDescent="0.2">
      <c r="A1515" s="2"/>
      <c r="B1515" s="10"/>
      <c r="K1515" s="2"/>
      <c r="L1515" s="2"/>
      <c r="N1515" s="10"/>
      <c r="O1515" s="12"/>
      <c r="S1515" s="10"/>
    </row>
    <row r="1516" spans="1:19" s="8" customFormat="1" x14ac:dyDescent="0.2">
      <c r="A1516" s="2"/>
      <c r="B1516" s="10"/>
      <c r="K1516" s="2"/>
      <c r="L1516" s="2"/>
      <c r="N1516" s="10"/>
      <c r="O1516" s="12"/>
      <c r="S1516" s="10"/>
    </row>
    <row r="1517" spans="1:19" s="8" customFormat="1" x14ac:dyDescent="0.2">
      <c r="A1517" s="2"/>
      <c r="B1517" s="10"/>
      <c r="K1517" s="2"/>
      <c r="L1517" s="2"/>
      <c r="N1517" s="10"/>
      <c r="O1517" s="12"/>
      <c r="S1517" s="10"/>
    </row>
    <row r="1518" spans="1:19" s="8" customFormat="1" x14ac:dyDescent="0.2">
      <c r="A1518" s="2"/>
      <c r="B1518" s="10"/>
      <c r="K1518" s="2"/>
      <c r="L1518" s="2"/>
      <c r="N1518" s="10"/>
      <c r="O1518" s="12"/>
      <c r="S1518" s="10"/>
    </row>
    <row r="1519" spans="1:19" s="8" customFormat="1" x14ac:dyDescent="0.2">
      <c r="A1519" s="2"/>
      <c r="B1519" s="10"/>
      <c r="K1519" s="2"/>
      <c r="L1519" s="2"/>
      <c r="N1519" s="10"/>
      <c r="O1519" s="12"/>
      <c r="S1519" s="10"/>
    </row>
    <row r="1520" spans="1:19" s="8" customFormat="1" x14ac:dyDescent="0.2">
      <c r="A1520" s="2"/>
      <c r="B1520" s="10"/>
      <c r="K1520" s="2"/>
      <c r="L1520" s="2"/>
      <c r="N1520" s="10"/>
      <c r="O1520" s="12"/>
      <c r="S1520" s="10"/>
    </row>
    <row r="1521" spans="1:19" s="8" customFormat="1" x14ac:dyDescent="0.2">
      <c r="A1521" s="2"/>
      <c r="B1521" s="10"/>
      <c r="K1521" s="2"/>
      <c r="L1521" s="2"/>
      <c r="N1521" s="10"/>
      <c r="O1521" s="12"/>
      <c r="S1521" s="10"/>
    </row>
    <row r="1522" spans="1:19" s="8" customFormat="1" x14ac:dyDescent="0.2">
      <c r="A1522" s="2"/>
      <c r="B1522" s="10"/>
      <c r="K1522" s="2"/>
      <c r="L1522" s="2"/>
      <c r="N1522" s="10"/>
      <c r="O1522" s="12"/>
      <c r="S1522" s="10"/>
    </row>
    <row r="1523" spans="1:19" s="8" customFormat="1" x14ac:dyDescent="0.2">
      <c r="A1523" s="2"/>
      <c r="B1523" s="10"/>
      <c r="K1523" s="2"/>
      <c r="L1523" s="2"/>
      <c r="N1523" s="10"/>
      <c r="O1523" s="12"/>
      <c r="S1523" s="10"/>
    </row>
    <row r="1524" spans="1:19" s="8" customFormat="1" x14ac:dyDescent="0.2">
      <c r="A1524" s="2"/>
      <c r="B1524" s="10"/>
      <c r="K1524" s="2"/>
      <c r="L1524" s="2"/>
      <c r="N1524" s="10"/>
      <c r="O1524" s="12"/>
      <c r="S1524" s="10"/>
    </row>
    <row r="1525" spans="1:19" s="8" customFormat="1" x14ac:dyDescent="0.2">
      <c r="A1525" s="2"/>
      <c r="B1525" s="10"/>
      <c r="K1525" s="2"/>
      <c r="L1525" s="2"/>
      <c r="N1525" s="10"/>
      <c r="O1525" s="12"/>
      <c r="S1525" s="10"/>
    </row>
    <row r="1526" spans="1:19" s="8" customFormat="1" x14ac:dyDescent="0.2">
      <c r="A1526" s="2"/>
      <c r="B1526" s="10"/>
      <c r="K1526" s="2"/>
      <c r="L1526" s="2"/>
      <c r="N1526" s="10"/>
      <c r="O1526" s="12"/>
      <c r="S1526" s="10"/>
    </row>
    <row r="1527" spans="1:19" s="8" customFormat="1" x14ac:dyDescent="0.2">
      <c r="A1527" s="2"/>
      <c r="B1527" s="10"/>
      <c r="K1527" s="2"/>
      <c r="L1527" s="2"/>
      <c r="N1527" s="10"/>
      <c r="O1527" s="12"/>
      <c r="S1527" s="10"/>
    </row>
    <row r="1528" spans="1:19" s="8" customFormat="1" x14ac:dyDescent="0.2">
      <c r="A1528" s="2"/>
      <c r="B1528" s="10"/>
      <c r="K1528" s="2"/>
      <c r="L1528" s="2"/>
      <c r="N1528" s="10"/>
      <c r="O1528" s="12"/>
      <c r="S1528" s="10"/>
    </row>
    <row r="1529" spans="1:19" s="8" customFormat="1" x14ac:dyDescent="0.2">
      <c r="A1529" s="2"/>
      <c r="B1529" s="10"/>
      <c r="K1529" s="2"/>
      <c r="L1529" s="2"/>
      <c r="N1529" s="10"/>
      <c r="O1529" s="12"/>
      <c r="S1529" s="10"/>
    </row>
    <row r="1530" spans="1:19" s="8" customFormat="1" x14ac:dyDescent="0.2">
      <c r="A1530" s="2"/>
      <c r="B1530" s="10"/>
      <c r="K1530" s="2"/>
      <c r="L1530" s="2"/>
      <c r="N1530" s="10"/>
      <c r="O1530" s="12"/>
      <c r="S1530" s="10"/>
    </row>
    <row r="1531" spans="1:19" s="8" customFormat="1" x14ac:dyDescent="0.2">
      <c r="A1531" s="2"/>
      <c r="B1531" s="10"/>
      <c r="K1531" s="2"/>
      <c r="L1531" s="2"/>
      <c r="N1531" s="10"/>
      <c r="O1531" s="12"/>
      <c r="S1531" s="10"/>
    </row>
    <row r="1532" spans="1:19" s="8" customFormat="1" x14ac:dyDescent="0.2">
      <c r="A1532" s="2"/>
      <c r="B1532" s="10"/>
      <c r="K1532" s="2"/>
      <c r="L1532" s="2"/>
      <c r="N1532" s="10"/>
      <c r="O1532" s="12"/>
      <c r="S1532" s="10"/>
    </row>
    <row r="1533" spans="1:19" s="8" customFormat="1" x14ac:dyDescent="0.2">
      <c r="A1533" s="2"/>
      <c r="B1533" s="10"/>
      <c r="K1533" s="2"/>
      <c r="L1533" s="2"/>
      <c r="N1533" s="10"/>
      <c r="O1533" s="12"/>
      <c r="S1533" s="10"/>
    </row>
    <row r="1534" spans="1:19" s="8" customFormat="1" x14ac:dyDescent="0.2">
      <c r="A1534" s="2"/>
      <c r="B1534" s="10"/>
      <c r="K1534" s="2"/>
      <c r="L1534" s="2"/>
      <c r="N1534" s="10"/>
      <c r="O1534" s="12"/>
      <c r="S1534" s="10"/>
    </row>
    <row r="1535" spans="1:19" s="8" customFormat="1" x14ac:dyDescent="0.2">
      <c r="A1535" s="2"/>
      <c r="B1535" s="10"/>
      <c r="K1535" s="2"/>
      <c r="L1535" s="2"/>
      <c r="N1535" s="10"/>
      <c r="O1535" s="12"/>
      <c r="S1535" s="10"/>
    </row>
    <row r="1536" spans="1:19" s="8" customFormat="1" x14ac:dyDescent="0.2">
      <c r="A1536" s="2"/>
      <c r="B1536" s="10"/>
      <c r="K1536" s="2"/>
      <c r="L1536" s="2"/>
      <c r="N1536" s="10"/>
      <c r="O1536" s="12"/>
      <c r="S1536" s="10"/>
    </row>
    <row r="1537" spans="1:19" s="8" customFormat="1" x14ac:dyDescent="0.2">
      <c r="A1537" s="2"/>
      <c r="B1537" s="10"/>
      <c r="K1537" s="2"/>
      <c r="L1537" s="2"/>
      <c r="N1537" s="10"/>
      <c r="O1537" s="12"/>
      <c r="S1537" s="10"/>
    </row>
    <row r="1538" spans="1:19" s="8" customFormat="1" x14ac:dyDescent="0.2">
      <c r="A1538" s="2"/>
      <c r="B1538" s="10"/>
      <c r="K1538" s="2"/>
      <c r="L1538" s="2"/>
      <c r="N1538" s="10"/>
      <c r="O1538" s="12"/>
      <c r="S1538" s="10"/>
    </row>
    <row r="1539" spans="1:19" s="8" customFormat="1" x14ac:dyDescent="0.2">
      <c r="A1539" s="2"/>
      <c r="B1539" s="10"/>
      <c r="K1539" s="2"/>
      <c r="L1539" s="2"/>
      <c r="N1539" s="10"/>
      <c r="O1539" s="12"/>
      <c r="S1539" s="10"/>
    </row>
    <row r="1540" spans="1:19" s="8" customFormat="1" x14ac:dyDescent="0.2">
      <c r="A1540" s="2"/>
      <c r="B1540" s="10"/>
      <c r="K1540" s="2"/>
      <c r="L1540" s="2"/>
      <c r="N1540" s="10"/>
      <c r="O1540" s="12"/>
      <c r="S1540" s="10"/>
    </row>
    <row r="1541" spans="1:19" s="8" customFormat="1" x14ac:dyDescent="0.2">
      <c r="A1541" s="2"/>
      <c r="B1541" s="10"/>
      <c r="K1541" s="2"/>
      <c r="L1541" s="2"/>
      <c r="N1541" s="10"/>
      <c r="O1541" s="12"/>
      <c r="S1541" s="10"/>
    </row>
    <row r="1542" spans="1:19" s="8" customFormat="1" x14ac:dyDescent="0.2">
      <c r="A1542" s="2"/>
      <c r="B1542" s="10"/>
      <c r="K1542" s="2"/>
      <c r="L1542" s="2"/>
      <c r="N1542" s="10"/>
      <c r="O1542" s="12"/>
      <c r="S1542" s="10"/>
    </row>
    <row r="1543" spans="1:19" s="8" customFormat="1" x14ac:dyDescent="0.2">
      <c r="A1543" s="2"/>
      <c r="B1543" s="10"/>
      <c r="K1543" s="2"/>
      <c r="L1543" s="2"/>
      <c r="N1543" s="10"/>
      <c r="O1543" s="12"/>
      <c r="S1543" s="10"/>
    </row>
    <row r="1544" spans="1:19" s="8" customFormat="1" x14ac:dyDescent="0.2">
      <c r="A1544" s="2"/>
      <c r="B1544" s="10"/>
      <c r="K1544" s="2"/>
      <c r="L1544" s="2"/>
      <c r="N1544" s="10"/>
      <c r="O1544" s="12"/>
      <c r="S1544" s="10"/>
    </row>
    <row r="1545" spans="1:19" s="8" customFormat="1" x14ac:dyDescent="0.2">
      <c r="A1545" s="2"/>
      <c r="B1545" s="10"/>
      <c r="K1545" s="2"/>
      <c r="L1545" s="2"/>
      <c r="N1545" s="10"/>
      <c r="O1545" s="12"/>
      <c r="S1545" s="10"/>
    </row>
    <row r="1546" spans="1:19" s="8" customFormat="1" x14ac:dyDescent="0.2">
      <c r="A1546" s="2"/>
      <c r="B1546" s="10"/>
      <c r="K1546" s="2"/>
      <c r="L1546" s="2"/>
      <c r="N1546" s="10"/>
      <c r="O1546" s="12"/>
      <c r="S1546" s="10"/>
    </row>
    <row r="1547" spans="1:19" s="8" customFormat="1" x14ac:dyDescent="0.2">
      <c r="A1547" s="2"/>
      <c r="B1547" s="10"/>
      <c r="K1547" s="2"/>
      <c r="L1547" s="2"/>
      <c r="N1547" s="10"/>
      <c r="O1547" s="12"/>
      <c r="S1547" s="10"/>
    </row>
    <row r="1548" spans="1:19" s="8" customFormat="1" x14ac:dyDescent="0.2">
      <c r="A1548" s="2"/>
      <c r="B1548" s="10"/>
      <c r="K1548" s="2"/>
      <c r="L1548" s="2"/>
      <c r="N1548" s="10"/>
      <c r="O1548" s="12"/>
      <c r="S1548" s="10"/>
    </row>
    <row r="1549" spans="1:19" s="8" customFormat="1" x14ac:dyDescent="0.2">
      <c r="A1549" s="2"/>
      <c r="B1549" s="10"/>
      <c r="K1549" s="2"/>
      <c r="L1549" s="2"/>
      <c r="N1549" s="10"/>
      <c r="O1549" s="12"/>
      <c r="S1549" s="10"/>
    </row>
    <row r="1550" spans="1:19" s="8" customFormat="1" x14ac:dyDescent="0.2">
      <c r="A1550" s="2"/>
      <c r="B1550" s="10"/>
      <c r="K1550" s="2"/>
      <c r="L1550" s="2"/>
      <c r="N1550" s="10"/>
      <c r="O1550" s="12"/>
      <c r="S1550" s="10"/>
    </row>
    <row r="1551" spans="1:19" s="8" customFormat="1" x14ac:dyDescent="0.2">
      <c r="A1551" s="2"/>
      <c r="B1551" s="10"/>
      <c r="K1551" s="2"/>
      <c r="L1551" s="2"/>
      <c r="N1551" s="10"/>
      <c r="O1551" s="12"/>
      <c r="S1551" s="10"/>
    </row>
    <row r="1552" spans="1:19" s="8" customFormat="1" x14ac:dyDescent="0.2">
      <c r="A1552" s="2"/>
      <c r="B1552" s="10"/>
      <c r="K1552" s="2"/>
      <c r="L1552" s="2"/>
      <c r="N1552" s="10"/>
      <c r="O1552" s="12"/>
      <c r="S1552" s="10"/>
    </row>
    <row r="1553" spans="1:19" s="8" customFormat="1" x14ac:dyDescent="0.2">
      <c r="A1553" s="2"/>
      <c r="B1553" s="10"/>
      <c r="K1553" s="2"/>
      <c r="L1553" s="2"/>
      <c r="N1553" s="10"/>
      <c r="O1553" s="12"/>
      <c r="S1553" s="10"/>
    </row>
    <row r="1554" spans="1:19" s="8" customFormat="1" x14ac:dyDescent="0.2">
      <c r="A1554" s="2"/>
      <c r="B1554" s="10"/>
      <c r="K1554" s="2"/>
      <c r="L1554" s="2"/>
      <c r="N1554" s="10"/>
      <c r="O1554" s="12"/>
      <c r="S1554" s="10"/>
    </row>
    <row r="1555" spans="1:19" s="8" customFormat="1" x14ac:dyDescent="0.2">
      <c r="A1555" s="2"/>
      <c r="B1555" s="10"/>
      <c r="K1555" s="2"/>
      <c r="L1555" s="2"/>
      <c r="N1555" s="10"/>
      <c r="O1555" s="12"/>
      <c r="S1555" s="10"/>
    </row>
    <row r="1556" spans="1:19" s="8" customFormat="1" x14ac:dyDescent="0.2">
      <c r="A1556" s="2"/>
      <c r="B1556" s="10"/>
      <c r="K1556" s="2"/>
      <c r="L1556" s="2"/>
      <c r="N1556" s="10"/>
      <c r="O1556" s="12"/>
      <c r="S1556" s="10"/>
    </row>
    <row r="1557" spans="1:19" s="8" customFormat="1" x14ac:dyDescent="0.2">
      <c r="A1557" s="2"/>
      <c r="B1557" s="10"/>
      <c r="K1557" s="2"/>
      <c r="L1557" s="2"/>
      <c r="N1557" s="10"/>
      <c r="O1557" s="12"/>
      <c r="S1557" s="10"/>
    </row>
    <row r="1558" spans="1:19" s="8" customFormat="1" x14ac:dyDescent="0.2">
      <c r="A1558" s="2"/>
      <c r="B1558" s="10"/>
      <c r="K1558" s="2"/>
      <c r="L1558" s="2"/>
      <c r="N1558" s="10"/>
      <c r="O1558" s="12"/>
      <c r="S1558" s="10"/>
    </row>
    <row r="1559" spans="1:19" s="8" customFormat="1" x14ac:dyDescent="0.2">
      <c r="A1559" s="2"/>
      <c r="B1559" s="10"/>
      <c r="K1559" s="2"/>
      <c r="L1559" s="2"/>
      <c r="N1559" s="10"/>
      <c r="O1559" s="12"/>
      <c r="S1559" s="10"/>
    </row>
    <row r="1560" spans="1:19" s="8" customFormat="1" x14ac:dyDescent="0.2">
      <c r="A1560" s="2"/>
      <c r="B1560" s="10"/>
      <c r="K1560" s="2"/>
      <c r="L1560" s="2"/>
      <c r="N1560" s="10"/>
      <c r="O1560" s="12"/>
      <c r="S1560" s="10"/>
    </row>
    <row r="1561" spans="1:19" s="8" customFormat="1" x14ac:dyDescent="0.2">
      <c r="A1561" s="2"/>
      <c r="B1561" s="10"/>
      <c r="K1561" s="2"/>
      <c r="L1561" s="2"/>
      <c r="N1561" s="10"/>
      <c r="O1561" s="12"/>
      <c r="S1561" s="10"/>
    </row>
    <row r="1562" spans="1:19" s="8" customFormat="1" x14ac:dyDescent="0.2">
      <c r="A1562" s="2"/>
      <c r="B1562" s="10"/>
      <c r="K1562" s="2"/>
      <c r="L1562" s="2"/>
      <c r="N1562" s="10"/>
      <c r="O1562" s="12"/>
      <c r="S1562" s="10"/>
    </row>
    <row r="1563" spans="1:19" s="8" customFormat="1" x14ac:dyDescent="0.2">
      <c r="A1563" s="2"/>
      <c r="B1563" s="10"/>
      <c r="K1563" s="2"/>
      <c r="L1563" s="2"/>
      <c r="N1563" s="10"/>
      <c r="O1563" s="12"/>
      <c r="S1563" s="10"/>
    </row>
    <row r="1564" spans="1:19" s="8" customFormat="1" x14ac:dyDescent="0.2">
      <c r="A1564" s="2"/>
      <c r="B1564" s="10"/>
      <c r="K1564" s="2"/>
      <c r="L1564" s="2"/>
      <c r="N1564" s="10"/>
      <c r="O1564" s="12"/>
      <c r="S1564" s="10"/>
    </row>
    <row r="1565" spans="1:19" s="8" customFormat="1" x14ac:dyDescent="0.2">
      <c r="A1565" s="2"/>
      <c r="B1565" s="10"/>
      <c r="K1565" s="2"/>
      <c r="L1565" s="2"/>
      <c r="N1565" s="10"/>
      <c r="O1565" s="12"/>
      <c r="S1565" s="10"/>
    </row>
    <row r="1566" spans="1:19" s="8" customFormat="1" x14ac:dyDescent="0.2">
      <c r="A1566" s="2"/>
      <c r="B1566" s="10"/>
      <c r="K1566" s="2"/>
      <c r="L1566" s="2"/>
      <c r="N1566" s="10"/>
      <c r="O1566" s="12"/>
      <c r="S1566" s="10"/>
    </row>
    <row r="1567" spans="1:19" s="8" customFormat="1" x14ac:dyDescent="0.2">
      <c r="A1567" s="2"/>
      <c r="B1567" s="10"/>
      <c r="K1567" s="2"/>
      <c r="L1567" s="2"/>
      <c r="N1567" s="10"/>
      <c r="O1567" s="12"/>
      <c r="S1567" s="10"/>
    </row>
    <row r="1568" spans="1:19" s="8" customFormat="1" x14ac:dyDescent="0.2">
      <c r="A1568" s="2"/>
      <c r="B1568" s="10"/>
      <c r="K1568" s="2"/>
      <c r="L1568" s="2"/>
      <c r="N1568" s="10"/>
      <c r="O1568" s="12"/>
      <c r="S1568" s="10"/>
    </row>
    <row r="1569" spans="1:19" s="8" customFormat="1" x14ac:dyDescent="0.2">
      <c r="A1569" s="2"/>
      <c r="B1569" s="10"/>
      <c r="K1569" s="2"/>
      <c r="L1569" s="2"/>
      <c r="N1569" s="10"/>
      <c r="O1569" s="12"/>
      <c r="S1569" s="10"/>
    </row>
    <row r="1570" spans="1:19" s="8" customFormat="1" x14ac:dyDescent="0.2">
      <c r="A1570" s="2"/>
      <c r="B1570" s="10"/>
      <c r="K1570" s="2"/>
      <c r="L1570" s="2"/>
      <c r="N1570" s="10"/>
      <c r="O1570" s="12"/>
      <c r="S1570" s="10"/>
    </row>
    <row r="1571" spans="1:19" s="8" customFormat="1" x14ac:dyDescent="0.2">
      <c r="A1571" s="2"/>
      <c r="B1571" s="10"/>
      <c r="K1571" s="2"/>
      <c r="L1571" s="2"/>
      <c r="N1571" s="10"/>
      <c r="O1571" s="12"/>
      <c r="S1571" s="10"/>
    </row>
    <row r="1572" spans="1:19" s="8" customFormat="1" x14ac:dyDescent="0.2">
      <c r="A1572" s="2"/>
      <c r="B1572" s="10"/>
      <c r="K1572" s="2"/>
      <c r="L1572" s="2"/>
      <c r="N1572" s="10"/>
      <c r="O1572" s="12"/>
      <c r="S1572" s="10"/>
    </row>
    <row r="1573" spans="1:19" s="8" customFormat="1" x14ac:dyDescent="0.2">
      <c r="A1573" s="2"/>
      <c r="B1573" s="10"/>
      <c r="K1573" s="2"/>
      <c r="L1573" s="2"/>
      <c r="N1573" s="10"/>
      <c r="O1573" s="12"/>
      <c r="S1573" s="10"/>
    </row>
    <row r="1574" spans="1:19" s="8" customFormat="1" x14ac:dyDescent="0.2">
      <c r="A1574" s="2"/>
      <c r="B1574" s="10"/>
      <c r="K1574" s="2"/>
      <c r="L1574" s="2"/>
      <c r="N1574" s="10"/>
      <c r="O1574" s="12"/>
      <c r="S1574" s="10"/>
    </row>
    <row r="1575" spans="1:19" s="8" customFormat="1" x14ac:dyDescent="0.2">
      <c r="A1575" s="2"/>
      <c r="B1575" s="10"/>
      <c r="K1575" s="2"/>
      <c r="L1575" s="2"/>
      <c r="N1575" s="10"/>
      <c r="O1575" s="12"/>
      <c r="S1575" s="10"/>
    </row>
    <row r="1576" spans="1:19" s="8" customFormat="1" x14ac:dyDescent="0.2">
      <c r="A1576" s="2"/>
      <c r="B1576" s="10"/>
      <c r="K1576" s="2"/>
      <c r="L1576" s="2"/>
      <c r="N1576" s="10"/>
      <c r="O1576" s="12"/>
      <c r="S1576" s="10"/>
    </row>
    <row r="1577" spans="1:19" s="8" customFormat="1" x14ac:dyDescent="0.2">
      <c r="A1577" s="2"/>
      <c r="B1577" s="10"/>
      <c r="K1577" s="2"/>
      <c r="L1577" s="2"/>
      <c r="N1577" s="10"/>
      <c r="O1577" s="12"/>
      <c r="S1577" s="10"/>
    </row>
    <row r="1578" spans="1:19" s="8" customFormat="1" x14ac:dyDescent="0.2">
      <c r="A1578" s="2"/>
      <c r="B1578" s="10"/>
      <c r="K1578" s="2"/>
      <c r="L1578" s="2"/>
      <c r="N1578" s="10"/>
      <c r="O1578" s="12"/>
      <c r="S1578" s="10"/>
    </row>
    <row r="1579" spans="1:19" s="8" customFormat="1" x14ac:dyDescent="0.2">
      <c r="A1579" s="2"/>
      <c r="B1579" s="10"/>
      <c r="K1579" s="2"/>
      <c r="L1579" s="2"/>
      <c r="N1579" s="10"/>
      <c r="O1579" s="12"/>
      <c r="S1579" s="10"/>
    </row>
    <row r="1580" spans="1:19" s="8" customFormat="1" x14ac:dyDescent="0.2">
      <c r="A1580" s="2"/>
      <c r="B1580" s="10"/>
      <c r="K1580" s="2"/>
      <c r="L1580" s="2"/>
      <c r="N1580" s="10"/>
      <c r="O1580" s="12"/>
      <c r="S1580" s="10"/>
    </row>
    <row r="1581" spans="1:19" s="8" customFormat="1" x14ac:dyDescent="0.2">
      <c r="A1581" s="2"/>
      <c r="B1581" s="10"/>
      <c r="K1581" s="2"/>
      <c r="L1581" s="2"/>
      <c r="N1581" s="10"/>
      <c r="O1581" s="12"/>
      <c r="S1581" s="10"/>
    </row>
    <row r="1582" spans="1:19" s="8" customFormat="1" x14ac:dyDescent="0.2">
      <c r="A1582" s="2"/>
      <c r="B1582" s="10"/>
      <c r="K1582" s="2"/>
      <c r="L1582" s="2"/>
      <c r="N1582" s="10"/>
      <c r="O1582" s="12"/>
      <c r="S1582" s="10"/>
    </row>
    <row r="1583" spans="1:19" s="8" customFormat="1" x14ac:dyDescent="0.2">
      <c r="A1583" s="2"/>
      <c r="B1583" s="10"/>
      <c r="K1583" s="2"/>
      <c r="L1583" s="2"/>
      <c r="N1583" s="10"/>
      <c r="O1583" s="12"/>
      <c r="S1583" s="10"/>
    </row>
    <row r="1584" spans="1:19" s="8" customFormat="1" x14ac:dyDescent="0.2">
      <c r="A1584" s="2"/>
      <c r="B1584" s="10"/>
      <c r="K1584" s="2"/>
      <c r="L1584" s="2"/>
      <c r="N1584" s="10"/>
      <c r="O1584" s="12"/>
      <c r="S1584" s="10"/>
    </row>
    <row r="1585" spans="1:19" s="8" customFormat="1" x14ac:dyDescent="0.2">
      <c r="A1585" s="2"/>
      <c r="B1585" s="10"/>
      <c r="K1585" s="2"/>
      <c r="L1585" s="2"/>
      <c r="N1585" s="10"/>
      <c r="O1585" s="12"/>
      <c r="S1585" s="10"/>
    </row>
    <row r="1586" spans="1:19" s="8" customFormat="1" x14ac:dyDescent="0.2">
      <c r="A1586" s="2"/>
      <c r="B1586" s="10"/>
      <c r="K1586" s="2"/>
      <c r="L1586" s="2"/>
      <c r="N1586" s="10"/>
      <c r="O1586" s="12"/>
      <c r="S1586" s="10"/>
    </row>
    <row r="1587" spans="1:19" s="8" customFormat="1" x14ac:dyDescent="0.2">
      <c r="A1587" s="2"/>
      <c r="B1587" s="10"/>
      <c r="K1587" s="2"/>
      <c r="L1587" s="2"/>
      <c r="N1587" s="10"/>
      <c r="O1587" s="12"/>
      <c r="S1587" s="10"/>
    </row>
    <row r="1588" spans="1:19" s="8" customFormat="1" x14ac:dyDescent="0.2">
      <c r="A1588" s="2"/>
      <c r="B1588" s="10"/>
      <c r="K1588" s="2"/>
      <c r="L1588" s="2"/>
      <c r="N1588" s="10"/>
      <c r="O1588" s="12"/>
      <c r="S1588" s="10"/>
    </row>
    <row r="1589" spans="1:19" s="8" customFormat="1" x14ac:dyDescent="0.2">
      <c r="A1589" s="2"/>
      <c r="B1589" s="10"/>
      <c r="K1589" s="2"/>
      <c r="L1589" s="2"/>
      <c r="N1589" s="10"/>
      <c r="O1589" s="12"/>
      <c r="S1589" s="10"/>
    </row>
    <row r="1590" spans="1:19" s="8" customFormat="1" x14ac:dyDescent="0.2">
      <c r="A1590" s="2"/>
      <c r="B1590" s="10"/>
      <c r="K1590" s="2"/>
      <c r="L1590" s="2"/>
      <c r="N1590" s="10"/>
      <c r="O1590" s="12"/>
      <c r="S1590" s="10"/>
    </row>
    <row r="1591" spans="1:19" s="8" customFormat="1" x14ac:dyDescent="0.2">
      <c r="A1591" s="2"/>
      <c r="B1591" s="10"/>
      <c r="K1591" s="2"/>
      <c r="L1591" s="2"/>
      <c r="N1591" s="10"/>
      <c r="O1591" s="12"/>
      <c r="S1591" s="10"/>
    </row>
    <row r="1592" spans="1:19" s="8" customFormat="1" x14ac:dyDescent="0.2">
      <c r="A1592" s="2"/>
      <c r="B1592" s="10"/>
      <c r="K1592" s="2"/>
      <c r="L1592" s="2"/>
      <c r="N1592" s="10"/>
      <c r="O1592" s="12"/>
      <c r="S1592" s="10"/>
    </row>
    <row r="1593" spans="1:19" s="8" customFormat="1" x14ac:dyDescent="0.2">
      <c r="A1593" s="2"/>
      <c r="B1593" s="10"/>
      <c r="K1593" s="2"/>
      <c r="L1593" s="2"/>
      <c r="N1593" s="10"/>
      <c r="O1593" s="12"/>
      <c r="S1593" s="10"/>
    </row>
    <row r="1594" spans="1:19" s="8" customFormat="1" x14ac:dyDescent="0.2">
      <c r="A1594" s="2"/>
      <c r="B1594" s="10"/>
      <c r="K1594" s="2"/>
      <c r="L1594" s="2"/>
      <c r="N1594" s="10"/>
      <c r="O1594" s="12"/>
      <c r="S1594" s="10"/>
    </row>
    <row r="1595" spans="1:19" s="8" customFormat="1" x14ac:dyDescent="0.2">
      <c r="A1595" s="2"/>
      <c r="B1595" s="10"/>
      <c r="K1595" s="2"/>
      <c r="L1595" s="2"/>
      <c r="N1595" s="10"/>
      <c r="O1595" s="12"/>
      <c r="S1595" s="10"/>
    </row>
    <row r="1596" spans="1:19" s="8" customFormat="1" x14ac:dyDescent="0.2">
      <c r="A1596" s="2"/>
      <c r="B1596" s="10"/>
      <c r="K1596" s="2"/>
      <c r="L1596" s="2"/>
      <c r="N1596" s="10"/>
      <c r="O1596" s="12"/>
      <c r="S1596" s="10"/>
    </row>
    <row r="1597" spans="1:19" s="8" customFormat="1" x14ac:dyDescent="0.2">
      <c r="A1597" s="2"/>
      <c r="B1597" s="10"/>
      <c r="K1597" s="2"/>
      <c r="L1597" s="2"/>
      <c r="N1597" s="10"/>
      <c r="O1597" s="12"/>
      <c r="S1597" s="10"/>
    </row>
    <row r="1598" spans="1:19" s="8" customFormat="1" x14ac:dyDescent="0.2">
      <c r="A1598" s="2"/>
      <c r="B1598" s="10"/>
      <c r="K1598" s="2"/>
      <c r="L1598" s="2"/>
      <c r="N1598" s="10"/>
      <c r="O1598" s="12"/>
      <c r="S1598" s="10"/>
    </row>
    <row r="1599" spans="1:19" s="8" customFormat="1" x14ac:dyDescent="0.2">
      <c r="A1599" s="2"/>
      <c r="B1599" s="10"/>
      <c r="K1599" s="2"/>
      <c r="L1599" s="2"/>
      <c r="N1599" s="10"/>
      <c r="O1599" s="12"/>
      <c r="S1599" s="10"/>
    </row>
    <row r="1600" spans="1:19" s="8" customFormat="1" x14ac:dyDescent="0.2">
      <c r="A1600" s="2"/>
      <c r="B1600" s="10"/>
      <c r="K1600" s="2"/>
      <c r="L1600" s="2"/>
      <c r="N1600" s="10"/>
      <c r="O1600" s="12"/>
      <c r="S1600" s="10"/>
    </row>
    <row r="1601" spans="1:19" s="8" customFormat="1" x14ac:dyDescent="0.2">
      <c r="A1601" s="2"/>
      <c r="B1601" s="10"/>
      <c r="K1601" s="2"/>
      <c r="L1601" s="2"/>
      <c r="N1601" s="10"/>
      <c r="O1601" s="12"/>
      <c r="S1601" s="10"/>
    </row>
    <row r="1602" spans="1:19" s="8" customFormat="1" x14ac:dyDescent="0.2">
      <c r="A1602" s="2"/>
      <c r="B1602" s="10"/>
      <c r="K1602" s="2"/>
      <c r="L1602" s="2"/>
      <c r="N1602" s="10"/>
      <c r="O1602" s="12"/>
      <c r="S1602" s="10"/>
    </row>
    <row r="1603" spans="1:19" s="8" customFormat="1" x14ac:dyDescent="0.2">
      <c r="A1603" s="2"/>
      <c r="B1603" s="10"/>
      <c r="K1603" s="2"/>
      <c r="L1603" s="2"/>
      <c r="N1603" s="10"/>
      <c r="O1603" s="12"/>
      <c r="S1603" s="10"/>
    </row>
    <row r="1604" spans="1:19" s="8" customFormat="1" x14ac:dyDescent="0.2">
      <c r="A1604" s="2"/>
      <c r="B1604" s="10"/>
      <c r="K1604" s="2"/>
      <c r="L1604" s="2"/>
      <c r="N1604" s="10"/>
      <c r="O1604" s="12"/>
      <c r="S1604" s="10"/>
    </row>
    <row r="1605" spans="1:19" s="8" customFormat="1" x14ac:dyDescent="0.2">
      <c r="A1605" s="2"/>
      <c r="B1605" s="10"/>
      <c r="K1605" s="2"/>
      <c r="L1605" s="2"/>
      <c r="N1605" s="10"/>
      <c r="O1605" s="12"/>
      <c r="S1605" s="10"/>
    </row>
    <row r="1606" spans="1:19" s="8" customFormat="1" x14ac:dyDescent="0.2">
      <c r="A1606" s="2"/>
      <c r="B1606" s="10"/>
      <c r="K1606" s="2"/>
      <c r="L1606" s="2"/>
      <c r="N1606" s="10"/>
      <c r="O1606" s="12"/>
      <c r="S1606" s="10"/>
    </row>
    <row r="1607" spans="1:19" s="8" customFormat="1" x14ac:dyDescent="0.2">
      <c r="A1607" s="2"/>
      <c r="B1607" s="10"/>
      <c r="K1607" s="2"/>
      <c r="L1607" s="2"/>
      <c r="N1607" s="10"/>
      <c r="O1607" s="12"/>
      <c r="S1607" s="10"/>
    </row>
    <row r="1608" spans="1:19" s="8" customFormat="1" x14ac:dyDescent="0.2">
      <c r="A1608" s="2"/>
      <c r="B1608" s="10"/>
      <c r="K1608" s="2"/>
      <c r="L1608" s="2"/>
      <c r="N1608" s="10"/>
      <c r="O1608" s="12"/>
      <c r="S1608" s="10"/>
    </row>
    <row r="1609" spans="1:19" s="8" customFormat="1" x14ac:dyDescent="0.2">
      <c r="A1609" s="2"/>
      <c r="B1609" s="10"/>
      <c r="K1609" s="2"/>
      <c r="L1609" s="2"/>
      <c r="N1609" s="10"/>
      <c r="O1609" s="12"/>
      <c r="S1609" s="10"/>
    </row>
    <row r="1610" spans="1:19" s="8" customFormat="1" x14ac:dyDescent="0.2">
      <c r="A1610" s="2"/>
      <c r="B1610" s="10"/>
      <c r="K1610" s="2"/>
      <c r="L1610" s="2"/>
      <c r="N1610" s="10"/>
      <c r="O1610" s="12"/>
      <c r="S1610" s="10"/>
    </row>
    <row r="1611" spans="1:19" s="8" customFormat="1" x14ac:dyDescent="0.2">
      <c r="A1611" s="2"/>
      <c r="B1611" s="10"/>
      <c r="K1611" s="2"/>
      <c r="L1611" s="2"/>
      <c r="N1611" s="10"/>
      <c r="O1611" s="12"/>
      <c r="S1611" s="10"/>
    </row>
    <row r="1612" spans="1:19" s="8" customFormat="1" x14ac:dyDescent="0.2">
      <c r="A1612" s="2"/>
      <c r="B1612" s="10"/>
      <c r="K1612" s="2"/>
      <c r="L1612" s="2"/>
      <c r="N1612" s="10"/>
      <c r="O1612" s="12"/>
      <c r="S1612" s="10"/>
    </row>
    <row r="1613" spans="1:19" s="8" customFormat="1" x14ac:dyDescent="0.2">
      <c r="A1613" s="2"/>
      <c r="B1613" s="10"/>
      <c r="K1613" s="2"/>
      <c r="L1613" s="2"/>
      <c r="N1613" s="10"/>
      <c r="O1613" s="12"/>
      <c r="S1613" s="10"/>
    </row>
    <row r="1614" spans="1:19" s="8" customFormat="1" x14ac:dyDescent="0.2">
      <c r="A1614" s="2"/>
      <c r="B1614" s="10"/>
      <c r="K1614" s="2"/>
      <c r="L1614" s="2"/>
      <c r="N1614" s="10"/>
      <c r="O1614" s="12"/>
      <c r="S1614" s="10"/>
    </row>
    <row r="1615" spans="1:19" s="8" customFormat="1" x14ac:dyDescent="0.2">
      <c r="A1615" s="2"/>
      <c r="B1615" s="10"/>
      <c r="K1615" s="2"/>
      <c r="L1615" s="2"/>
      <c r="N1615" s="10"/>
      <c r="O1615" s="12"/>
      <c r="S1615" s="10"/>
    </row>
    <row r="1616" spans="1:19" s="8" customFormat="1" x14ac:dyDescent="0.2">
      <c r="A1616" s="2"/>
      <c r="B1616" s="10"/>
      <c r="K1616" s="2"/>
      <c r="L1616" s="2"/>
      <c r="N1616" s="10"/>
      <c r="O1616" s="12"/>
      <c r="S1616" s="10"/>
    </row>
    <row r="1617" spans="1:19" s="8" customFormat="1" x14ac:dyDescent="0.2">
      <c r="A1617" s="2"/>
      <c r="B1617" s="10"/>
      <c r="K1617" s="2"/>
      <c r="L1617" s="2"/>
      <c r="N1617" s="10"/>
      <c r="O1617" s="12"/>
      <c r="S1617" s="10"/>
    </row>
    <row r="1618" spans="1:19" s="8" customFormat="1" x14ac:dyDescent="0.2">
      <c r="A1618" s="2"/>
      <c r="B1618" s="10"/>
      <c r="K1618" s="2"/>
      <c r="L1618" s="2"/>
      <c r="N1618" s="10"/>
      <c r="O1618" s="12"/>
      <c r="S1618" s="10"/>
    </row>
    <row r="1619" spans="1:19" s="8" customFormat="1" x14ac:dyDescent="0.2">
      <c r="A1619" s="2"/>
      <c r="B1619" s="10"/>
      <c r="K1619" s="2"/>
      <c r="L1619" s="2"/>
      <c r="N1619" s="10"/>
      <c r="O1619" s="12"/>
      <c r="S1619" s="10"/>
    </row>
    <row r="1620" spans="1:19" s="8" customFormat="1" x14ac:dyDescent="0.2">
      <c r="A1620" s="2"/>
      <c r="B1620" s="10"/>
      <c r="K1620" s="2"/>
      <c r="L1620" s="2"/>
      <c r="N1620" s="10"/>
      <c r="O1620" s="12"/>
      <c r="S1620" s="10"/>
    </row>
    <row r="1621" spans="1:19" s="8" customFormat="1" x14ac:dyDescent="0.2">
      <c r="A1621" s="2"/>
      <c r="B1621" s="10"/>
      <c r="K1621" s="2"/>
      <c r="L1621" s="2"/>
      <c r="N1621" s="10"/>
      <c r="O1621" s="12"/>
      <c r="S1621" s="10"/>
    </row>
    <row r="1622" spans="1:19" s="8" customFormat="1" x14ac:dyDescent="0.2">
      <c r="A1622" s="2"/>
      <c r="B1622" s="10"/>
      <c r="K1622" s="2"/>
      <c r="L1622" s="2"/>
      <c r="N1622" s="10"/>
      <c r="O1622" s="12"/>
      <c r="S1622" s="10"/>
    </row>
    <row r="1623" spans="1:19" s="8" customFormat="1" x14ac:dyDescent="0.2">
      <c r="A1623" s="2"/>
      <c r="B1623" s="10"/>
      <c r="K1623" s="2"/>
      <c r="L1623" s="2"/>
      <c r="N1623" s="10"/>
      <c r="O1623" s="12"/>
      <c r="S1623" s="10"/>
    </row>
    <row r="1624" spans="1:19" s="8" customFormat="1" x14ac:dyDescent="0.2">
      <c r="A1624" s="2"/>
      <c r="B1624" s="10"/>
      <c r="K1624" s="2"/>
      <c r="L1624" s="2"/>
      <c r="N1624" s="10"/>
      <c r="O1624" s="12"/>
      <c r="S1624" s="10"/>
    </row>
    <row r="1625" spans="1:19" s="8" customFormat="1" x14ac:dyDescent="0.2">
      <c r="A1625" s="2"/>
      <c r="B1625" s="10"/>
      <c r="K1625" s="2"/>
      <c r="L1625" s="2"/>
      <c r="N1625" s="10"/>
      <c r="O1625" s="12"/>
      <c r="S1625" s="10"/>
    </row>
    <row r="1626" spans="1:19" s="8" customFormat="1" x14ac:dyDescent="0.2">
      <c r="A1626" s="2"/>
      <c r="B1626" s="10"/>
      <c r="K1626" s="2"/>
      <c r="L1626" s="2"/>
      <c r="N1626" s="10"/>
      <c r="O1626" s="12"/>
      <c r="S1626" s="10"/>
    </row>
    <row r="1627" spans="1:19" s="8" customFormat="1" x14ac:dyDescent="0.2">
      <c r="A1627" s="2"/>
      <c r="B1627" s="10"/>
      <c r="K1627" s="2"/>
      <c r="L1627" s="2"/>
      <c r="N1627" s="10"/>
      <c r="O1627" s="12"/>
      <c r="S1627" s="10"/>
    </row>
    <row r="1628" spans="1:19" s="8" customFormat="1" x14ac:dyDescent="0.2">
      <c r="A1628" s="2"/>
      <c r="B1628" s="10"/>
      <c r="K1628" s="2"/>
      <c r="L1628" s="2"/>
      <c r="N1628" s="10"/>
      <c r="O1628" s="12"/>
      <c r="S1628" s="10"/>
    </row>
    <row r="1629" spans="1:19" s="8" customFormat="1" x14ac:dyDescent="0.2">
      <c r="A1629" s="2"/>
      <c r="B1629" s="10"/>
      <c r="K1629" s="2"/>
      <c r="L1629" s="2"/>
      <c r="N1629" s="10"/>
      <c r="O1629" s="12"/>
      <c r="S1629" s="10"/>
    </row>
    <row r="1630" spans="1:19" s="8" customFormat="1" x14ac:dyDescent="0.2">
      <c r="A1630" s="2"/>
      <c r="B1630" s="10"/>
      <c r="K1630" s="2"/>
      <c r="L1630" s="2"/>
      <c r="N1630" s="10"/>
      <c r="O1630" s="12"/>
      <c r="S1630" s="10"/>
    </row>
    <row r="1631" spans="1:19" s="8" customFormat="1" x14ac:dyDescent="0.2">
      <c r="A1631" s="2"/>
      <c r="B1631" s="10"/>
      <c r="K1631" s="2"/>
      <c r="L1631" s="2"/>
      <c r="N1631" s="10"/>
      <c r="O1631" s="12"/>
      <c r="S1631" s="10"/>
    </row>
    <row r="1632" spans="1:19" s="8" customFormat="1" x14ac:dyDescent="0.2">
      <c r="A1632" s="2"/>
      <c r="B1632" s="10"/>
      <c r="K1632" s="2"/>
      <c r="L1632" s="2"/>
      <c r="N1632" s="10"/>
      <c r="O1632" s="12"/>
      <c r="S1632" s="10"/>
    </row>
    <row r="1633" spans="1:19" s="8" customFormat="1" x14ac:dyDescent="0.2">
      <c r="A1633" s="2"/>
      <c r="B1633" s="10"/>
      <c r="K1633" s="2"/>
      <c r="L1633" s="2"/>
      <c r="N1633" s="10"/>
      <c r="O1633" s="12"/>
      <c r="S1633" s="10"/>
    </row>
    <row r="1634" spans="1:19" s="8" customFormat="1" x14ac:dyDescent="0.2">
      <c r="A1634" s="2"/>
      <c r="B1634" s="10"/>
      <c r="K1634" s="2"/>
      <c r="L1634" s="2"/>
      <c r="N1634" s="10"/>
      <c r="O1634" s="12"/>
      <c r="S1634" s="10"/>
    </row>
    <row r="1635" spans="1:19" s="8" customFormat="1" x14ac:dyDescent="0.2">
      <c r="A1635" s="2"/>
      <c r="B1635" s="10"/>
      <c r="K1635" s="2"/>
      <c r="L1635" s="2"/>
      <c r="N1635" s="10"/>
      <c r="O1635" s="12"/>
      <c r="S1635" s="10"/>
    </row>
    <row r="1636" spans="1:19" s="8" customFormat="1" x14ac:dyDescent="0.2">
      <c r="A1636" s="2"/>
      <c r="B1636" s="10"/>
      <c r="K1636" s="2"/>
      <c r="L1636" s="2"/>
      <c r="N1636" s="10"/>
      <c r="O1636" s="12"/>
      <c r="S1636" s="10"/>
    </row>
    <row r="1637" spans="1:19" s="8" customFormat="1" x14ac:dyDescent="0.2">
      <c r="A1637" s="2"/>
      <c r="B1637" s="10"/>
      <c r="K1637" s="2"/>
      <c r="L1637" s="2"/>
      <c r="N1637" s="10"/>
      <c r="O1637" s="12"/>
      <c r="S1637" s="10"/>
    </row>
    <row r="1638" spans="1:19" s="8" customFormat="1" x14ac:dyDescent="0.2">
      <c r="A1638" s="2"/>
      <c r="B1638" s="10"/>
      <c r="K1638" s="2"/>
      <c r="L1638" s="2"/>
      <c r="N1638" s="10"/>
      <c r="O1638" s="12"/>
      <c r="S1638" s="10"/>
    </row>
    <row r="1639" spans="1:19" s="8" customFormat="1" x14ac:dyDescent="0.2">
      <c r="A1639" s="2"/>
      <c r="B1639" s="10"/>
      <c r="K1639" s="2"/>
      <c r="L1639" s="2"/>
      <c r="N1639" s="10"/>
      <c r="O1639" s="12"/>
      <c r="S1639" s="10"/>
    </row>
    <row r="1640" spans="1:19" s="8" customFormat="1" x14ac:dyDescent="0.2">
      <c r="A1640" s="2"/>
      <c r="B1640" s="10"/>
      <c r="K1640" s="2"/>
      <c r="L1640" s="2"/>
      <c r="N1640" s="10"/>
      <c r="O1640" s="12"/>
      <c r="S1640" s="10"/>
    </row>
    <row r="1641" spans="1:19" s="8" customFormat="1" x14ac:dyDescent="0.2">
      <c r="A1641" s="2"/>
      <c r="B1641" s="10"/>
      <c r="K1641" s="2"/>
      <c r="L1641" s="2"/>
      <c r="N1641" s="10"/>
      <c r="O1641" s="12"/>
      <c r="S1641" s="10"/>
    </row>
    <row r="1642" spans="1:19" s="8" customFormat="1" x14ac:dyDescent="0.2">
      <c r="A1642" s="2"/>
      <c r="B1642" s="10"/>
      <c r="K1642" s="2"/>
      <c r="L1642" s="2"/>
      <c r="N1642" s="10"/>
      <c r="O1642" s="12"/>
      <c r="S1642" s="10"/>
    </row>
    <row r="1643" spans="1:19" s="8" customFormat="1" x14ac:dyDescent="0.2">
      <c r="A1643" s="2"/>
      <c r="B1643" s="10"/>
      <c r="K1643" s="2"/>
      <c r="L1643" s="2"/>
      <c r="N1643" s="10"/>
      <c r="O1643" s="12"/>
      <c r="S1643" s="10"/>
    </row>
    <row r="1644" spans="1:19" s="8" customFormat="1" x14ac:dyDescent="0.2">
      <c r="A1644" s="2"/>
      <c r="B1644" s="10"/>
      <c r="K1644" s="2"/>
      <c r="L1644" s="2"/>
      <c r="N1644" s="10"/>
      <c r="O1644" s="12"/>
      <c r="S1644" s="10"/>
    </row>
    <row r="1645" spans="1:19" s="8" customFormat="1" x14ac:dyDescent="0.2">
      <c r="A1645" s="2"/>
      <c r="B1645" s="10"/>
      <c r="K1645" s="2"/>
      <c r="L1645" s="2"/>
      <c r="N1645" s="10"/>
      <c r="O1645" s="12"/>
      <c r="S1645" s="10"/>
    </row>
    <row r="1646" spans="1:19" s="8" customFormat="1" x14ac:dyDescent="0.2">
      <c r="A1646" s="2"/>
      <c r="B1646" s="10"/>
      <c r="K1646" s="2"/>
      <c r="L1646" s="2"/>
      <c r="N1646" s="10"/>
      <c r="O1646" s="12"/>
      <c r="S1646" s="10"/>
    </row>
    <row r="1647" spans="1:19" s="8" customFormat="1" x14ac:dyDescent="0.2">
      <c r="A1647" s="2"/>
      <c r="B1647" s="10"/>
      <c r="K1647" s="2"/>
      <c r="L1647" s="2"/>
      <c r="N1647" s="10"/>
      <c r="O1647" s="12"/>
      <c r="S1647" s="10"/>
    </row>
    <row r="1648" spans="1:19" s="8" customFormat="1" x14ac:dyDescent="0.2">
      <c r="A1648" s="2"/>
      <c r="B1648" s="10"/>
      <c r="K1648" s="2"/>
      <c r="L1648" s="2"/>
      <c r="N1648" s="10"/>
      <c r="O1648" s="12"/>
      <c r="S1648" s="10"/>
    </row>
    <row r="1649" spans="1:19" s="8" customFormat="1" x14ac:dyDescent="0.2">
      <c r="A1649" s="2"/>
      <c r="B1649" s="10"/>
      <c r="K1649" s="2"/>
      <c r="L1649" s="2"/>
      <c r="N1649" s="10"/>
      <c r="O1649" s="12"/>
      <c r="S1649" s="10"/>
    </row>
    <row r="1650" spans="1:19" s="8" customFormat="1" x14ac:dyDescent="0.2">
      <c r="A1650" s="2"/>
      <c r="B1650" s="10"/>
      <c r="K1650" s="2"/>
      <c r="L1650" s="2"/>
      <c r="N1650" s="10"/>
      <c r="O1650" s="12"/>
      <c r="S1650" s="10"/>
    </row>
    <row r="1651" spans="1:19" s="8" customFormat="1" x14ac:dyDescent="0.2">
      <c r="A1651" s="2"/>
      <c r="B1651" s="10"/>
      <c r="K1651" s="2"/>
      <c r="L1651" s="2"/>
      <c r="N1651" s="10"/>
      <c r="O1651" s="12"/>
      <c r="S1651" s="10"/>
    </row>
    <row r="1652" spans="1:19" s="8" customFormat="1" x14ac:dyDescent="0.2">
      <c r="A1652" s="2"/>
      <c r="B1652" s="10"/>
      <c r="K1652" s="2"/>
      <c r="L1652" s="2"/>
      <c r="N1652" s="10"/>
      <c r="O1652" s="12"/>
      <c r="S1652" s="10"/>
    </row>
    <row r="1653" spans="1:19" s="8" customFormat="1" x14ac:dyDescent="0.2">
      <c r="A1653" s="2"/>
      <c r="B1653" s="10"/>
      <c r="K1653" s="2"/>
      <c r="L1653" s="2"/>
      <c r="N1653" s="10"/>
      <c r="O1653" s="12"/>
      <c r="S1653" s="10"/>
    </row>
    <row r="1654" spans="1:19" s="8" customFormat="1" x14ac:dyDescent="0.2">
      <c r="A1654" s="2"/>
      <c r="B1654" s="10"/>
      <c r="K1654" s="2"/>
      <c r="L1654" s="2"/>
      <c r="N1654" s="10"/>
      <c r="O1654" s="12"/>
      <c r="S1654" s="10"/>
    </row>
    <row r="1655" spans="1:19" s="8" customFormat="1" x14ac:dyDescent="0.2">
      <c r="A1655" s="2"/>
      <c r="B1655" s="10"/>
      <c r="K1655" s="2"/>
      <c r="L1655" s="2"/>
      <c r="N1655" s="10"/>
      <c r="O1655" s="12"/>
      <c r="S1655" s="10"/>
    </row>
    <row r="1656" spans="1:19" s="8" customFormat="1" x14ac:dyDescent="0.2">
      <c r="A1656" s="2"/>
      <c r="B1656" s="10"/>
      <c r="K1656" s="2"/>
      <c r="L1656" s="2"/>
      <c r="N1656" s="10"/>
      <c r="O1656" s="12"/>
      <c r="S1656" s="10"/>
    </row>
    <row r="1657" spans="1:19" s="8" customFormat="1" x14ac:dyDescent="0.2">
      <c r="A1657" s="2"/>
      <c r="B1657" s="10"/>
      <c r="K1657" s="2"/>
      <c r="L1657" s="2"/>
      <c r="N1657" s="10"/>
      <c r="O1657" s="12"/>
      <c r="S1657" s="10"/>
    </row>
    <row r="1658" spans="1:19" s="8" customFormat="1" x14ac:dyDescent="0.2">
      <c r="A1658" s="2"/>
      <c r="B1658" s="10"/>
      <c r="K1658" s="2"/>
      <c r="L1658" s="2"/>
      <c r="N1658" s="10"/>
      <c r="O1658" s="12"/>
      <c r="S1658" s="10"/>
    </row>
    <row r="1659" spans="1:19" s="8" customFormat="1" x14ac:dyDescent="0.2">
      <c r="A1659" s="2"/>
      <c r="B1659" s="10"/>
      <c r="K1659" s="2"/>
      <c r="L1659" s="2"/>
      <c r="N1659" s="10"/>
      <c r="O1659" s="12"/>
      <c r="S1659" s="10"/>
    </row>
    <row r="1660" spans="1:19" s="8" customFormat="1" x14ac:dyDescent="0.2">
      <c r="A1660" s="2"/>
      <c r="B1660" s="10"/>
      <c r="K1660" s="2"/>
      <c r="L1660" s="2"/>
      <c r="N1660" s="10"/>
      <c r="O1660" s="12"/>
      <c r="S1660" s="10"/>
    </row>
    <row r="1661" spans="1:19" s="8" customFormat="1" x14ac:dyDescent="0.2">
      <c r="A1661" s="2"/>
      <c r="B1661" s="10"/>
      <c r="K1661" s="2"/>
      <c r="L1661" s="2"/>
      <c r="N1661" s="10"/>
      <c r="O1661" s="12"/>
      <c r="S1661" s="10"/>
    </row>
    <row r="1662" spans="1:19" s="8" customFormat="1" x14ac:dyDescent="0.2">
      <c r="A1662" s="2"/>
      <c r="B1662" s="10"/>
      <c r="K1662" s="2"/>
      <c r="L1662" s="2"/>
      <c r="N1662" s="10"/>
      <c r="O1662" s="12"/>
      <c r="S1662" s="10"/>
    </row>
    <row r="1663" spans="1:19" s="8" customFormat="1" x14ac:dyDescent="0.2">
      <c r="A1663" s="2"/>
      <c r="B1663" s="10"/>
      <c r="K1663" s="2"/>
      <c r="L1663" s="2"/>
      <c r="N1663" s="10"/>
      <c r="O1663" s="12"/>
      <c r="S1663" s="10"/>
    </row>
    <row r="1664" spans="1:19" s="8" customFormat="1" x14ac:dyDescent="0.2">
      <c r="A1664" s="2"/>
      <c r="B1664" s="10"/>
      <c r="K1664" s="2"/>
      <c r="L1664" s="2"/>
      <c r="N1664" s="10"/>
      <c r="O1664" s="12"/>
      <c r="S1664" s="10"/>
    </row>
    <row r="1665" spans="1:19" s="8" customFormat="1" x14ac:dyDescent="0.2">
      <c r="A1665" s="2"/>
      <c r="B1665" s="10"/>
      <c r="K1665" s="2"/>
      <c r="L1665" s="2"/>
      <c r="N1665" s="10"/>
      <c r="O1665" s="12"/>
      <c r="S1665" s="10"/>
    </row>
    <row r="1666" spans="1:19" s="8" customFormat="1" x14ac:dyDescent="0.2">
      <c r="A1666" s="2"/>
      <c r="B1666" s="10"/>
      <c r="K1666" s="2"/>
      <c r="L1666" s="2"/>
      <c r="N1666" s="10"/>
      <c r="O1666" s="12"/>
      <c r="S1666" s="10"/>
    </row>
    <row r="1667" spans="1:19" s="8" customFormat="1" x14ac:dyDescent="0.2">
      <c r="A1667" s="2"/>
      <c r="B1667" s="10"/>
      <c r="K1667" s="2"/>
      <c r="L1667" s="2"/>
      <c r="N1667" s="10"/>
      <c r="O1667" s="12"/>
      <c r="S1667" s="10"/>
    </row>
    <row r="1668" spans="1:19" s="8" customFormat="1" x14ac:dyDescent="0.2">
      <c r="A1668" s="2"/>
      <c r="B1668" s="10"/>
      <c r="K1668" s="2"/>
      <c r="L1668" s="2"/>
      <c r="N1668" s="10"/>
      <c r="O1668" s="12"/>
      <c r="S1668" s="10"/>
    </row>
    <row r="1669" spans="1:19" s="8" customFormat="1" x14ac:dyDescent="0.2">
      <c r="A1669" s="2"/>
      <c r="B1669" s="10"/>
      <c r="K1669" s="2"/>
      <c r="L1669" s="2"/>
      <c r="N1669" s="10"/>
      <c r="O1669" s="12"/>
      <c r="S1669" s="10"/>
    </row>
    <row r="1670" spans="1:19" s="8" customFormat="1" x14ac:dyDescent="0.2">
      <c r="A1670" s="2"/>
      <c r="B1670" s="10"/>
      <c r="K1670" s="2"/>
      <c r="L1670" s="2"/>
      <c r="N1670" s="10"/>
      <c r="O1670" s="12"/>
      <c r="S1670" s="10"/>
    </row>
    <row r="1671" spans="1:19" s="8" customFormat="1" x14ac:dyDescent="0.2">
      <c r="A1671" s="2"/>
      <c r="B1671" s="10"/>
      <c r="K1671" s="2"/>
      <c r="L1671" s="2"/>
      <c r="N1671" s="10"/>
      <c r="O1671" s="12"/>
      <c r="S1671" s="10"/>
    </row>
    <row r="1672" spans="1:19" s="8" customFormat="1" x14ac:dyDescent="0.2">
      <c r="A1672" s="2"/>
      <c r="B1672" s="10"/>
      <c r="K1672" s="2"/>
      <c r="L1672" s="2"/>
      <c r="N1672" s="10"/>
      <c r="O1672" s="12"/>
      <c r="S1672" s="10"/>
    </row>
    <row r="1673" spans="1:19" s="8" customFormat="1" x14ac:dyDescent="0.2">
      <c r="A1673" s="2"/>
      <c r="B1673" s="10"/>
      <c r="K1673" s="2"/>
      <c r="L1673" s="2"/>
      <c r="N1673" s="10"/>
      <c r="O1673" s="12"/>
      <c r="S1673" s="10"/>
    </row>
    <row r="1674" spans="1:19" s="8" customFormat="1" x14ac:dyDescent="0.2">
      <c r="A1674" s="2"/>
      <c r="B1674" s="10"/>
      <c r="K1674" s="2"/>
      <c r="L1674" s="2"/>
      <c r="N1674" s="10"/>
      <c r="O1674" s="12"/>
      <c r="S1674" s="10"/>
    </row>
    <row r="1675" spans="1:19" s="8" customFormat="1" x14ac:dyDescent="0.2">
      <c r="A1675" s="2"/>
      <c r="B1675" s="10"/>
      <c r="K1675" s="2"/>
      <c r="L1675" s="2"/>
      <c r="N1675" s="10"/>
      <c r="O1675" s="12"/>
      <c r="S1675" s="10"/>
    </row>
    <row r="1676" spans="1:19" s="8" customFormat="1" x14ac:dyDescent="0.2">
      <c r="A1676" s="2"/>
      <c r="B1676" s="10"/>
      <c r="K1676" s="2"/>
      <c r="L1676" s="2"/>
      <c r="N1676" s="10"/>
      <c r="O1676" s="12"/>
      <c r="S1676" s="10"/>
    </row>
    <row r="1677" spans="1:19" s="8" customFormat="1" x14ac:dyDescent="0.2">
      <c r="A1677" s="2"/>
      <c r="B1677" s="10"/>
      <c r="K1677" s="2"/>
      <c r="L1677" s="2"/>
      <c r="N1677" s="10"/>
      <c r="O1677" s="12"/>
      <c r="S1677" s="10"/>
    </row>
    <row r="1678" spans="1:19" s="8" customFormat="1" x14ac:dyDescent="0.2">
      <c r="A1678" s="2"/>
      <c r="B1678" s="10"/>
      <c r="K1678" s="2"/>
      <c r="L1678" s="2"/>
      <c r="N1678" s="10"/>
      <c r="O1678" s="12"/>
      <c r="S1678" s="10"/>
    </row>
    <row r="1679" spans="1:19" s="8" customFormat="1" x14ac:dyDescent="0.2">
      <c r="A1679" s="2"/>
      <c r="B1679" s="10"/>
      <c r="K1679" s="2"/>
      <c r="L1679" s="2"/>
      <c r="N1679" s="10"/>
      <c r="O1679" s="12"/>
      <c r="S1679" s="10"/>
    </row>
    <row r="1680" spans="1:19" s="8" customFormat="1" x14ac:dyDescent="0.2">
      <c r="A1680" s="2"/>
      <c r="B1680" s="10"/>
      <c r="K1680" s="2"/>
      <c r="L1680" s="2"/>
      <c r="N1680" s="10"/>
      <c r="O1680" s="12"/>
      <c r="S1680" s="10"/>
    </row>
    <row r="1681" spans="1:19" s="8" customFormat="1" x14ac:dyDescent="0.2">
      <c r="A1681" s="2"/>
      <c r="B1681" s="10"/>
      <c r="K1681" s="2"/>
      <c r="L1681" s="2"/>
      <c r="N1681" s="10"/>
      <c r="O1681" s="12"/>
      <c r="S1681" s="10"/>
    </row>
    <row r="1682" spans="1:19" s="8" customFormat="1" x14ac:dyDescent="0.2">
      <c r="A1682" s="2"/>
      <c r="B1682" s="10"/>
      <c r="K1682" s="2"/>
      <c r="L1682" s="2"/>
      <c r="N1682" s="10"/>
      <c r="O1682" s="12"/>
      <c r="S1682" s="10"/>
    </row>
    <row r="1683" spans="1:19" s="8" customFormat="1" x14ac:dyDescent="0.2">
      <c r="A1683" s="2"/>
      <c r="B1683" s="10"/>
      <c r="K1683" s="2"/>
      <c r="L1683" s="2"/>
      <c r="N1683" s="10"/>
      <c r="O1683" s="12"/>
      <c r="S1683" s="10"/>
    </row>
    <row r="1684" spans="1:19" s="8" customFormat="1" x14ac:dyDescent="0.2">
      <c r="A1684" s="2"/>
      <c r="B1684" s="10"/>
      <c r="K1684" s="2"/>
      <c r="L1684" s="2"/>
      <c r="N1684" s="10"/>
      <c r="O1684" s="12"/>
      <c r="S1684" s="10"/>
    </row>
    <row r="1685" spans="1:19" s="8" customFormat="1" x14ac:dyDescent="0.2">
      <c r="A1685" s="2"/>
      <c r="B1685" s="10"/>
      <c r="K1685" s="2"/>
      <c r="L1685" s="2"/>
      <c r="N1685" s="10"/>
      <c r="O1685" s="12"/>
      <c r="S1685" s="10"/>
    </row>
    <row r="1686" spans="1:19" s="8" customFormat="1" x14ac:dyDescent="0.2">
      <c r="A1686" s="2"/>
      <c r="B1686" s="10"/>
      <c r="K1686" s="2"/>
      <c r="L1686" s="2"/>
      <c r="N1686" s="10"/>
      <c r="O1686" s="12"/>
      <c r="S1686" s="10"/>
    </row>
    <row r="1687" spans="1:19" s="8" customFormat="1" x14ac:dyDescent="0.2">
      <c r="A1687" s="2"/>
      <c r="B1687" s="10"/>
      <c r="K1687" s="2"/>
      <c r="L1687" s="2"/>
      <c r="N1687" s="10"/>
      <c r="O1687" s="12"/>
      <c r="S1687" s="10"/>
    </row>
    <row r="1688" spans="1:19" s="8" customFormat="1" x14ac:dyDescent="0.2">
      <c r="A1688" s="2"/>
      <c r="B1688" s="10"/>
      <c r="K1688" s="2"/>
      <c r="L1688" s="2"/>
      <c r="N1688" s="10"/>
      <c r="O1688" s="12"/>
      <c r="S1688" s="10"/>
    </row>
    <row r="1689" spans="1:19" s="8" customFormat="1" x14ac:dyDescent="0.2">
      <c r="A1689" s="2"/>
      <c r="B1689" s="10"/>
      <c r="K1689" s="2"/>
      <c r="L1689" s="2"/>
      <c r="N1689" s="10"/>
      <c r="O1689" s="12"/>
      <c r="S1689" s="10"/>
    </row>
    <row r="1690" spans="1:19" s="8" customFormat="1" x14ac:dyDescent="0.2">
      <c r="A1690" s="2"/>
      <c r="B1690" s="10"/>
      <c r="K1690" s="2"/>
      <c r="L1690" s="2"/>
      <c r="N1690" s="10"/>
      <c r="O1690" s="12"/>
      <c r="S1690" s="10"/>
    </row>
    <row r="1691" spans="1:19" s="8" customFormat="1" x14ac:dyDescent="0.2">
      <c r="A1691" s="2"/>
      <c r="B1691" s="10"/>
      <c r="K1691" s="2"/>
      <c r="L1691" s="2"/>
      <c r="N1691" s="10"/>
      <c r="O1691" s="12"/>
      <c r="S1691" s="10"/>
    </row>
    <row r="1692" spans="1:19" s="8" customFormat="1" x14ac:dyDescent="0.2">
      <c r="A1692" s="2"/>
      <c r="B1692" s="10"/>
      <c r="K1692" s="2"/>
      <c r="L1692" s="2"/>
      <c r="N1692" s="10"/>
      <c r="O1692" s="12"/>
      <c r="S1692" s="10"/>
    </row>
    <row r="1693" spans="1:19" s="8" customFormat="1" x14ac:dyDescent="0.2">
      <c r="A1693" s="2"/>
      <c r="B1693" s="10"/>
      <c r="K1693" s="2"/>
      <c r="L1693" s="2"/>
      <c r="N1693" s="10"/>
      <c r="O1693" s="12"/>
      <c r="S1693" s="10"/>
    </row>
    <row r="1694" spans="1:19" s="8" customFormat="1" x14ac:dyDescent="0.2">
      <c r="A1694" s="2"/>
      <c r="B1694" s="10"/>
      <c r="K1694" s="2"/>
      <c r="L1694" s="2"/>
      <c r="N1694" s="10"/>
      <c r="O1694" s="12"/>
      <c r="S1694" s="10"/>
    </row>
    <row r="1695" spans="1:19" s="8" customFormat="1" x14ac:dyDescent="0.2">
      <c r="A1695" s="2"/>
      <c r="B1695" s="10"/>
      <c r="K1695" s="2"/>
      <c r="L1695" s="2"/>
      <c r="N1695" s="10"/>
      <c r="O1695" s="12"/>
      <c r="S1695" s="10"/>
    </row>
    <row r="1696" spans="1:19" s="8" customFormat="1" x14ac:dyDescent="0.2">
      <c r="A1696" s="2"/>
      <c r="B1696" s="10"/>
      <c r="K1696" s="2"/>
      <c r="L1696" s="2"/>
      <c r="N1696" s="10"/>
      <c r="O1696" s="12"/>
      <c r="S1696" s="10"/>
    </row>
    <row r="1697" spans="1:19" s="8" customFormat="1" x14ac:dyDescent="0.2">
      <c r="A1697" s="2"/>
      <c r="B1697" s="10"/>
      <c r="K1697" s="2"/>
      <c r="L1697" s="2"/>
      <c r="N1697" s="10"/>
      <c r="O1697" s="12"/>
      <c r="S1697" s="10"/>
    </row>
    <row r="1698" spans="1:19" s="8" customFormat="1" x14ac:dyDescent="0.2">
      <c r="A1698" s="2"/>
      <c r="B1698" s="10"/>
      <c r="K1698" s="2"/>
      <c r="L1698" s="2"/>
      <c r="N1698" s="10"/>
      <c r="O1698" s="12"/>
      <c r="S1698" s="10"/>
    </row>
    <row r="1699" spans="1:19" s="8" customFormat="1" x14ac:dyDescent="0.2">
      <c r="A1699" s="2"/>
      <c r="B1699" s="10"/>
      <c r="K1699" s="2"/>
      <c r="L1699" s="2"/>
      <c r="N1699" s="10"/>
      <c r="O1699" s="12"/>
      <c r="S1699" s="10"/>
    </row>
    <row r="1700" spans="1:19" s="8" customFormat="1" x14ac:dyDescent="0.2">
      <c r="A1700" s="2"/>
      <c r="B1700" s="10"/>
      <c r="K1700" s="2"/>
      <c r="L1700" s="2"/>
      <c r="N1700" s="10"/>
      <c r="O1700" s="12"/>
      <c r="S1700" s="10"/>
    </row>
    <row r="1701" spans="1:19" s="8" customFormat="1" x14ac:dyDescent="0.2">
      <c r="A1701" s="2"/>
      <c r="B1701" s="10"/>
      <c r="K1701" s="2"/>
      <c r="L1701" s="2"/>
      <c r="N1701" s="10"/>
      <c r="O1701" s="12"/>
      <c r="S1701" s="10"/>
    </row>
    <row r="1702" spans="1:19" s="8" customFormat="1" x14ac:dyDescent="0.2">
      <c r="A1702" s="2"/>
      <c r="B1702" s="10"/>
      <c r="K1702" s="2"/>
      <c r="L1702" s="2"/>
      <c r="N1702" s="10"/>
      <c r="O1702" s="12"/>
      <c r="S1702" s="10"/>
    </row>
    <row r="1703" spans="1:19" s="8" customFormat="1" x14ac:dyDescent="0.2">
      <c r="A1703" s="2"/>
      <c r="B1703" s="10"/>
      <c r="K1703" s="2"/>
      <c r="L1703" s="2"/>
      <c r="N1703" s="10"/>
      <c r="O1703" s="12"/>
      <c r="S1703" s="10"/>
    </row>
    <row r="1704" spans="1:19" s="8" customFormat="1" x14ac:dyDescent="0.2">
      <c r="A1704" s="2"/>
      <c r="B1704" s="10"/>
      <c r="K1704" s="2"/>
      <c r="L1704" s="2"/>
      <c r="N1704" s="10"/>
      <c r="O1704" s="12"/>
      <c r="S1704" s="10"/>
    </row>
    <row r="1705" spans="1:19" s="8" customFormat="1" x14ac:dyDescent="0.2">
      <c r="A1705" s="2"/>
      <c r="B1705" s="10"/>
      <c r="K1705" s="2"/>
      <c r="L1705" s="2"/>
      <c r="N1705" s="10"/>
      <c r="O1705" s="12"/>
      <c r="S1705" s="10"/>
    </row>
    <row r="1706" spans="1:19" s="8" customFormat="1" x14ac:dyDescent="0.2">
      <c r="A1706" s="2"/>
      <c r="B1706" s="10"/>
      <c r="K1706" s="2"/>
      <c r="L1706" s="2"/>
      <c r="N1706" s="10"/>
      <c r="O1706" s="12"/>
      <c r="S1706" s="10"/>
    </row>
    <row r="1707" spans="1:19" s="8" customFormat="1" x14ac:dyDescent="0.2">
      <c r="A1707" s="2"/>
      <c r="B1707" s="10"/>
      <c r="K1707" s="2"/>
      <c r="L1707" s="2"/>
      <c r="N1707" s="10"/>
      <c r="O1707" s="12"/>
      <c r="S1707" s="10"/>
    </row>
    <row r="1708" spans="1:19" s="8" customFormat="1" x14ac:dyDescent="0.2">
      <c r="A1708" s="2"/>
      <c r="B1708" s="10"/>
      <c r="K1708" s="2"/>
      <c r="L1708" s="2"/>
      <c r="N1708" s="10"/>
      <c r="O1708" s="12"/>
      <c r="S1708" s="10"/>
    </row>
    <row r="1709" spans="1:19" s="8" customFormat="1" x14ac:dyDescent="0.2">
      <c r="A1709" s="2"/>
      <c r="B1709" s="10"/>
      <c r="K1709" s="2"/>
      <c r="L1709" s="2"/>
      <c r="N1709" s="10"/>
      <c r="O1709" s="12"/>
      <c r="S1709" s="10"/>
    </row>
    <row r="1710" spans="1:19" s="8" customFormat="1" x14ac:dyDescent="0.2">
      <c r="A1710" s="2"/>
      <c r="B1710" s="10"/>
      <c r="K1710" s="2"/>
      <c r="L1710" s="2"/>
      <c r="N1710" s="10"/>
      <c r="O1710" s="12"/>
      <c r="S1710" s="10"/>
    </row>
    <row r="1711" spans="1:19" s="8" customFormat="1" x14ac:dyDescent="0.2">
      <c r="A1711" s="2"/>
      <c r="B1711" s="10"/>
      <c r="K1711" s="2"/>
      <c r="L1711" s="2"/>
      <c r="N1711" s="10"/>
      <c r="O1711" s="12"/>
      <c r="S1711" s="10"/>
    </row>
    <row r="1712" spans="1:19" s="8" customFormat="1" x14ac:dyDescent="0.2">
      <c r="A1712" s="2"/>
      <c r="B1712" s="10"/>
      <c r="K1712" s="2"/>
      <c r="L1712" s="2"/>
      <c r="N1712" s="10"/>
      <c r="O1712" s="12"/>
      <c r="S1712" s="10"/>
    </row>
    <row r="1713" spans="1:19" s="8" customFormat="1" x14ac:dyDescent="0.2">
      <c r="A1713" s="2"/>
      <c r="B1713" s="10"/>
      <c r="K1713" s="2"/>
      <c r="L1713" s="2"/>
      <c r="N1713" s="10"/>
      <c r="O1713" s="12"/>
      <c r="S1713" s="10"/>
    </row>
    <row r="1714" spans="1:19" s="8" customFormat="1" x14ac:dyDescent="0.2">
      <c r="A1714" s="2"/>
      <c r="B1714" s="10"/>
      <c r="K1714" s="2"/>
      <c r="L1714" s="2"/>
      <c r="N1714" s="10"/>
      <c r="O1714" s="12"/>
      <c r="S1714" s="10"/>
    </row>
    <row r="1715" spans="1:19" s="8" customFormat="1" x14ac:dyDescent="0.2">
      <c r="A1715" s="2"/>
      <c r="B1715" s="10"/>
      <c r="K1715" s="2"/>
      <c r="L1715" s="2"/>
      <c r="N1715" s="10"/>
      <c r="O1715" s="12"/>
      <c r="S1715" s="10"/>
    </row>
    <row r="1716" spans="1:19" s="8" customFormat="1" x14ac:dyDescent="0.2">
      <c r="A1716" s="2"/>
      <c r="B1716" s="10"/>
      <c r="K1716" s="2"/>
      <c r="L1716" s="2"/>
      <c r="N1716" s="10"/>
      <c r="O1716" s="12"/>
      <c r="S1716" s="10"/>
    </row>
    <row r="1717" spans="1:19" s="8" customFormat="1" x14ac:dyDescent="0.2">
      <c r="A1717" s="2"/>
      <c r="B1717" s="10"/>
      <c r="K1717" s="2"/>
      <c r="L1717" s="2"/>
      <c r="N1717" s="10"/>
      <c r="O1717" s="12"/>
      <c r="S1717" s="10"/>
    </row>
    <row r="1718" spans="1:19" s="8" customFormat="1" x14ac:dyDescent="0.2">
      <c r="A1718" s="2"/>
      <c r="B1718" s="10"/>
      <c r="K1718" s="2"/>
      <c r="L1718" s="2"/>
      <c r="N1718" s="10"/>
      <c r="O1718" s="12"/>
      <c r="S1718" s="10"/>
    </row>
    <row r="1719" spans="1:19" s="8" customFormat="1" x14ac:dyDescent="0.2">
      <c r="A1719" s="2"/>
      <c r="B1719" s="10"/>
      <c r="K1719" s="2"/>
      <c r="L1719" s="2"/>
      <c r="N1719" s="10"/>
      <c r="O1719" s="12"/>
      <c r="S1719" s="10"/>
    </row>
    <row r="1720" spans="1:19" s="8" customFormat="1" x14ac:dyDescent="0.2">
      <c r="A1720" s="2"/>
      <c r="B1720" s="10"/>
      <c r="K1720" s="2"/>
      <c r="L1720" s="2"/>
      <c r="N1720" s="10"/>
      <c r="O1720" s="12"/>
      <c r="S1720" s="10"/>
    </row>
    <row r="1721" spans="1:19" s="8" customFormat="1" x14ac:dyDescent="0.2">
      <c r="A1721" s="2"/>
      <c r="B1721" s="10"/>
      <c r="K1721" s="2"/>
      <c r="L1721" s="2"/>
      <c r="N1721" s="10"/>
      <c r="O1721" s="12"/>
      <c r="S1721" s="10"/>
    </row>
    <row r="1722" spans="1:19" s="8" customFormat="1" x14ac:dyDescent="0.2">
      <c r="A1722" s="2"/>
      <c r="B1722" s="10"/>
      <c r="K1722" s="2"/>
      <c r="L1722" s="2"/>
      <c r="N1722" s="10"/>
      <c r="O1722" s="12"/>
      <c r="S1722" s="10"/>
    </row>
    <row r="1723" spans="1:19" s="8" customFormat="1" x14ac:dyDescent="0.2">
      <c r="A1723" s="2"/>
      <c r="B1723" s="10"/>
      <c r="K1723" s="2"/>
      <c r="L1723" s="2"/>
      <c r="N1723" s="10"/>
      <c r="O1723" s="12"/>
      <c r="S1723" s="10"/>
    </row>
    <row r="1724" spans="1:19" s="8" customFormat="1" x14ac:dyDescent="0.2">
      <c r="A1724" s="2"/>
      <c r="B1724" s="10"/>
      <c r="K1724" s="2"/>
      <c r="L1724" s="2"/>
      <c r="N1724" s="10"/>
      <c r="O1724" s="12"/>
      <c r="S1724" s="10"/>
    </row>
    <row r="1725" spans="1:19" s="8" customFormat="1" x14ac:dyDescent="0.2">
      <c r="A1725" s="2"/>
      <c r="B1725" s="10"/>
      <c r="K1725" s="2"/>
      <c r="L1725" s="2"/>
      <c r="N1725" s="10"/>
      <c r="O1725" s="12"/>
      <c r="S1725" s="10"/>
    </row>
    <row r="1726" spans="1:19" s="8" customFormat="1" x14ac:dyDescent="0.2">
      <c r="A1726" s="2"/>
      <c r="B1726" s="10"/>
      <c r="K1726" s="2"/>
      <c r="L1726" s="2"/>
      <c r="N1726" s="10"/>
      <c r="O1726" s="12"/>
      <c r="S1726" s="10"/>
    </row>
    <row r="1727" spans="1:19" s="8" customFormat="1" x14ac:dyDescent="0.2">
      <c r="A1727" s="2"/>
      <c r="B1727" s="10"/>
      <c r="K1727" s="2"/>
      <c r="L1727" s="2"/>
      <c r="N1727" s="10"/>
      <c r="O1727" s="12"/>
      <c r="S1727" s="10"/>
    </row>
    <row r="1728" spans="1:19" s="8" customFormat="1" x14ac:dyDescent="0.2">
      <c r="A1728" s="2"/>
      <c r="B1728" s="10"/>
      <c r="K1728" s="2"/>
      <c r="L1728" s="2"/>
      <c r="N1728" s="10"/>
      <c r="O1728" s="12"/>
      <c r="S1728" s="10"/>
    </row>
    <row r="1729" spans="1:19" s="8" customFormat="1" x14ac:dyDescent="0.2">
      <c r="A1729" s="2"/>
      <c r="B1729" s="10"/>
      <c r="K1729" s="2"/>
      <c r="L1729" s="2"/>
      <c r="N1729" s="10"/>
      <c r="O1729" s="12"/>
      <c r="S1729" s="10"/>
    </row>
    <row r="1730" spans="1:19" s="8" customFormat="1" x14ac:dyDescent="0.2">
      <c r="A1730" s="2"/>
      <c r="B1730" s="10"/>
      <c r="K1730" s="2"/>
      <c r="L1730" s="2"/>
      <c r="N1730" s="10"/>
      <c r="O1730" s="12"/>
      <c r="S1730" s="10"/>
    </row>
    <row r="1731" spans="1:19" s="8" customFormat="1" x14ac:dyDescent="0.2">
      <c r="A1731" s="2"/>
      <c r="B1731" s="10"/>
      <c r="K1731" s="2"/>
      <c r="L1731" s="2"/>
      <c r="N1731" s="10"/>
      <c r="O1731" s="12"/>
      <c r="S1731" s="10"/>
    </row>
    <row r="1732" spans="1:19" s="8" customFormat="1" x14ac:dyDescent="0.2">
      <c r="A1732" s="2"/>
      <c r="B1732" s="10"/>
      <c r="K1732" s="2"/>
      <c r="L1732" s="2"/>
      <c r="N1732" s="10"/>
      <c r="O1732" s="12"/>
      <c r="S1732" s="10"/>
    </row>
    <row r="1733" spans="1:19" s="8" customFormat="1" x14ac:dyDescent="0.2">
      <c r="A1733" s="2"/>
      <c r="B1733" s="10"/>
      <c r="K1733" s="2"/>
      <c r="L1733" s="2"/>
      <c r="N1733" s="10"/>
      <c r="O1733" s="12"/>
      <c r="S1733" s="10"/>
    </row>
    <row r="1734" spans="1:19" s="8" customFormat="1" x14ac:dyDescent="0.2">
      <c r="A1734" s="2"/>
      <c r="B1734" s="10"/>
      <c r="K1734" s="2"/>
      <c r="L1734" s="2"/>
      <c r="N1734" s="10"/>
      <c r="O1734" s="12"/>
      <c r="S1734" s="10"/>
    </row>
    <row r="1735" spans="1:19" s="8" customFormat="1" x14ac:dyDescent="0.2">
      <c r="A1735" s="2"/>
      <c r="B1735" s="10"/>
      <c r="K1735" s="2"/>
      <c r="L1735" s="2"/>
      <c r="N1735" s="10"/>
      <c r="O1735" s="12"/>
      <c r="S1735" s="10"/>
    </row>
    <row r="1736" spans="1:19" s="8" customFormat="1" x14ac:dyDescent="0.2">
      <c r="A1736" s="2"/>
      <c r="B1736" s="10"/>
      <c r="K1736" s="2"/>
      <c r="L1736" s="2"/>
      <c r="N1736" s="10"/>
      <c r="O1736" s="12"/>
      <c r="S1736" s="10"/>
    </row>
    <row r="1737" spans="1:19" s="8" customFormat="1" x14ac:dyDescent="0.2">
      <c r="A1737" s="2"/>
      <c r="B1737" s="10"/>
      <c r="K1737" s="2"/>
      <c r="L1737" s="2"/>
      <c r="N1737" s="10"/>
      <c r="O1737" s="12"/>
      <c r="S1737" s="10"/>
    </row>
    <row r="1738" spans="1:19" s="8" customFormat="1" x14ac:dyDescent="0.2">
      <c r="A1738" s="2"/>
      <c r="B1738" s="10"/>
      <c r="K1738" s="2"/>
      <c r="L1738" s="2"/>
      <c r="N1738" s="10"/>
      <c r="O1738" s="12"/>
      <c r="S1738" s="10"/>
    </row>
    <row r="1739" spans="1:19" s="8" customFormat="1" x14ac:dyDescent="0.2">
      <c r="A1739" s="2"/>
      <c r="B1739" s="10"/>
      <c r="K1739" s="2"/>
      <c r="L1739" s="2"/>
      <c r="N1739" s="10"/>
      <c r="O1739" s="12"/>
      <c r="S1739" s="10"/>
    </row>
    <row r="1740" spans="1:19" s="8" customFormat="1" x14ac:dyDescent="0.2">
      <c r="A1740" s="2"/>
      <c r="B1740" s="10"/>
      <c r="K1740" s="2"/>
      <c r="L1740" s="2"/>
      <c r="N1740" s="10"/>
      <c r="O1740" s="12"/>
      <c r="S1740" s="10"/>
    </row>
    <row r="1741" spans="1:19" s="8" customFormat="1" x14ac:dyDescent="0.2">
      <c r="A1741" s="2"/>
      <c r="B1741" s="10"/>
      <c r="K1741" s="2"/>
      <c r="L1741" s="2"/>
      <c r="N1741" s="10"/>
      <c r="O1741" s="12"/>
      <c r="S1741" s="10"/>
    </row>
    <row r="1742" spans="1:19" s="8" customFormat="1" x14ac:dyDescent="0.2">
      <c r="A1742" s="2"/>
      <c r="B1742" s="10"/>
      <c r="K1742" s="2"/>
      <c r="L1742" s="2"/>
      <c r="N1742" s="10"/>
      <c r="O1742" s="12"/>
      <c r="S1742" s="10"/>
    </row>
    <row r="1743" spans="1:19" s="8" customFormat="1" x14ac:dyDescent="0.2">
      <c r="A1743" s="2"/>
      <c r="B1743" s="10"/>
      <c r="K1743" s="2"/>
      <c r="L1743" s="2"/>
      <c r="N1743" s="10"/>
      <c r="O1743" s="12"/>
      <c r="S1743" s="10"/>
    </row>
    <row r="1744" spans="1:19" s="8" customFormat="1" x14ac:dyDescent="0.2">
      <c r="A1744" s="2"/>
      <c r="B1744" s="10"/>
      <c r="K1744" s="2"/>
      <c r="L1744" s="2"/>
      <c r="N1744" s="10"/>
      <c r="O1744" s="12"/>
      <c r="S1744" s="10"/>
    </row>
    <row r="1745" spans="1:19" s="8" customFormat="1" x14ac:dyDescent="0.2">
      <c r="A1745" s="2"/>
      <c r="B1745" s="10"/>
      <c r="K1745" s="2"/>
      <c r="L1745" s="2"/>
      <c r="N1745" s="10"/>
      <c r="O1745" s="12"/>
      <c r="S1745" s="10"/>
    </row>
    <row r="1746" spans="1:19" s="8" customFormat="1" x14ac:dyDescent="0.2">
      <c r="A1746" s="2"/>
      <c r="B1746" s="10"/>
      <c r="K1746" s="2"/>
      <c r="L1746" s="2"/>
      <c r="N1746" s="10"/>
      <c r="O1746" s="12"/>
      <c r="S1746" s="10"/>
    </row>
    <row r="1747" spans="1:19" s="8" customFormat="1" x14ac:dyDescent="0.2">
      <c r="A1747" s="2"/>
      <c r="B1747" s="10"/>
      <c r="K1747" s="2"/>
      <c r="L1747" s="2"/>
      <c r="N1747" s="10"/>
      <c r="O1747" s="12"/>
      <c r="S1747" s="10"/>
    </row>
    <row r="1748" spans="1:19" s="8" customFormat="1" x14ac:dyDescent="0.2">
      <c r="A1748" s="2"/>
      <c r="B1748" s="10"/>
      <c r="K1748" s="2"/>
      <c r="L1748" s="2"/>
      <c r="N1748" s="10"/>
      <c r="O1748" s="12"/>
      <c r="S1748" s="10"/>
    </row>
    <row r="1749" spans="1:19" s="8" customFormat="1" x14ac:dyDescent="0.2">
      <c r="A1749" s="2"/>
      <c r="B1749" s="10"/>
      <c r="K1749" s="2"/>
      <c r="L1749" s="2"/>
      <c r="N1749" s="10"/>
      <c r="O1749" s="12"/>
      <c r="S1749" s="10"/>
    </row>
    <row r="1750" spans="1:19" s="8" customFormat="1" x14ac:dyDescent="0.2">
      <c r="A1750" s="2"/>
      <c r="B1750" s="10"/>
      <c r="K1750" s="2"/>
      <c r="L1750" s="2"/>
      <c r="N1750" s="10"/>
      <c r="O1750" s="12"/>
      <c r="S1750" s="10"/>
    </row>
    <row r="1751" spans="1:19" s="8" customFormat="1" x14ac:dyDescent="0.2">
      <c r="A1751" s="2"/>
      <c r="B1751" s="10"/>
      <c r="K1751" s="2"/>
      <c r="L1751" s="2"/>
      <c r="N1751" s="10"/>
      <c r="O1751" s="12"/>
      <c r="S1751" s="10"/>
    </row>
    <row r="1752" spans="1:19" s="8" customFormat="1" x14ac:dyDescent="0.2">
      <c r="A1752" s="2"/>
      <c r="B1752" s="10"/>
      <c r="K1752" s="2"/>
      <c r="L1752" s="2"/>
      <c r="N1752" s="10"/>
      <c r="O1752" s="12"/>
      <c r="S1752" s="10"/>
    </row>
    <row r="1753" spans="1:19" s="8" customFormat="1" x14ac:dyDescent="0.2">
      <c r="A1753" s="2"/>
      <c r="B1753" s="10"/>
      <c r="K1753" s="2"/>
      <c r="L1753" s="2"/>
      <c r="N1753" s="10"/>
      <c r="O1753" s="12"/>
      <c r="S1753" s="10"/>
    </row>
    <row r="1754" spans="1:19" s="8" customFormat="1" x14ac:dyDescent="0.2">
      <c r="A1754" s="2"/>
      <c r="B1754" s="10"/>
      <c r="K1754" s="2"/>
      <c r="L1754" s="2"/>
      <c r="N1754" s="10"/>
      <c r="O1754" s="12"/>
      <c r="S1754" s="10"/>
    </row>
    <row r="1755" spans="1:19" s="8" customFormat="1" x14ac:dyDescent="0.2">
      <c r="A1755" s="2"/>
      <c r="B1755" s="10"/>
      <c r="K1755" s="2"/>
      <c r="L1755" s="2"/>
      <c r="N1755" s="10"/>
      <c r="O1755" s="12"/>
      <c r="S1755" s="10"/>
    </row>
    <row r="1756" spans="1:19" s="8" customFormat="1" x14ac:dyDescent="0.2">
      <c r="A1756" s="2"/>
      <c r="B1756" s="10"/>
      <c r="K1756" s="2"/>
      <c r="L1756" s="2"/>
      <c r="N1756" s="10"/>
      <c r="O1756" s="12"/>
      <c r="S1756" s="10"/>
    </row>
    <row r="1757" spans="1:19" s="8" customFormat="1" x14ac:dyDescent="0.2">
      <c r="A1757" s="2"/>
      <c r="B1757" s="10"/>
      <c r="K1757" s="2"/>
      <c r="L1757" s="2"/>
      <c r="N1757" s="10"/>
      <c r="O1757" s="12"/>
      <c r="S1757" s="10"/>
    </row>
    <row r="1758" spans="1:19" s="8" customFormat="1" x14ac:dyDescent="0.2">
      <c r="A1758" s="2"/>
      <c r="B1758" s="10"/>
      <c r="K1758" s="2"/>
      <c r="L1758" s="2"/>
      <c r="N1758" s="10"/>
      <c r="O1758" s="12"/>
      <c r="S1758" s="10"/>
    </row>
    <row r="1759" spans="1:19" s="8" customFormat="1" x14ac:dyDescent="0.2">
      <c r="A1759" s="2"/>
      <c r="B1759" s="10"/>
      <c r="K1759" s="2"/>
      <c r="L1759" s="2"/>
      <c r="N1759" s="10"/>
      <c r="O1759" s="12"/>
      <c r="S1759" s="10"/>
    </row>
    <row r="1760" spans="1:19" s="8" customFormat="1" x14ac:dyDescent="0.2">
      <c r="A1760" s="2"/>
      <c r="B1760" s="10"/>
      <c r="K1760" s="2"/>
      <c r="L1760" s="2"/>
      <c r="N1760" s="10"/>
      <c r="O1760" s="12"/>
      <c r="S1760" s="10"/>
    </row>
    <row r="1761" spans="1:19" s="8" customFormat="1" x14ac:dyDescent="0.2">
      <c r="A1761" s="2"/>
      <c r="B1761" s="10"/>
      <c r="K1761" s="2"/>
      <c r="L1761" s="2"/>
      <c r="N1761" s="10"/>
      <c r="O1761" s="12"/>
      <c r="S1761" s="10"/>
    </row>
    <row r="1762" spans="1:19" s="8" customFormat="1" x14ac:dyDescent="0.2">
      <c r="A1762" s="2"/>
      <c r="B1762" s="10"/>
      <c r="K1762" s="2"/>
      <c r="L1762" s="2"/>
      <c r="N1762" s="10"/>
      <c r="O1762" s="12"/>
      <c r="S1762" s="10"/>
    </row>
    <row r="1763" spans="1:19" s="8" customFormat="1" x14ac:dyDescent="0.2">
      <c r="A1763" s="2"/>
      <c r="B1763" s="10"/>
      <c r="K1763" s="2"/>
      <c r="L1763" s="2"/>
      <c r="N1763" s="10"/>
      <c r="O1763" s="12"/>
      <c r="S1763" s="10"/>
    </row>
    <row r="1764" spans="1:19" s="8" customFormat="1" x14ac:dyDescent="0.2">
      <c r="A1764" s="2"/>
      <c r="B1764" s="10"/>
      <c r="K1764" s="2"/>
      <c r="L1764" s="2"/>
      <c r="N1764" s="10"/>
      <c r="O1764" s="12"/>
      <c r="S1764" s="10"/>
    </row>
    <row r="1765" spans="1:19" s="8" customFormat="1" x14ac:dyDescent="0.2">
      <c r="A1765" s="2"/>
      <c r="B1765" s="10"/>
      <c r="K1765" s="2"/>
      <c r="L1765" s="2"/>
      <c r="N1765" s="10"/>
      <c r="O1765" s="12"/>
      <c r="S1765" s="10"/>
    </row>
    <row r="1766" spans="1:19" s="8" customFormat="1" x14ac:dyDescent="0.2">
      <c r="A1766" s="2"/>
      <c r="B1766" s="10"/>
      <c r="K1766" s="2"/>
      <c r="L1766" s="2"/>
      <c r="N1766" s="10"/>
      <c r="O1766" s="12"/>
      <c r="S1766" s="10"/>
    </row>
    <row r="1767" spans="1:19" s="8" customFormat="1" x14ac:dyDescent="0.2">
      <c r="A1767" s="2"/>
      <c r="B1767" s="10"/>
      <c r="K1767" s="2"/>
      <c r="L1767" s="2"/>
      <c r="N1767" s="10"/>
      <c r="O1767" s="12"/>
      <c r="S1767" s="10"/>
    </row>
    <row r="1768" spans="1:19" s="8" customFormat="1" x14ac:dyDescent="0.2">
      <c r="A1768" s="2"/>
      <c r="B1768" s="10"/>
      <c r="K1768" s="2"/>
      <c r="L1768" s="2"/>
      <c r="N1768" s="10"/>
      <c r="O1768" s="12"/>
      <c r="S1768" s="10"/>
    </row>
    <row r="1769" spans="1:19" s="8" customFormat="1" x14ac:dyDescent="0.2">
      <c r="A1769" s="2"/>
      <c r="B1769" s="10"/>
      <c r="K1769" s="2"/>
      <c r="L1769" s="2"/>
      <c r="N1769" s="10"/>
      <c r="O1769" s="12"/>
      <c r="S1769" s="10"/>
    </row>
    <row r="1770" spans="1:19" s="8" customFormat="1" x14ac:dyDescent="0.2">
      <c r="A1770" s="2"/>
      <c r="B1770" s="10"/>
      <c r="K1770" s="2"/>
      <c r="L1770" s="2"/>
      <c r="N1770" s="10"/>
      <c r="O1770" s="12"/>
      <c r="S1770" s="10"/>
    </row>
    <row r="1771" spans="1:19" s="8" customFormat="1" x14ac:dyDescent="0.2">
      <c r="A1771" s="2"/>
      <c r="B1771" s="10"/>
      <c r="K1771" s="2"/>
      <c r="L1771" s="2"/>
      <c r="N1771" s="10"/>
      <c r="O1771" s="12"/>
      <c r="S1771" s="10"/>
    </row>
    <row r="1772" spans="1:19" s="8" customFormat="1" x14ac:dyDescent="0.2">
      <c r="A1772" s="2"/>
      <c r="B1772" s="10"/>
      <c r="K1772" s="2"/>
      <c r="L1772" s="2"/>
      <c r="N1772" s="10"/>
      <c r="O1772" s="12"/>
      <c r="S1772" s="10"/>
    </row>
    <row r="1773" spans="1:19" s="8" customFormat="1" x14ac:dyDescent="0.2">
      <c r="A1773" s="2"/>
      <c r="B1773" s="10"/>
      <c r="K1773" s="2"/>
      <c r="L1773" s="2"/>
      <c r="N1773" s="10"/>
      <c r="O1773" s="12"/>
      <c r="S1773" s="10"/>
    </row>
    <row r="1774" spans="1:19" s="8" customFormat="1" x14ac:dyDescent="0.2">
      <c r="A1774" s="2"/>
      <c r="B1774" s="10"/>
      <c r="K1774" s="2"/>
      <c r="L1774" s="2"/>
      <c r="N1774" s="10"/>
      <c r="O1774" s="12"/>
      <c r="S1774" s="10"/>
    </row>
    <row r="1775" spans="1:19" s="8" customFormat="1" x14ac:dyDescent="0.2">
      <c r="A1775" s="2"/>
      <c r="B1775" s="10"/>
      <c r="K1775" s="2"/>
      <c r="L1775" s="2"/>
      <c r="N1775" s="10"/>
      <c r="O1775" s="12"/>
      <c r="S1775" s="10"/>
    </row>
    <row r="1776" spans="1:19" s="8" customFormat="1" x14ac:dyDescent="0.2">
      <c r="A1776" s="2"/>
      <c r="B1776" s="10"/>
      <c r="K1776" s="2"/>
      <c r="L1776" s="2"/>
      <c r="N1776" s="10"/>
      <c r="O1776" s="12"/>
      <c r="S1776" s="10"/>
    </row>
    <row r="1777" spans="1:19" s="8" customFormat="1" x14ac:dyDescent="0.2">
      <c r="A1777" s="2"/>
      <c r="B1777" s="10"/>
      <c r="K1777" s="2"/>
      <c r="L1777" s="2"/>
      <c r="N1777" s="10"/>
      <c r="O1777" s="12"/>
      <c r="S1777" s="10"/>
    </row>
    <row r="1778" spans="1:19" s="8" customFormat="1" x14ac:dyDescent="0.2">
      <c r="A1778" s="2"/>
      <c r="B1778" s="10"/>
      <c r="K1778" s="2"/>
      <c r="L1778" s="2"/>
      <c r="N1778" s="10"/>
      <c r="O1778" s="12"/>
      <c r="S1778" s="10"/>
    </row>
    <row r="1779" spans="1:19" s="8" customFormat="1" x14ac:dyDescent="0.2">
      <c r="A1779" s="2"/>
      <c r="B1779" s="10"/>
      <c r="K1779" s="2"/>
      <c r="L1779" s="2"/>
      <c r="N1779" s="10"/>
      <c r="O1779" s="12"/>
      <c r="S1779" s="10"/>
    </row>
    <row r="1780" spans="1:19" s="8" customFormat="1" x14ac:dyDescent="0.2">
      <c r="A1780" s="2"/>
      <c r="B1780" s="10"/>
      <c r="K1780" s="2"/>
      <c r="L1780" s="2"/>
      <c r="N1780" s="10"/>
      <c r="O1780" s="12"/>
      <c r="S1780" s="10"/>
    </row>
    <row r="1781" spans="1:19" s="8" customFormat="1" x14ac:dyDescent="0.2">
      <c r="A1781" s="2"/>
      <c r="B1781" s="10"/>
      <c r="K1781" s="2"/>
      <c r="L1781" s="2"/>
      <c r="N1781" s="10"/>
      <c r="O1781" s="12"/>
      <c r="S1781" s="10"/>
    </row>
    <row r="1782" spans="1:19" s="8" customFormat="1" x14ac:dyDescent="0.2">
      <c r="A1782" s="2"/>
      <c r="B1782" s="10"/>
      <c r="K1782" s="2"/>
      <c r="L1782" s="2"/>
      <c r="N1782" s="10"/>
      <c r="O1782" s="12"/>
      <c r="S1782" s="10"/>
    </row>
    <row r="1783" spans="1:19" s="8" customFormat="1" x14ac:dyDescent="0.2">
      <c r="A1783" s="2"/>
      <c r="B1783" s="10"/>
      <c r="K1783" s="2"/>
      <c r="L1783" s="2"/>
      <c r="N1783" s="10"/>
      <c r="O1783" s="12"/>
      <c r="S1783" s="10"/>
    </row>
    <row r="1784" spans="1:19" s="8" customFormat="1" x14ac:dyDescent="0.2">
      <c r="A1784" s="2"/>
      <c r="B1784" s="10"/>
      <c r="K1784" s="2"/>
      <c r="L1784" s="2"/>
      <c r="N1784" s="10"/>
      <c r="O1784" s="12"/>
      <c r="S1784" s="10"/>
    </row>
    <row r="1785" spans="1:19" s="8" customFormat="1" x14ac:dyDescent="0.2">
      <c r="A1785" s="2"/>
      <c r="B1785" s="10"/>
      <c r="K1785" s="2"/>
      <c r="L1785" s="2"/>
      <c r="N1785" s="10"/>
      <c r="O1785" s="12"/>
      <c r="S1785" s="10"/>
    </row>
    <row r="1786" spans="1:19" s="8" customFormat="1" x14ac:dyDescent="0.2">
      <c r="A1786" s="2"/>
      <c r="B1786" s="10"/>
      <c r="K1786" s="2"/>
      <c r="L1786" s="2"/>
      <c r="N1786" s="10"/>
      <c r="O1786" s="12"/>
      <c r="S1786" s="10"/>
    </row>
    <row r="1787" spans="1:19" s="8" customFormat="1" x14ac:dyDescent="0.2">
      <c r="A1787" s="2"/>
      <c r="B1787" s="10"/>
      <c r="K1787" s="2"/>
      <c r="L1787" s="2"/>
      <c r="N1787" s="10"/>
      <c r="O1787" s="12"/>
      <c r="S1787" s="10"/>
    </row>
    <row r="1788" spans="1:19" s="8" customFormat="1" x14ac:dyDescent="0.2">
      <c r="A1788" s="2"/>
      <c r="B1788" s="10"/>
      <c r="K1788" s="2"/>
      <c r="L1788" s="2"/>
      <c r="N1788" s="10"/>
      <c r="O1788" s="12"/>
      <c r="S1788" s="10"/>
    </row>
    <row r="1789" spans="1:19" s="8" customFormat="1" x14ac:dyDescent="0.2">
      <c r="A1789" s="2"/>
      <c r="B1789" s="10"/>
      <c r="K1789" s="2"/>
      <c r="L1789" s="2"/>
      <c r="N1789" s="10"/>
      <c r="O1789" s="12"/>
      <c r="S1789" s="10"/>
    </row>
    <row r="1790" spans="1:19" s="8" customFormat="1" x14ac:dyDescent="0.2">
      <c r="A1790" s="2"/>
      <c r="B1790" s="10"/>
      <c r="K1790" s="2"/>
      <c r="L1790" s="2"/>
      <c r="N1790" s="10"/>
      <c r="O1790" s="12"/>
      <c r="S1790" s="10"/>
    </row>
    <row r="1791" spans="1:19" s="8" customFormat="1" x14ac:dyDescent="0.2">
      <c r="A1791" s="2"/>
      <c r="B1791" s="10"/>
      <c r="K1791" s="2"/>
      <c r="L1791" s="2"/>
      <c r="N1791" s="10"/>
      <c r="O1791" s="12"/>
      <c r="S1791" s="10"/>
    </row>
    <row r="1792" spans="1:19" s="8" customFormat="1" x14ac:dyDescent="0.2">
      <c r="A1792" s="2"/>
      <c r="B1792" s="10"/>
      <c r="K1792" s="2"/>
      <c r="L1792" s="2"/>
      <c r="N1792" s="10"/>
      <c r="O1792" s="12"/>
      <c r="S1792" s="10"/>
    </row>
    <row r="1793" spans="1:19" s="8" customFormat="1" x14ac:dyDescent="0.2">
      <c r="A1793" s="2"/>
      <c r="B1793" s="10"/>
      <c r="K1793" s="2"/>
      <c r="L1793" s="2"/>
      <c r="N1793" s="10"/>
      <c r="O1793" s="12"/>
      <c r="S1793" s="10"/>
    </row>
    <row r="1794" spans="1:19" s="8" customFormat="1" x14ac:dyDescent="0.2">
      <c r="A1794" s="2"/>
      <c r="B1794" s="10"/>
      <c r="K1794" s="2"/>
      <c r="L1794" s="2"/>
      <c r="N1794" s="10"/>
      <c r="O1794" s="12"/>
      <c r="S1794" s="10"/>
    </row>
    <row r="1795" spans="1:19" s="8" customFormat="1" x14ac:dyDescent="0.2">
      <c r="A1795" s="2"/>
      <c r="B1795" s="10"/>
      <c r="K1795" s="2"/>
      <c r="L1795" s="2"/>
      <c r="N1795" s="10"/>
      <c r="O1795" s="12"/>
      <c r="S1795" s="10"/>
    </row>
    <row r="1796" spans="1:19" s="8" customFormat="1" x14ac:dyDescent="0.2">
      <c r="A1796" s="2"/>
      <c r="B1796" s="10"/>
      <c r="K1796" s="2"/>
      <c r="L1796" s="2"/>
      <c r="N1796" s="10"/>
      <c r="O1796" s="12"/>
      <c r="S1796" s="10"/>
    </row>
    <row r="1797" spans="1:19" s="8" customFormat="1" x14ac:dyDescent="0.2">
      <c r="A1797" s="2"/>
      <c r="B1797" s="10"/>
      <c r="K1797" s="2"/>
      <c r="L1797" s="2"/>
      <c r="N1797" s="10"/>
      <c r="O1797" s="12"/>
      <c r="S1797" s="10"/>
    </row>
    <row r="1798" spans="1:19" s="8" customFormat="1" x14ac:dyDescent="0.2">
      <c r="A1798" s="2"/>
      <c r="B1798" s="10"/>
      <c r="K1798" s="2"/>
      <c r="L1798" s="2"/>
      <c r="N1798" s="10"/>
      <c r="O1798" s="12"/>
      <c r="S1798" s="10"/>
    </row>
    <row r="1799" spans="1:19" s="8" customFormat="1" x14ac:dyDescent="0.2">
      <c r="A1799" s="2"/>
      <c r="B1799" s="10"/>
      <c r="K1799" s="2"/>
      <c r="L1799" s="2"/>
      <c r="N1799" s="10"/>
      <c r="O1799" s="12"/>
      <c r="S1799" s="10"/>
    </row>
    <row r="1800" spans="1:19" s="8" customFormat="1" x14ac:dyDescent="0.2">
      <c r="A1800" s="2"/>
      <c r="B1800" s="10"/>
      <c r="K1800" s="2"/>
      <c r="L1800" s="2"/>
      <c r="N1800" s="10"/>
      <c r="O1800" s="12"/>
      <c r="S1800" s="10"/>
    </row>
    <row r="1801" spans="1:19" s="8" customFormat="1" x14ac:dyDescent="0.2">
      <c r="A1801" s="2"/>
      <c r="B1801" s="10"/>
      <c r="K1801" s="2"/>
      <c r="L1801" s="2"/>
      <c r="N1801" s="10"/>
      <c r="O1801" s="12"/>
      <c r="S1801" s="10"/>
    </row>
    <row r="1802" spans="1:19" s="8" customFormat="1" x14ac:dyDescent="0.2">
      <c r="A1802" s="2"/>
      <c r="B1802" s="10"/>
      <c r="K1802" s="2"/>
      <c r="L1802" s="2"/>
      <c r="N1802" s="10"/>
      <c r="O1802" s="12"/>
      <c r="S1802" s="10"/>
    </row>
    <row r="1803" spans="1:19" s="8" customFormat="1" x14ac:dyDescent="0.2">
      <c r="A1803" s="2"/>
      <c r="B1803" s="10"/>
      <c r="K1803" s="2"/>
      <c r="L1803" s="2"/>
      <c r="N1803" s="10"/>
      <c r="O1803" s="12"/>
      <c r="S1803" s="10"/>
    </row>
    <row r="1804" spans="1:19" s="8" customFormat="1" x14ac:dyDescent="0.2">
      <c r="A1804" s="2"/>
      <c r="B1804" s="10"/>
      <c r="K1804" s="2"/>
      <c r="L1804" s="2"/>
      <c r="N1804" s="10"/>
      <c r="O1804" s="12"/>
      <c r="S1804" s="10"/>
    </row>
    <row r="1805" spans="1:19" s="8" customFormat="1" x14ac:dyDescent="0.2">
      <c r="A1805" s="2"/>
      <c r="B1805" s="10"/>
      <c r="K1805" s="2"/>
      <c r="L1805" s="2"/>
      <c r="N1805" s="10"/>
      <c r="O1805" s="12"/>
      <c r="S1805" s="10"/>
    </row>
    <row r="1806" spans="1:19" s="8" customFormat="1" x14ac:dyDescent="0.2">
      <c r="A1806" s="2"/>
      <c r="B1806" s="10"/>
      <c r="K1806" s="2"/>
      <c r="L1806" s="2"/>
      <c r="N1806" s="10"/>
      <c r="O1806" s="12"/>
      <c r="S1806" s="10"/>
    </row>
    <row r="1807" spans="1:19" s="8" customFormat="1" x14ac:dyDescent="0.2">
      <c r="A1807" s="2"/>
      <c r="B1807" s="10"/>
      <c r="K1807" s="2"/>
      <c r="L1807" s="2"/>
      <c r="N1807" s="10"/>
      <c r="O1807" s="12"/>
      <c r="S1807" s="10"/>
    </row>
    <row r="1808" spans="1:19" s="8" customFormat="1" x14ac:dyDescent="0.2">
      <c r="A1808" s="2"/>
      <c r="B1808" s="10"/>
      <c r="K1808" s="2"/>
      <c r="L1808" s="2"/>
      <c r="N1808" s="10"/>
      <c r="O1808" s="12"/>
      <c r="S1808" s="10"/>
    </row>
    <row r="1809" spans="1:19" s="8" customFormat="1" x14ac:dyDescent="0.2">
      <c r="A1809" s="2"/>
      <c r="B1809" s="10"/>
      <c r="K1809" s="2"/>
      <c r="L1809" s="2"/>
      <c r="N1809" s="10"/>
      <c r="O1809" s="12"/>
      <c r="S1809" s="10"/>
    </row>
    <row r="1810" spans="1:19" s="8" customFormat="1" x14ac:dyDescent="0.2">
      <c r="A1810" s="2"/>
      <c r="B1810" s="10"/>
      <c r="K1810" s="2"/>
      <c r="L1810" s="2"/>
      <c r="N1810" s="10"/>
      <c r="O1810" s="12"/>
      <c r="S1810" s="10"/>
    </row>
    <row r="1811" spans="1:19" s="8" customFormat="1" x14ac:dyDescent="0.2">
      <c r="A1811" s="2"/>
      <c r="B1811" s="10"/>
      <c r="K1811" s="2"/>
      <c r="L1811" s="2"/>
      <c r="N1811" s="10"/>
      <c r="O1811" s="12"/>
      <c r="S1811" s="10"/>
    </row>
    <row r="1812" spans="1:19" s="8" customFormat="1" x14ac:dyDescent="0.2">
      <c r="A1812" s="2"/>
      <c r="B1812" s="10"/>
      <c r="K1812" s="2"/>
      <c r="L1812" s="2"/>
      <c r="N1812" s="10"/>
      <c r="O1812" s="12"/>
      <c r="S1812" s="10"/>
    </row>
    <row r="1813" spans="1:19" s="8" customFormat="1" x14ac:dyDescent="0.2">
      <c r="A1813" s="2"/>
      <c r="B1813" s="10"/>
      <c r="K1813" s="2"/>
      <c r="L1813" s="2"/>
      <c r="N1813" s="10"/>
      <c r="O1813" s="12"/>
      <c r="S1813" s="10"/>
    </row>
    <row r="1814" spans="1:19" s="8" customFormat="1" x14ac:dyDescent="0.2">
      <c r="A1814" s="2"/>
      <c r="B1814" s="10"/>
      <c r="K1814" s="2"/>
      <c r="L1814" s="2"/>
      <c r="N1814" s="10"/>
      <c r="O1814" s="12"/>
      <c r="S1814" s="10"/>
    </row>
    <row r="1815" spans="1:19" s="8" customFormat="1" x14ac:dyDescent="0.2">
      <c r="A1815" s="2"/>
      <c r="B1815" s="10"/>
      <c r="K1815" s="2"/>
      <c r="L1815" s="2"/>
      <c r="N1815" s="10"/>
      <c r="O1815" s="12"/>
      <c r="S1815" s="10"/>
    </row>
    <row r="1816" spans="1:19" s="8" customFormat="1" x14ac:dyDescent="0.2">
      <c r="A1816" s="2"/>
      <c r="B1816" s="10"/>
      <c r="K1816" s="2"/>
      <c r="L1816" s="2"/>
      <c r="N1816" s="10"/>
      <c r="O1816" s="12"/>
      <c r="S1816" s="10"/>
    </row>
    <row r="1817" spans="1:19" s="8" customFormat="1" x14ac:dyDescent="0.2">
      <c r="A1817" s="2"/>
      <c r="B1817" s="10"/>
      <c r="K1817" s="2"/>
      <c r="L1817" s="2"/>
      <c r="N1817" s="10"/>
      <c r="O1817" s="12"/>
      <c r="S1817" s="10"/>
    </row>
    <row r="1818" spans="1:19" s="8" customFormat="1" x14ac:dyDescent="0.2">
      <c r="A1818" s="2"/>
      <c r="B1818" s="10"/>
      <c r="K1818" s="2"/>
      <c r="L1818" s="2"/>
      <c r="N1818" s="10"/>
      <c r="O1818" s="12"/>
      <c r="S1818" s="10"/>
    </row>
    <row r="1819" spans="1:19" s="8" customFormat="1" x14ac:dyDescent="0.2">
      <c r="A1819" s="2"/>
      <c r="B1819" s="10"/>
      <c r="K1819" s="2"/>
      <c r="L1819" s="2"/>
      <c r="N1819" s="10"/>
      <c r="O1819" s="12"/>
      <c r="S1819" s="10"/>
    </row>
    <row r="1820" spans="1:19" s="8" customFormat="1" x14ac:dyDescent="0.2">
      <c r="A1820" s="2"/>
      <c r="B1820" s="10"/>
      <c r="K1820" s="2"/>
      <c r="L1820" s="2"/>
      <c r="N1820" s="10"/>
      <c r="O1820" s="12"/>
      <c r="S1820" s="10"/>
    </row>
    <row r="1821" spans="1:19" s="8" customFormat="1" x14ac:dyDescent="0.2">
      <c r="A1821" s="2"/>
      <c r="B1821" s="10"/>
      <c r="K1821" s="2"/>
      <c r="L1821" s="2"/>
      <c r="N1821" s="10"/>
      <c r="O1821" s="12"/>
      <c r="S1821" s="10"/>
    </row>
    <row r="1822" spans="1:19" s="8" customFormat="1" x14ac:dyDescent="0.2">
      <c r="A1822" s="2"/>
      <c r="B1822" s="10"/>
      <c r="K1822" s="2"/>
      <c r="L1822" s="2"/>
      <c r="N1822" s="10"/>
      <c r="O1822" s="12"/>
      <c r="S1822" s="10"/>
    </row>
    <row r="1823" spans="1:19" s="8" customFormat="1" x14ac:dyDescent="0.2">
      <c r="A1823" s="2"/>
      <c r="B1823" s="10"/>
      <c r="K1823" s="2"/>
      <c r="L1823" s="2"/>
      <c r="N1823" s="10"/>
      <c r="O1823" s="12"/>
      <c r="S1823" s="10"/>
    </row>
    <row r="1824" spans="1:19" s="8" customFormat="1" x14ac:dyDescent="0.2">
      <c r="A1824" s="2"/>
      <c r="B1824" s="10"/>
      <c r="K1824" s="2"/>
      <c r="L1824" s="2"/>
      <c r="N1824" s="10"/>
      <c r="O1824" s="12"/>
      <c r="S1824" s="10"/>
    </row>
    <row r="1825" spans="1:19" s="8" customFormat="1" x14ac:dyDescent="0.2">
      <c r="A1825" s="2"/>
      <c r="B1825" s="10"/>
      <c r="K1825" s="2"/>
      <c r="L1825" s="2"/>
      <c r="N1825" s="10"/>
      <c r="O1825" s="12"/>
      <c r="S1825" s="10"/>
    </row>
    <row r="1826" spans="1:19" s="8" customFormat="1" x14ac:dyDescent="0.2">
      <c r="A1826" s="2"/>
      <c r="B1826" s="10"/>
      <c r="K1826" s="2"/>
      <c r="L1826" s="2"/>
      <c r="N1826" s="10"/>
      <c r="O1826" s="12"/>
      <c r="S1826" s="10"/>
    </row>
    <row r="1827" spans="1:19" s="8" customFormat="1" x14ac:dyDescent="0.2">
      <c r="A1827" s="2"/>
      <c r="B1827" s="10"/>
      <c r="K1827" s="2"/>
      <c r="L1827" s="2"/>
      <c r="N1827" s="10"/>
      <c r="O1827" s="12"/>
      <c r="S1827" s="10"/>
    </row>
    <row r="1828" spans="1:19" s="8" customFormat="1" x14ac:dyDescent="0.2">
      <c r="A1828" s="2"/>
      <c r="B1828" s="10"/>
      <c r="K1828" s="2"/>
      <c r="L1828" s="2"/>
      <c r="N1828" s="10"/>
      <c r="O1828" s="12"/>
      <c r="S1828" s="10"/>
    </row>
    <row r="1829" spans="1:19" s="8" customFormat="1" x14ac:dyDescent="0.2">
      <c r="A1829" s="2"/>
      <c r="B1829" s="10"/>
      <c r="K1829" s="2"/>
      <c r="L1829" s="2"/>
      <c r="N1829" s="10"/>
      <c r="O1829" s="12"/>
      <c r="S1829" s="10"/>
    </row>
    <row r="1830" spans="1:19" s="8" customFormat="1" x14ac:dyDescent="0.2">
      <c r="A1830" s="2"/>
      <c r="B1830" s="10"/>
      <c r="K1830" s="2"/>
      <c r="L1830" s="2"/>
      <c r="N1830" s="10"/>
      <c r="O1830" s="12"/>
      <c r="S1830" s="10"/>
    </row>
    <row r="1831" spans="1:19" s="8" customFormat="1" x14ac:dyDescent="0.2">
      <c r="A1831" s="2"/>
      <c r="B1831" s="10"/>
      <c r="K1831" s="2"/>
      <c r="L1831" s="2"/>
      <c r="N1831" s="10"/>
      <c r="O1831" s="12"/>
      <c r="S1831" s="10"/>
    </row>
    <row r="1832" spans="1:19" s="8" customFormat="1" x14ac:dyDescent="0.2">
      <c r="A1832" s="2"/>
      <c r="B1832" s="10"/>
      <c r="K1832" s="2"/>
      <c r="L1832" s="2"/>
      <c r="N1832" s="10"/>
      <c r="O1832" s="12"/>
      <c r="S1832" s="10"/>
    </row>
    <row r="1833" spans="1:19" s="8" customFormat="1" x14ac:dyDescent="0.2">
      <c r="A1833" s="2"/>
      <c r="B1833" s="10"/>
      <c r="K1833" s="2"/>
      <c r="L1833" s="2"/>
      <c r="N1833" s="10"/>
      <c r="O1833" s="12"/>
      <c r="S1833" s="10"/>
    </row>
    <row r="1834" spans="1:19" s="8" customFormat="1" x14ac:dyDescent="0.2">
      <c r="A1834" s="2"/>
      <c r="B1834" s="10"/>
      <c r="K1834" s="2"/>
      <c r="L1834" s="2"/>
      <c r="N1834" s="10"/>
      <c r="O1834" s="12"/>
      <c r="S1834" s="10"/>
    </row>
    <row r="1835" spans="1:19" s="8" customFormat="1" x14ac:dyDescent="0.2">
      <c r="A1835" s="2"/>
      <c r="B1835" s="10"/>
      <c r="K1835" s="2"/>
      <c r="L1835" s="2"/>
      <c r="N1835" s="10"/>
      <c r="O1835" s="12"/>
      <c r="S1835" s="10"/>
    </row>
    <row r="1836" spans="1:19" s="8" customFormat="1" x14ac:dyDescent="0.2">
      <c r="A1836" s="2"/>
      <c r="B1836" s="10"/>
      <c r="K1836" s="2"/>
      <c r="L1836" s="2"/>
      <c r="N1836" s="10"/>
      <c r="O1836" s="12"/>
      <c r="S1836" s="10"/>
    </row>
    <row r="1837" spans="1:19" s="8" customFormat="1" x14ac:dyDescent="0.2">
      <c r="A1837" s="2"/>
      <c r="B1837" s="10"/>
      <c r="K1837" s="2"/>
      <c r="L1837" s="2"/>
      <c r="N1837" s="10"/>
      <c r="O1837" s="12"/>
      <c r="S1837" s="10"/>
    </row>
    <row r="1838" spans="1:19" s="8" customFormat="1" x14ac:dyDescent="0.2">
      <c r="A1838" s="2"/>
      <c r="B1838" s="10"/>
      <c r="K1838" s="2"/>
      <c r="L1838" s="2"/>
      <c r="N1838" s="10"/>
      <c r="O1838" s="12"/>
      <c r="S1838" s="10"/>
    </row>
    <row r="1839" spans="1:19" s="8" customFormat="1" x14ac:dyDescent="0.2">
      <c r="A1839" s="2"/>
      <c r="B1839" s="10"/>
      <c r="K1839" s="2"/>
      <c r="L1839" s="2"/>
      <c r="N1839" s="10"/>
      <c r="O1839" s="12"/>
      <c r="S1839" s="10"/>
    </row>
    <row r="1840" spans="1:19" s="8" customFormat="1" x14ac:dyDescent="0.2">
      <c r="A1840" s="2"/>
      <c r="B1840" s="10"/>
      <c r="K1840" s="2"/>
      <c r="L1840" s="2"/>
      <c r="N1840" s="10"/>
      <c r="O1840" s="12"/>
      <c r="S1840" s="10"/>
    </row>
    <row r="1841" spans="1:19" s="8" customFormat="1" x14ac:dyDescent="0.2">
      <c r="A1841" s="2"/>
      <c r="B1841" s="10"/>
      <c r="K1841" s="2"/>
      <c r="L1841" s="2"/>
      <c r="N1841" s="10"/>
      <c r="O1841" s="12"/>
      <c r="S1841" s="10"/>
    </row>
    <row r="1842" spans="1:19" s="8" customFormat="1" x14ac:dyDescent="0.2">
      <c r="A1842" s="2"/>
      <c r="B1842" s="10"/>
      <c r="K1842" s="2"/>
      <c r="L1842" s="2"/>
      <c r="N1842" s="10"/>
      <c r="O1842" s="12"/>
      <c r="S1842" s="10"/>
    </row>
    <row r="1843" spans="1:19" s="8" customFormat="1" x14ac:dyDescent="0.2">
      <c r="A1843" s="2"/>
      <c r="B1843" s="10"/>
      <c r="K1843" s="2"/>
      <c r="L1843" s="2"/>
      <c r="N1843" s="10"/>
      <c r="O1843" s="12"/>
      <c r="S1843" s="10"/>
    </row>
    <row r="1844" spans="1:19" s="8" customFormat="1" x14ac:dyDescent="0.2">
      <c r="A1844" s="2"/>
      <c r="B1844" s="10"/>
      <c r="K1844" s="2"/>
      <c r="L1844" s="2"/>
      <c r="N1844" s="10"/>
      <c r="O1844" s="12"/>
      <c r="S1844" s="10"/>
    </row>
    <row r="1845" spans="1:19" s="8" customFormat="1" x14ac:dyDescent="0.2">
      <c r="A1845" s="2"/>
      <c r="B1845" s="10"/>
      <c r="K1845" s="2"/>
      <c r="L1845" s="2"/>
      <c r="N1845" s="10"/>
      <c r="O1845" s="12"/>
      <c r="S1845" s="10"/>
    </row>
    <row r="1846" spans="1:19" s="8" customFormat="1" x14ac:dyDescent="0.2">
      <c r="A1846" s="2"/>
      <c r="B1846" s="10"/>
      <c r="K1846" s="2"/>
      <c r="L1846" s="2"/>
      <c r="N1846" s="10"/>
      <c r="O1846" s="12"/>
      <c r="S1846" s="10"/>
    </row>
    <row r="1847" spans="1:19" s="8" customFormat="1" x14ac:dyDescent="0.2">
      <c r="A1847" s="2"/>
      <c r="B1847" s="10"/>
      <c r="K1847" s="2"/>
      <c r="L1847" s="2"/>
      <c r="N1847" s="10"/>
      <c r="O1847" s="12"/>
      <c r="S1847" s="10"/>
    </row>
    <row r="1848" spans="1:19" s="8" customFormat="1" x14ac:dyDescent="0.2">
      <c r="A1848" s="2"/>
      <c r="B1848" s="10"/>
      <c r="K1848" s="2"/>
      <c r="L1848" s="2"/>
      <c r="N1848" s="10"/>
      <c r="O1848" s="12"/>
      <c r="S1848" s="10"/>
    </row>
    <row r="1849" spans="1:19" s="8" customFormat="1" x14ac:dyDescent="0.2">
      <c r="A1849" s="2"/>
      <c r="B1849" s="10"/>
      <c r="K1849" s="2"/>
      <c r="L1849" s="2"/>
      <c r="N1849" s="10"/>
      <c r="O1849" s="12"/>
      <c r="S1849" s="10"/>
    </row>
    <row r="1850" spans="1:19" s="8" customFormat="1" x14ac:dyDescent="0.2">
      <c r="A1850" s="2"/>
      <c r="B1850" s="10"/>
      <c r="K1850" s="2"/>
      <c r="L1850" s="2"/>
      <c r="N1850" s="10"/>
      <c r="O1850" s="12"/>
      <c r="S1850" s="10"/>
    </row>
    <row r="1851" spans="1:19" s="8" customFormat="1" x14ac:dyDescent="0.2">
      <c r="A1851" s="2"/>
      <c r="B1851" s="10"/>
      <c r="K1851" s="2"/>
      <c r="L1851" s="2"/>
      <c r="N1851" s="10"/>
      <c r="O1851" s="12"/>
      <c r="S1851" s="10"/>
    </row>
    <row r="1852" spans="1:19" s="8" customFormat="1" x14ac:dyDescent="0.2">
      <c r="A1852" s="2"/>
      <c r="B1852" s="10"/>
      <c r="K1852" s="2"/>
      <c r="L1852" s="2"/>
      <c r="N1852" s="10"/>
      <c r="O1852" s="12"/>
      <c r="S1852" s="10"/>
    </row>
    <row r="1853" spans="1:19" s="8" customFormat="1" x14ac:dyDescent="0.2">
      <c r="A1853" s="2"/>
      <c r="B1853" s="10"/>
      <c r="K1853" s="2"/>
      <c r="L1853" s="2"/>
      <c r="N1853" s="10"/>
      <c r="O1853" s="12"/>
      <c r="S1853" s="10"/>
    </row>
    <row r="1854" spans="1:19" s="8" customFormat="1" x14ac:dyDescent="0.2">
      <c r="A1854" s="2"/>
      <c r="B1854" s="10"/>
      <c r="K1854" s="2"/>
      <c r="L1854" s="2"/>
      <c r="N1854" s="10"/>
      <c r="O1854" s="12"/>
      <c r="S1854" s="10"/>
    </row>
    <row r="1855" spans="1:19" s="8" customFormat="1" x14ac:dyDescent="0.2">
      <c r="A1855" s="2"/>
      <c r="B1855" s="10"/>
      <c r="K1855" s="2"/>
      <c r="L1855" s="2"/>
      <c r="N1855" s="10"/>
      <c r="O1855" s="12"/>
      <c r="S1855" s="10"/>
    </row>
    <row r="1856" spans="1:19" s="8" customFormat="1" x14ac:dyDescent="0.2">
      <c r="A1856" s="2"/>
      <c r="B1856" s="10"/>
      <c r="K1856" s="2"/>
      <c r="L1856" s="2"/>
      <c r="N1856" s="10"/>
      <c r="O1856" s="12"/>
      <c r="S1856" s="10"/>
    </row>
    <row r="1857" spans="1:19" s="8" customFormat="1" x14ac:dyDescent="0.2">
      <c r="A1857" s="2"/>
      <c r="B1857" s="10"/>
      <c r="K1857" s="2"/>
      <c r="L1857" s="2"/>
      <c r="N1857" s="10"/>
      <c r="O1857" s="12"/>
      <c r="S1857" s="10"/>
    </row>
    <row r="1858" spans="1:19" s="8" customFormat="1" x14ac:dyDescent="0.2">
      <c r="A1858" s="2"/>
      <c r="B1858" s="10"/>
      <c r="K1858" s="2"/>
      <c r="L1858" s="2"/>
      <c r="N1858" s="10"/>
      <c r="O1858" s="12"/>
      <c r="S1858" s="10"/>
    </row>
    <row r="1859" spans="1:19" s="8" customFormat="1" x14ac:dyDescent="0.2">
      <c r="A1859" s="2"/>
      <c r="B1859" s="10"/>
      <c r="K1859" s="2"/>
      <c r="L1859" s="2"/>
      <c r="N1859" s="10"/>
      <c r="O1859" s="12"/>
      <c r="S1859" s="10"/>
    </row>
    <row r="1860" spans="1:19" s="8" customFormat="1" x14ac:dyDescent="0.2">
      <c r="A1860" s="2"/>
      <c r="B1860" s="10"/>
      <c r="K1860" s="2"/>
      <c r="L1860" s="2"/>
      <c r="N1860" s="10"/>
      <c r="O1860" s="12"/>
      <c r="S1860" s="10"/>
    </row>
    <row r="1861" spans="1:19" s="8" customFormat="1" x14ac:dyDescent="0.2">
      <c r="A1861" s="2"/>
      <c r="B1861" s="10"/>
      <c r="K1861" s="2"/>
      <c r="L1861" s="2"/>
      <c r="N1861" s="10"/>
      <c r="O1861" s="12"/>
      <c r="S1861" s="10"/>
    </row>
    <row r="1862" spans="1:19" s="8" customFormat="1" x14ac:dyDescent="0.2">
      <c r="A1862" s="2"/>
      <c r="B1862" s="10"/>
      <c r="K1862" s="2"/>
      <c r="L1862" s="2"/>
      <c r="N1862" s="10"/>
      <c r="O1862" s="12"/>
      <c r="S1862" s="10"/>
    </row>
    <row r="1863" spans="1:19" s="8" customFormat="1" x14ac:dyDescent="0.2">
      <c r="A1863" s="2"/>
      <c r="B1863" s="10"/>
      <c r="K1863" s="2"/>
      <c r="L1863" s="2"/>
      <c r="N1863" s="10"/>
      <c r="O1863" s="12"/>
      <c r="S1863" s="10"/>
    </row>
    <row r="1864" spans="1:19" s="8" customFormat="1" x14ac:dyDescent="0.2">
      <c r="A1864" s="2"/>
      <c r="B1864" s="10"/>
      <c r="K1864" s="2"/>
      <c r="L1864" s="2"/>
      <c r="N1864" s="10"/>
      <c r="O1864" s="12"/>
      <c r="S1864" s="10"/>
    </row>
    <row r="1865" spans="1:19" s="8" customFormat="1" x14ac:dyDescent="0.2">
      <c r="A1865" s="2"/>
      <c r="B1865" s="10"/>
      <c r="K1865" s="2"/>
      <c r="L1865" s="2"/>
      <c r="N1865" s="10"/>
      <c r="O1865" s="12"/>
      <c r="S1865" s="10"/>
    </row>
    <row r="1866" spans="1:19" s="8" customFormat="1" x14ac:dyDescent="0.2">
      <c r="A1866" s="2"/>
      <c r="B1866" s="10"/>
      <c r="K1866" s="2"/>
      <c r="L1866" s="2"/>
      <c r="N1866" s="10"/>
      <c r="O1866" s="12"/>
      <c r="S1866" s="10"/>
    </row>
    <row r="1867" spans="1:19" s="8" customFormat="1" x14ac:dyDescent="0.2">
      <c r="A1867" s="2"/>
      <c r="B1867" s="10"/>
      <c r="K1867" s="2"/>
      <c r="L1867" s="2"/>
      <c r="N1867" s="10"/>
      <c r="O1867" s="12"/>
      <c r="S1867" s="10"/>
    </row>
    <row r="1868" spans="1:19" s="8" customFormat="1" x14ac:dyDescent="0.2">
      <c r="A1868" s="2"/>
      <c r="B1868" s="10"/>
      <c r="K1868" s="2"/>
      <c r="L1868" s="2"/>
      <c r="N1868" s="10"/>
      <c r="O1868" s="12"/>
      <c r="S1868" s="10"/>
    </row>
    <row r="1869" spans="1:19" s="8" customFormat="1" x14ac:dyDescent="0.2">
      <c r="A1869" s="2"/>
      <c r="B1869" s="10"/>
      <c r="K1869" s="2"/>
      <c r="L1869" s="2"/>
      <c r="N1869" s="10"/>
      <c r="O1869" s="12"/>
      <c r="S1869" s="10"/>
    </row>
    <row r="1870" spans="1:19" s="8" customFormat="1" x14ac:dyDescent="0.2">
      <c r="A1870" s="2"/>
      <c r="B1870" s="10"/>
      <c r="K1870" s="2"/>
      <c r="L1870" s="2"/>
      <c r="N1870" s="10"/>
      <c r="O1870" s="12"/>
      <c r="S1870" s="10"/>
    </row>
    <row r="1871" spans="1:19" s="8" customFormat="1" x14ac:dyDescent="0.2">
      <c r="A1871" s="2"/>
      <c r="B1871" s="10"/>
      <c r="K1871" s="2"/>
      <c r="L1871" s="2"/>
      <c r="N1871" s="10"/>
      <c r="O1871" s="12"/>
      <c r="S1871" s="10"/>
    </row>
    <row r="1872" spans="1:19" s="8" customFormat="1" x14ac:dyDescent="0.2">
      <c r="A1872" s="2"/>
      <c r="B1872" s="10"/>
      <c r="K1872" s="2"/>
      <c r="L1872" s="2"/>
      <c r="N1872" s="10"/>
      <c r="O1872" s="12"/>
      <c r="S1872" s="10"/>
    </row>
    <row r="1873" spans="1:19" s="8" customFormat="1" x14ac:dyDescent="0.2">
      <c r="A1873" s="2"/>
      <c r="B1873" s="10"/>
      <c r="K1873" s="2"/>
      <c r="L1873" s="2"/>
      <c r="N1873" s="10"/>
      <c r="O1873" s="12"/>
      <c r="S1873" s="10"/>
    </row>
    <row r="1874" spans="1:19" s="8" customFormat="1" x14ac:dyDescent="0.2">
      <c r="A1874" s="2"/>
      <c r="B1874" s="10"/>
      <c r="K1874" s="2"/>
      <c r="L1874" s="2"/>
      <c r="N1874" s="10"/>
      <c r="O1874" s="12"/>
      <c r="S1874" s="10"/>
    </row>
    <row r="1875" spans="1:19" s="8" customFormat="1" x14ac:dyDescent="0.2">
      <c r="A1875" s="2"/>
      <c r="B1875" s="10"/>
      <c r="K1875" s="2"/>
      <c r="L1875" s="2"/>
      <c r="N1875" s="10"/>
      <c r="O1875" s="12"/>
      <c r="S1875" s="10"/>
    </row>
    <row r="1876" spans="1:19" s="8" customFormat="1" x14ac:dyDescent="0.2">
      <c r="A1876" s="2"/>
      <c r="B1876" s="10"/>
      <c r="K1876" s="2"/>
      <c r="L1876" s="2"/>
      <c r="N1876" s="10"/>
      <c r="O1876" s="12"/>
      <c r="S1876" s="10"/>
    </row>
    <row r="1877" spans="1:19" s="8" customFormat="1" x14ac:dyDescent="0.2">
      <c r="A1877" s="2"/>
      <c r="B1877" s="10"/>
      <c r="K1877" s="2"/>
      <c r="L1877" s="2"/>
      <c r="N1877" s="10"/>
      <c r="O1877" s="12"/>
      <c r="S1877" s="10"/>
    </row>
    <row r="1878" spans="1:19" s="8" customFormat="1" x14ac:dyDescent="0.2">
      <c r="A1878" s="2"/>
      <c r="B1878" s="10"/>
      <c r="K1878" s="2"/>
      <c r="L1878" s="2"/>
      <c r="N1878" s="10"/>
      <c r="O1878" s="12"/>
      <c r="S1878" s="10"/>
    </row>
    <row r="1879" spans="1:19" s="8" customFormat="1" x14ac:dyDescent="0.2">
      <c r="A1879" s="2"/>
      <c r="B1879" s="10"/>
      <c r="K1879" s="2"/>
      <c r="L1879" s="2"/>
      <c r="N1879" s="10"/>
      <c r="O1879" s="12"/>
      <c r="S1879" s="10"/>
    </row>
    <row r="1880" spans="1:19" s="8" customFormat="1" x14ac:dyDescent="0.2">
      <c r="A1880" s="2"/>
      <c r="B1880" s="10"/>
      <c r="K1880" s="2"/>
      <c r="L1880" s="2"/>
      <c r="N1880" s="10"/>
      <c r="O1880" s="12"/>
      <c r="S1880" s="10"/>
    </row>
    <row r="1881" spans="1:19" s="8" customFormat="1" x14ac:dyDescent="0.2">
      <c r="A1881" s="2"/>
      <c r="B1881" s="10"/>
      <c r="K1881" s="2"/>
      <c r="L1881" s="2"/>
      <c r="N1881" s="10"/>
      <c r="O1881" s="12"/>
      <c r="S1881" s="10"/>
    </row>
    <row r="1882" spans="1:19" s="8" customFormat="1" x14ac:dyDescent="0.2">
      <c r="A1882" s="2"/>
      <c r="B1882" s="10"/>
      <c r="K1882" s="2"/>
      <c r="L1882" s="2"/>
      <c r="N1882" s="10"/>
      <c r="O1882" s="12"/>
      <c r="S1882" s="10"/>
    </row>
    <row r="1883" spans="1:19" s="8" customFormat="1" x14ac:dyDescent="0.2">
      <c r="A1883" s="2"/>
      <c r="B1883" s="10"/>
      <c r="K1883" s="2"/>
      <c r="L1883" s="2"/>
      <c r="N1883" s="10"/>
      <c r="O1883" s="12"/>
      <c r="S1883" s="10"/>
    </row>
    <row r="1884" spans="1:19" s="8" customFormat="1" x14ac:dyDescent="0.2">
      <c r="A1884" s="2"/>
      <c r="B1884" s="10"/>
      <c r="K1884" s="2"/>
      <c r="L1884" s="2"/>
      <c r="N1884" s="10"/>
      <c r="O1884" s="12"/>
      <c r="S1884" s="10"/>
    </row>
    <row r="1885" spans="1:19" s="8" customFormat="1" x14ac:dyDescent="0.2">
      <c r="A1885" s="2"/>
      <c r="B1885" s="10"/>
      <c r="K1885" s="2"/>
      <c r="L1885" s="2"/>
      <c r="N1885" s="10"/>
      <c r="O1885" s="12"/>
      <c r="S1885" s="10"/>
    </row>
    <row r="1886" spans="1:19" s="8" customFormat="1" x14ac:dyDescent="0.2">
      <c r="A1886" s="2"/>
      <c r="B1886" s="10"/>
      <c r="K1886" s="2"/>
      <c r="L1886" s="2"/>
      <c r="N1886" s="10"/>
      <c r="O1886" s="12"/>
      <c r="S1886" s="10"/>
    </row>
    <row r="1887" spans="1:19" s="8" customFormat="1" x14ac:dyDescent="0.2">
      <c r="A1887" s="2"/>
      <c r="B1887" s="10"/>
      <c r="K1887" s="2"/>
      <c r="L1887" s="2"/>
      <c r="N1887" s="10"/>
      <c r="O1887" s="12"/>
      <c r="S1887" s="10"/>
    </row>
    <row r="1888" spans="1:19" s="8" customFormat="1" x14ac:dyDescent="0.2">
      <c r="A1888" s="2"/>
      <c r="B1888" s="10"/>
      <c r="K1888" s="2"/>
      <c r="L1888" s="2"/>
      <c r="N1888" s="10"/>
      <c r="O1888" s="12"/>
      <c r="S1888" s="10"/>
    </row>
    <row r="1889" spans="1:19" s="8" customFormat="1" x14ac:dyDescent="0.2">
      <c r="A1889" s="2"/>
      <c r="B1889" s="10"/>
      <c r="K1889" s="2"/>
      <c r="L1889" s="2"/>
      <c r="N1889" s="10"/>
      <c r="O1889" s="12"/>
      <c r="S1889" s="10"/>
    </row>
    <row r="1890" spans="1:19" s="8" customFormat="1" x14ac:dyDescent="0.2">
      <c r="A1890" s="2"/>
      <c r="B1890" s="10"/>
      <c r="K1890" s="2"/>
      <c r="L1890" s="2"/>
      <c r="N1890" s="10"/>
      <c r="O1890" s="12"/>
      <c r="S1890" s="10"/>
    </row>
    <row r="1891" spans="1:19" s="8" customFormat="1" x14ac:dyDescent="0.2">
      <c r="A1891" s="2"/>
      <c r="B1891" s="10"/>
      <c r="K1891" s="2"/>
      <c r="L1891" s="2"/>
      <c r="N1891" s="10"/>
      <c r="O1891" s="12"/>
      <c r="S1891" s="10"/>
    </row>
    <row r="1892" spans="1:19" s="8" customFormat="1" x14ac:dyDescent="0.2">
      <c r="A1892" s="2"/>
      <c r="B1892" s="10"/>
      <c r="K1892" s="2"/>
      <c r="L1892" s="2"/>
      <c r="N1892" s="10"/>
      <c r="O1892" s="12"/>
      <c r="S1892" s="10"/>
    </row>
    <row r="1893" spans="1:19" s="8" customFormat="1" x14ac:dyDescent="0.2">
      <c r="A1893" s="2"/>
      <c r="B1893" s="10"/>
      <c r="K1893" s="2"/>
      <c r="L1893" s="2"/>
      <c r="N1893" s="10"/>
      <c r="O1893" s="12"/>
      <c r="S1893" s="10"/>
    </row>
    <row r="1894" spans="1:19" s="8" customFormat="1" x14ac:dyDescent="0.2">
      <c r="A1894" s="2"/>
      <c r="B1894" s="10"/>
      <c r="K1894" s="2"/>
      <c r="L1894" s="2"/>
      <c r="N1894" s="10"/>
      <c r="O1894" s="12"/>
      <c r="S1894" s="10"/>
    </row>
    <row r="1895" spans="1:19" s="8" customFormat="1" x14ac:dyDescent="0.2">
      <c r="A1895" s="2"/>
      <c r="B1895" s="10"/>
      <c r="K1895" s="2"/>
      <c r="L1895" s="2"/>
      <c r="N1895" s="10"/>
      <c r="O1895" s="12"/>
      <c r="S1895" s="10"/>
    </row>
    <row r="1896" spans="1:19" s="8" customFormat="1" x14ac:dyDescent="0.2">
      <c r="A1896" s="2"/>
      <c r="B1896" s="10"/>
      <c r="K1896" s="2"/>
      <c r="L1896" s="2"/>
      <c r="N1896" s="10"/>
      <c r="O1896" s="12"/>
      <c r="S1896" s="10"/>
    </row>
    <row r="1897" spans="1:19" s="8" customFormat="1" x14ac:dyDescent="0.2">
      <c r="A1897" s="2"/>
      <c r="B1897" s="10"/>
      <c r="K1897" s="2"/>
      <c r="L1897" s="2"/>
      <c r="N1897" s="10"/>
      <c r="O1897" s="12"/>
      <c r="S1897" s="10"/>
    </row>
    <row r="1898" spans="1:19" s="8" customFormat="1" x14ac:dyDescent="0.2">
      <c r="A1898" s="2"/>
      <c r="B1898" s="10"/>
      <c r="K1898" s="2"/>
      <c r="L1898" s="2"/>
      <c r="N1898" s="10"/>
      <c r="O1898" s="12"/>
      <c r="S1898" s="10"/>
    </row>
    <row r="1899" spans="1:19" s="8" customFormat="1" x14ac:dyDescent="0.2">
      <c r="A1899" s="2"/>
      <c r="B1899" s="10"/>
      <c r="K1899" s="2"/>
      <c r="L1899" s="2"/>
      <c r="N1899" s="10"/>
      <c r="O1899" s="12"/>
      <c r="S1899" s="10"/>
    </row>
    <row r="1900" spans="1:19" s="8" customFormat="1" x14ac:dyDescent="0.2">
      <c r="A1900" s="2"/>
      <c r="B1900" s="10"/>
      <c r="K1900" s="2"/>
      <c r="L1900" s="2"/>
      <c r="N1900" s="10"/>
      <c r="O1900" s="12"/>
      <c r="S1900" s="10"/>
    </row>
    <row r="1901" spans="1:19" s="8" customFormat="1" x14ac:dyDescent="0.2">
      <c r="A1901" s="2"/>
      <c r="B1901" s="10"/>
      <c r="K1901" s="2"/>
      <c r="L1901" s="2"/>
      <c r="N1901" s="10"/>
      <c r="O1901" s="12"/>
      <c r="S1901" s="10"/>
    </row>
  </sheetData>
  <mergeCells count="25">
    <mergeCell ref="K3:Q3"/>
    <mergeCell ref="K4:Q4"/>
    <mergeCell ref="K5:Q5"/>
    <mergeCell ref="O7:O8"/>
    <mergeCell ref="P7:P8"/>
    <mergeCell ref="Q7:Q8"/>
    <mergeCell ref="B7:B8"/>
    <mergeCell ref="C7:C8"/>
    <mergeCell ref="D7:D8"/>
    <mergeCell ref="E7:E8"/>
    <mergeCell ref="F7:F8"/>
    <mergeCell ref="G7:G8"/>
    <mergeCell ref="K7:K8"/>
    <mergeCell ref="L7:L8"/>
    <mergeCell ref="M7:M8"/>
    <mergeCell ref="N7:N8"/>
    <mergeCell ref="H7:J7"/>
    <mergeCell ref="Y7:Y8"/>
    <mergeCell ref="W7:W8"/>
    <mergeCell ref="X7:X8"/>
    <mergeCell ref="R7:R8"/>
    <mergeCell ref="S7:S8"/>
    <mergeCell ref="T7:T8"/>
    <mergeCell ref="U7:U8"/>
    <mergeCell ref="V7:V8"/>
  </mergeCells>
  <phoneticPr fontId="2" type="noConversion"/>
  <pageMargins left="0.75" right="0.75" top="1" bottom="1" header="0" footer="0"/>
  <pageSetup paperSize="9" orientation="portrait" horizontalDpi="300" verticalDpi="300" r:id="rId1"/>
  <headerFooter alignWithMargins="0"/>
  <customProperties>
    <customPr name="DVSECTIONID" r:id="rId2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V9"/>
  <sheetViews>
    <sheetView workbookViewId="0">
      <selection activeCell="BR9" sqref="BR9"/>
    </sheetView>
  </sheetViews>
  <sheetFormatPr defaultColWidth="11.42578125" defaultRowHeight="12.75" x14ac:dyDescent="0.2"/>
  <sheetData>
    <row r="1" spans="1:256" x14ac:dyDescent="0.2">
      <c r="A1">
        <f>IF(Hoja1!1:1,"AAAAAHupGwA=",0)</f>
        <v>0</v>
      </c>
      <c r="B1" t="e">
        <f>AND(Hoja1!A1,"AAAAAHupGwE=")</f>
        <v>#VALUE!</v>
      </c>
      <c r="C1" t="e">
        <f>AND(Hoja1!B1,"AAAAAHupGwI=")</f>
        <v>#VALUE!</v>
      </c>
      <c r="D1" t="e">
        <f>AND(Hoja1!C1,"AAAAAHupGwM=")</f>
        <v>#VALUE!</v>
      </c>
      <c r="E1" t="e">
        <f>AND(Hoja1!D1,"AAAAAHupGwQ=")</f>
        <v>#VALUE!</v>
      </c>
      <c r="F1" t="e">
        <f>AND(Hoja1!E1,"AAAAAHupGwU=")</f>
        <v>#VALUE!</v>
      </c>
      <c r="G1" t="e">
        <f>AND(Hoja1!F1,"AAAAAHupGwY=")</f>
        <v>#VALUE!</v>
      </c>
      <c r="H1" t="e">
        <f>AND(Hoja1!G1,"AAAAAHupGwc=")</f>
        <v>#VALUE!</v>
      </c>
      <c r="I1" t="e">
        <f>AND(Hoja1!H1,"AAAAAHupGwg=")</f>
        <v>#VALUE!</v>
      </c>
      <c r="J1" t="e">
        <f>AND(Hoja1!I1,"AAAAAHupGwk=")</f>
        <v>#VALUE!</v>
      </c>
      <c r="K1" t="e">
        <f>AND(Hoja1!J1,"AAAAAHupGwo=")</f>
        <v>#VALUE!</v>
      </c>
      <c r="L1" t="e">
        <f>AND(Hoja1!K1,"AAAAAHupGws=")</f>
        <v>#VALUE!</v>
      </c>
      <c r="M1" t="e">
        <f>AND(Hoja1!L1,"AAAAAHupGww=")</f>
        <v>#VALUE!</v>
      </c>
      <c r="N1" t="e">
        <f>AND(Hoja1!M1,"AAAAAHupGw0=")</f>
        <v>#VALUE!</v>
      </c>
      <c r="O1" t="e">
        <f>AND(Hoja1!N1,"AAAAAHupGw4=")</f>
        <v>#VALUE!</v>
      </c>
      <c r="P1" t="e">
        <f>AND(Hoja1!O1,"AAAAAHupGw8=")</f>
        <v>#VALUE!</v>
      </c>
      <c r="Q1" t="e">
        <f>AND(Hoja1!P1,"AAAAAHupGxA=")</f>
        <v>#VALUE!</v>
      </c>
      <c r="R1" t="e">
        <f>AND(Hoja1!Q1,"AAAAAHupGxE=")</f>
        <v>#VALUE!</v>
      </c>
      <c r="S1" t="e">
        <f>AND(Hoja1!R1,"AAAAAHupGxI=")</f>
        <v>#VALUE!</v>
      </c>
      <c r="T1" t="e">
        <f>AND(Hoja1!S1,"AAAAAHupGxM=")</f>
        <v>#VALUE!</v>
      </c>
      <c r="U1" t="e">
        <f>AND(Hoja1!T1,"AAAAAHupGxQ=")</f>
        <v>#VALUE!</v>
      </c>
      <c r="V1" t="e">
        <f>AND(Hoja1!U1,"AAAAAHupGxU=")</f>
        <v>#VALUE!</v>
      </c>
      <c r="W1" t="e">
        <f>AND(Hoja1!V1,"AAAAAHupGxY=")</f>
        <v>#VALUE!</v>
      </c>
      <c r="X1" t="e">
        <f>AND(Hoja1!W1,"AAAAAHupGxc=")</f>
        <v>#VALUE!</v>
      </c>
      <c r="Y1" t="e">
        <f>AND(Hoja1!X1,"AAAAAHupGxg=")</f>
        <v>#VALUE!</v>
      </c>
      <c r="Z1">
        <f>IF(Hoja1!2:2,"AAAAAHupGxk=",0)</f>
        <v>0</v>
      </c>
      <c r="AA1" t="e">
        <f>AND(Hoja1!A2,"AAAAAHupGxo=")</f>
        <v>#VALUE!</v>
      </c>
      <c r="AB1" t="e">
        <f>AND(Hoja1!B2,"AAAAAHupGxs=")</f>
        <v>#VALUE!</v>
      </c>
      <c r="AC1" t="e">
        <f>AND(Hoja1!C2,"AAAAAHupGxw=")</f>
        <v>#VALUE!</v>
      </c>
      <c r="AD1" t="e">
        <f>AND(Hoja1!D2,"AAAAAHupGx0=")</f>
        <v>#VALUE!</v>
      </c>
      <c r="AE1" t="e">
        <f>AND(Hoja1!E2,"AAAAAHupGx4=")</f>
        <v>#VALUE!</v>
      </c>
      <c r="AF1" t="e">
        <f>AND(Hoja1!F2,"AAAAAHupGx8=")</f>
        <v>#VALUE!</v>
      </c>
      <c r="AG1" t="e">
        <f>AND(Hoja1!G2,"AAAAAHupGyA=")</f>
        <v>#VALUE!</v>
      </c>
      <c r="AH1" t="e">
        <f>AND(Hoja1!H2,"AAAAAHupGyE=")</f>
        <v>#VALUE!</v>
      </c>
      <c r="AI1" t="e">
        <f>AND(Hoja1!I2,"AAAAAHupGyI=")</f>
        <v>#VALUE!</v>
      </c>
      <c r="AJ1" t="e">
        <f>AND(Hoja1!J2,"AAAAAHupGyM=")</f>
        <v>#VALUE!</v>
      </c>
      <c r="AK1" t="e">
        <f>AND(Hoja1!K2,"AAAAAHupGyQ=")</f>
        <v>#VALUE!</v>
      </c>
      <c r="AL1" t="e">
        <f>AND(Hoja1!L2,"AAAAAHupGyU=")</f>
        <v>#VALUE!</v>
      </c>
      <c r="AM1" t="e">
        <f>AND(Hoja1!M2,"AAAAAHupGyY=")</f>
        <v>#VALUE!</v>
      </c>
      <c r="AN1" t="e">
        <f>AND(Hoja1!N2,"AAAAAHupGyc=")</f>
        <v>#VALUE!</v>
      </c>
      <c r="AO1" t="e">
        <f>AND(Hoja1!O2,"AAAAAHupGyg=")</f>
        <v>#VALUE!</v>
      </c>
      <c r="AP1" t="e">
        <f>AND(Hoja1!P2,"AAAAAHupGyk=")</f>
        <v>#VALUE!</v>
      </c>
      <c r="AQ1" t="e">
        <f>AND(Hoja1!Q2,"AAAAAHupGyo=")</f>
        <v>#VALUE!</v>
      </c>
      <c r="AR1" t="e">
        <f>AND(Hoja1!R2,"AAAAAHupGys=")</f>
        <v>#VALUE!</v>
      </c>
      <c r="AS1" t="e">
        <f>AND(Hoja1!S2,"AAAAAHupGyw=")</f>
        <v>#VALUE!</v>
      </c>
      <c r="AT1" t="e">
        <f>AND(Hoja1!T2,"AAAAAHupGy0=")</f>
        <v>#VALUE!</v>
      </c>
      <c r="AU1" t="e">
        <f>AND(Hoja1!U2,"AAAAAHupGy4=")</f>
        <v>#VALUE!</v>
      </c>
      <c r="AV1" t="e">
        <f>AND(Hoja1!V2,"AAAAAHupGy8=")</f>
        <v>#VALUE!</v>
      </c>
      <c r="AW1" t="e">
        <f>AND(Hoja1!W2,"AAAAAHupGzA=")</f>
        <v>#VALUE!</v>
      </c>
      <c r="AX1" t="e">
        <f>AND(Hoja1!X2,"AAAAAHupGzE=")</f>
        <v>#VALUE!</v>
      </c>
      <c r="AY1">
        <f>IF(Hoja1!3:3,"AAAAAHupGzI=",0)</f>
        <v>0</v>
      </c>
      <c r="AZ1" t="e">
        <f>AND(Hoja1!A3,"AAAAAHupGzM=")</f>
        <v>#VALUE!</v>
      </c>
      <c r="BA1" t="e">
        <f>AND(Hoja1!B3,"AAAAAHupGzQ=")</f>
        <v>#VALUE!</v>
      </c>
      <c r="BB1" t="e">
        <f>AND(Hoja1!C3,"AAAAAHupGzU=")</f>
        <v>#VALUE!</v>
      </c>
      <c r="BC1" t="e">
        <f>AND(Hoja1!D3,"AAAAAHupGzY=")</f>
        <v>#VALUE!</v>
      </c>
      <c r="BD1" t="e">
        <f>AND(Hoja1!E3,"AAAAAHupGzc=")</f>
        <v>#VALUE!</v>
      </c>
      <c r="BE1" t="e">
        <f>AND(Hoja1!F3,"AAAAAHupGzg=")</f>
        <v>#VALUE!</v>
      </c>
      <c r="BF1" t="e">
        <f>AND(Hoja1!G3,"AAAAAHupGzk=")</f>
        <v>#VALUE!</v>
      </c>
      <c r="BG1" t="e">
        <f>AND(Hoja1!H3,"AAAAAHupGzo=")</f>
        <v>#VALUE!</v>
      </c>
      <c r="BH1" t="e">
        <f>AND(Hoja1!I3,"AAAAAHupGzs=")</f>
        <v>#VALUE!</v>
      </c>
      <c r="BI1" t="e">
        <f>AND(Hoja1!J3,"AAAAAHupGzw=")</f>
        <v>#VALUE!</v>
      </c>
      <c r="BJ1" t="e">
        <f>AND(Hoja1!K3,"AAAAAHupGz0=")</f>
        <v>#VALUE!</v>
      </c>
      <c r="BK1" t="e">
        <f>AND(Hoja1!L3,"AAAAAHupGz4=")</f>
        <v>#VALUE!</v>
      </c>
      <c r="BL1" t="e">
        <f>AND(Hoja1!M3,"AAAAAHupGz8=")</f>
        <v>#VALUE!</v>
      </c>
      <c r="BM1" t="e">
        <f>AND(Hoja1!N3,"AAAAAHupG0A=")</f>
        <v>#VALUE!</v>
      </c>
      <c r="BN1" t="e">
        <f>AND(Hoja1!O3,"AAAAAHupG0E=")</f>
        <v>#VALUE!</v>
      </c>
      <c r="BO1" t="e">
        <f>AND(Hoja1!P3,"AAAAAHupG0I=")</f>
        <v>#VALUE!</v>
      </c>
      <c r="BP1" t="e">
        <f>AND(Hoja1!Q3,"AAAAAHupG0M=")</f>
        <v>#VALUE!</v>
      </c>
      <c r="BQ1" t="e">
        <f>AND(Hoja1!R3,"AAAAAHupG0Q=")</f>
        <v>#VALUE!</v>
      </c>
      <c r="BR1" t="e">
        <f>AND(Hoja1!S3,"AAAAAHupG0U=")</f>
        <v>#VALUE!</v>
      </c>
      <c r="BS1" t="e">
        <f>AND(Hoja1!T3,"AAAAAHupG0Y=")</f>
        <v>#VALUE!</v>
      </c>
      <c r="BT1" t="e">
        <f>AND(Hoja1!U3,"AAAAAHupG0c=")</f>
        <v>#VALUE!</v>
      </c>
      <c r="BU1" t="e">
        <f>AND(Hoja1!V3,"AAAAAHupG0g=")</f>
        <v>#VALUE!</v>
      </c>
      <c r="BV1" t="e">
        <f>AND(Hoja1!W3,"AAAAAHupG0k=")</f>
        <v>#VALUE!</v>
      </c>
      <c r="BW1" t="e">
        <f>AND(Hoja1!X3,"AAAAAHupG0o=")</f>
        <v>#VALUE!</v>
      </c>
      <c r="BX1">
        <f>IF(Hoja1!4:4,"AAAAAHupG0s=",0)</f>
        <v>0</v>
      </c>
      <c r="BY1" t="e">
        <f>AND(Hoja1!A4,"AAAAAHupG0w=")</f>
        <v>#VALUE!</v>
      </c>
      <c r="BZ1" t="e">
        <f>AND(Hoja1!B4,"AAAAAHupG00=")</f>
        <v>#VALUE!</v>
      </c>
      <c r="CA1" t="e">
        <f>AND(Hoja1!C4,"AAAAAHupG04=")</f>
        <v>#VALUE!</v>
      </c>
      <c r="CB1" t="e">
        <f>AND(Hoja1!D4,"AAAAAHupG08=")</f>
        <v>#VALUE!</v>
      </c>
      <c r="CC1" t="e">
        <f>AND(Hoja1!E4,"AAAAAHupG1A=")</f>
        <v>#VALUE!</v>
      </c>
      <c r="CD1" t="e">
        <f>AND(Hoja1!F4,"AAAAAHupG1E=")</f>
        <v>#VALUE!</v>
      </c>
      <c r="CE1" t="e">
        <f>AND(Hoja1!G4,"AAAAAHupG1I=")</f>
        <v>#VALUE!</v>
      </c>
      <c r="CF1" t="e">
        <f>AND(Hoja1!H4,"AAAAAHupG1M=")</f>
        <v>#VALUE!</v>
      </c>
      <c r="CG1" t="e">
        <f>AND(Hoja1!I4,"AAAAAHupG1Q=")</f>
        <v>#VALUE!</v>
      </c>
      <c r="CH1" t="e">
        <f>AND(Hoja1!J4,"AAAAAHupG1U=")</f>
        <v>#VALUE!</v>
      </c>
      <c r="CI1" t="e">
        <f>AND(Hoja1!K4,"AAAAAHupG1Y=")</f>
        <v>#VALUE!</v>
      </c>
      <c r="CJ1" t="e">
        <f>AND(Hoja1!L4,"AAAAAHupG1c=")</f>
        <v>#VALUE!</v>
      </c>
      <c r="CK1" t="e">
        <f>AND(Hoja1!M4,"AAAAAHupG1g=")</f>
        <v>#VALUE!</v>
      </c>
      <c r="CL1" t="e">
        <f>AND(Hoja1!N4,"AAAAAHupG1k=")</f>
        <v>#VALUE!</v>
      </c>
      <c r="CM1" t="e">
        <f>AND(Hoja1!O4,"AAAAAHupG1o=")</f>
        <v>#VALUE!</v>
      </c>
      <c r="CN1" t="e">
        <f>AND(Hoja1!P4,"AAAAAHupG1s=")</f>
        <v>#VALUE!</v>
      </c>
      <c r="CO1" t="e">
        <f>AND(Hoja1!Q4,"AAAAAHupG1w=")</f>
        <v>#VALUE!</v>
      </c>
      <c r="CP1" t="e">
        <f>AND(Hoja1!R4,"AAAAAHupG10=")</f>
        <v>#VALUE!</v>
      </c>
      <c r="CQ1" t="e">
        <f>AND(Hoja1!S4,"AAAAAHupG14=")</f>
        <v>#VALUE!</v>
      </c>
      <c r="CR1" t="e">
        <f>AND(Hoja1!T4,"AAAAAHupG18=")</f>
        <v>#VALUE!</v>
      </c>
      <c r="CS1" t="e">
        <f>AND(Hoja1!U4,"AAAAAHupG2A=")</f>
        <v>#VALUE!</v>
      </c>
      <c r="CT1" t="e">
        <f>AND(Hoja1!V4,"AAAAAHupG2E=")</f>
        <v>#VALUE!</v>
      </c>
      <c r="CU1" t="e">
        <f>AND(Hoja1!W4,"AAAAAHupG2I=")</f>
        <v>#VALUE!</v>
      </c>
      <c r="CV1" t="e">
        <f>AND(Hoja1!X4,"AAAAAHupG2M=")</f>
        <v>#VALUE!</v>
      </c>
      <c r="CW1">
        <f>IF(Hoja1!5:5,"AAAAAHupG2Q=",0)</f>
        <v>0</v>
      </c>
      <c r="CX1" t="e">
        <f>AND(Hoja1!A5,"AAAAAHupG2U=")</f>
        <v>#VALUE!</v>
      </c>
      <c r="CY1" t="e">
        <f>AND(Hoja1!B5,"AAAAAHupG2Y=")</f>
        <v>#VALUE!</v>
      </c>
      <c r="CZ1" t="e">
        <f>AND(Hoja1!C5,"AAAAAHupG2c=")</f>
        <v>#VALUE!</v>
      </c>
      <c r="DA1" t="e">
        <f>AND(Hoja1!D5,"AAAAAHupG2g=")</f>
        <v>#VALUE!</v>
      </c>
      <c r="DB1" t="e">
        <f>AND(Hoja1!E5,"AAAAAHupG2k=")</f>
        <v>#VALUE!</v>
      </c>
      <c r="DC1" t="e">
        <f>AND(Hoja1!F5,"AAAAAHupG2o=")</f>
        <v>#VALUE!</v>
      </c>
      <c r="DD1" t="e">
        <f>AND(Hoja1!G5,"AAAAAHupG2s=")</f>
        <v>#VALUE!</v>
      </c>
      <c r="DE1" t="e">
        <f>AND(Hoja1!H5,"AAAAAHupG2w=")</f>
        <v>#VALUE!</v>
      </c>
      <c r="DF1" t="e">
        <f>AND(Hoja1!I5,"AAAAAHupG20=")</f>
        <v>#VALUE!</v>
      </c>
      <c r="DG1" t="e">
        <f>AND(Hoja1!J5,"AAAAAHupG24=")</f>
        <v>#VALUE!</v>
      </c>
      <c r="DH1" t="e">
        <f>AND(Hoja1!K5,"AAAAAHupG28=")</f>
        <v>#VALUE!</v>
      </c>
      <c r="DI1" t="e">
        <f>AND(Hoja1!L5,"AAAAAHupG3A=")</f>
        <v>#VALUE!</v>
      </c>
      <c r="DJ1" t="e">
        <f>AND(Hoja1!M5,"AAAAAHupG3E=")</f>
        <v>#VALUE!</v>
      </c>
      <c r="DK1" t="e">
        <f>AND(Hoja1!N5,"AAAAAHupG3I=")</f>
        <v>#VALUE!</v>
      </c>
      <c r="DL1" t="e">
        <f>AND(Hoja1!O5,"AAAAAHupG3M=")</f>
        <v>#VALUE!</v>
      </c>
      <c r="DM1" t="e">
        <f>AND(Hoja1!P5,"AAAAAHupG3Q=")</f>
        <v>#VALUE!</v>
      </c>
      <c r="DN1" t="e">
        <f>AND(Hoja1!Q5,"AAAAAHupG3U=")</f>
        <v>#VALUE!</v>
      </c>
      <c r="DO1" t="e">
        <f>AND(Hoja1!R5,"AAAAAHupG3Y=")</f>
        <v>#VALUE!</v>
      </c>
      <c r="DP1" t="e">
        <f>AND(Hoja1!S5,"AAAAAHupG3c=")</f>
        <v>#VALUE!</v>
      </c>
      <c r="DQ1" t="e">
        <f>AND(Hoja1!T5,"AAAAAHupG3g=")</f>
        <v>#VALUE!</v>
      </c>
      <c r="DR1" t="e">
        <f>AND(Hoja1!U5,"AAAAAHupG3k=")</f>
        <v>#VALUE!</v>
      </c>
      <c r="DS1" t="e">
        <f>AND(Hoja1!V5,"AAAAAHupG3o=")</f>
        <v>#VALUE!</v>
      </c>
      <c r="DT1" t="e">
        <f>AND(Hoja1!W5,"AAAAAHupG3s=")</f>
        <v>#VALUE!</v>
      </c>
      <c r="DU1" t="e">
        <f>AND(Hoja1!X5,"AAAAAHupG3w=")</f>
        <v>#VALUE!</v>
      </c>
      <c r="DV1">
        <f>IF(Hoja1!6:6,"AAAAAHupG30=",0)</f>
        <v>0</v>
      </c>
      <c r="DW1" t="e">
        <f>AND(Hoja1!A6,"AAAAAHupG34=")</f>
        <v>#VALUE!</v>
      </c>
      <c r="DX1" t="e">
        <f>AND(Hoja1!B6,"AAAAAHupG38=")</f>
        <v>#VALUE!</v>
      </c>
      <c r="DY1" t="e">
        <f>AND(Hoja1!C6,"AAAAAHupG4A=")</f>
        <v>#VALUE!</v>
      </c>
      <c r="DZ1" t="e">
        <f>AND(Hoja1!D6,"AAAAAHupG4E=")</f>
        <v>#VALUE!</v>
      </c>
      <c r="EA1" t="e">
        <f>AND(Hoja1!E6,"AAAAAHupG4I=")</f>
        <v>#VALUE!</v>
      </c>
      <c r="EB1" t="e">
        <f>AND(Hoja1!F6,"AAAAAHupG4M=")</f>
        <v>#VALUE!</v>
      </c>
      <c r="EC1" t="e">
        <f>AND(Hoja1!G6,"AAAAAHupG4Q=")</f>
        <v>#VALUE!</v>
      </c>
      <c r="ED1" t="e">
        <f>AND(Hoja1!H6,"AAAAAHupG4U=")</f>
        <v>#VALUE!</v>
      </c>
      <c r="EE1" t="e">
        <f>AND(Hoja1!I6,"AAAAAHupG4Y=")</f>
        <v>#VALUE!</v>
      </c>
      <c r="EF1" t="e">
        <f>AND(Hoja1!J6,"AAAAAHupG4c=")</f>
        <v>#VALUE!</v>
      </c>
      <c r="EG1" t="e">
        <f>AND(Hoja1!K6,"AAAAAHupG4g=")</f>
        <v>#VALUE!</v>
      </c>
      <c r="EH1" t="e">
        <f>AND(Hoja1!L6,"AAAAAHupG4k=")</f>
        <v>#VALUE!</v>
      </c>
      <c r="EI1" t="e">
        <f>AND(Hoja1!M6,"AAAAAHupG4o=")</f>
        <v>#VALUE!</v>
      </c>
      <c r="EJ1" t="e">
        <f>AND(Hoja1!N6,"AAAAAHupG4s=")</f>
        <v>#VALUE!</v>
      </c>
      <c r="EK1" t="e">
        <f>AND(Hoja1!O6,"AAAAAHupG4w=")</f>
        <v>#VALUE!</v>
      </c>
      <c r="EL1" t="e">
        <f>AND(Hoja1!P6,"AAAAAHupG40=")</f>
        <v>#VALUE!</v>
      </c>
      <c r="EM1" t="e">
        <f>AND(Hoja1!Q6,"AAAAAHupG44=")</f>
        <v>#VALUE!</v>
      </c>
      <c r="EN1" t="e">
        <f>AND(Hoja1!R6,"AAAAAHupG48=")</f>
        <v>#VALUE!</v>
      </c>
      <c r="EO1" t="e">
        <f>AND(Hoja1!S6,"AAAAAHupG5A=")</f>
        <v>#VALUE!</v>
      </c>
      <c r="EP1" t="e">
        <f>AND(Hoja1!T6,"AAAAAHupG5E=")</f>
        <v>#VALUE!</v>
      </c>
      <c r="EQ1" t="e">
        <f>AND(Hoja1!U6,"AAAAAHupG5I=")</f>
        <v>#VALUE!</v>
      </c>
      <c r="ER1" t="e">
        <f>AND(Hoja1!V6,"AAAAAHupG5M=")</f>
        <v>#VALUE!</v>
      </c>
      <c r="ES1" t="e">
        <f>AND(Hoja1!W6,"AAAAAHupG5Q=")</f>
        <v>#VALUE!</v>
      </c>
      <c r="ET1" t="e">
        <f>AND(Hoja1!X6,"AAAAAHupG5U=")</f>
        <v>#VALUE!</v>
      </c>
      <c r="EU1">
        <f>IF(Hoja1!7:7,"AAAAAHupG5Y=",0)</f>
        <v>0</v>
      </c>
      <c r="EV1" t="e">
        <f>AND(Hoja1!A7,"AAAAAHupG5c=")</f>
        <v>#VALUE!</v>
      </c>
      <c r="EW1" t="e">
        <f>AND(Hoja1!B7,"AAAAAHupG5g=")</f>
        <v>#VALUE!</v>
      </c>
      <c r="EX1" t="e">
        <f>AND(Hoja1!C7,"AAAAAHupG5k=")</f>
        <v>#VALUE!</v>
      </c>
      <c r="EY1" t="e">
        <f>AND(Hoja1!D7,"AAAAAHupG5o=")</f>
        <v>#VALUE!</v>
      </c>
      <c r="EZ1" t="e">
        <f>AND(Hoja1!E7,"AAAAAHupG5s=")</f>
        <v>#VALUE!</v>
      </c>
      <c r="FA1" t="e">
        <f>AND(Hoja1!F7,"AAAAAHupG5w=")</f>
        <v>#VALUE!</v>
      </c>
      <c r="FB1" t="e">
        <f>AND(Hoja1!G7,"AAAAAHupG50=")</f>
        <v>#VALUE!</v>
      </c>
      <c r="FC1" t="e">
        <f>AND(Hoja1!H7,"AAAAAHupG54=")</f>
        <v>#VALUE!</v>
      </c>
      <c r="FD1" t="e">
        <f>AND(Hoja1!I7,"AAAAAHupG58=")</f>
        <v>#VALUE!</v>
      </c>
      <c r="FE1" t="e">
        <f>AND(Hoja1!J7,"AAAAAHupG6A=")</f>
        <v>#VALUE!</v>
      </c>
      <c r="FF1" t="e">
        <f>AND(Hoja1!K7,"AAAAAHupG6E=")</f>
        <v>#VALUE!</v>
      </c>
      <c r="FG1" t="e">
        <f>AND(Hoja1!L7,"AAAAAHupG6I=")</f>
        <v>#VALUE!</v>
      </c>
      <c r="FH1" t="e">
        <f>AND(Hoja1!M7,"AAAAAHupG6M=")</f>
        <v>#VALUE!</v>
      </c>
      <c r="FI1" t="e">
        <f>AND(Hoja1!N7,"AAAAAHupG6Q=")</f>
        <v>#VALUE!</v>
      </c>
      <c r="FJ1" t="e">
        <f>AND(Hoja1!O7,"AAAAAHupG6U=")</f>
        <v>#VALUE!</v>
      </c>
      <c r="FK1" t="e">
        <f>AND(Hoja1!P7,"AAAAAHupG6Y=")</f>
        <v>#VALUE!</v>
      </c>
      <c r="FL1" t="e">
        <f>AND(Hoja1!Q7,"AAAAAHupG6c=")</f>
        <v>#VALUE!</v>
      </c>
      <c r="FM1" t="e">
        <f>AND(Hoja1!R7,"AAAAAHupG6g=")</f>
        <v>#VALUE!</v>
      </c>
      <c r="FN1" t="e">
        <f>AND(Hoja1!S7,"AAAAAHupG6k=")</f>
        <v>#VALUE!</v>
      </c>
      <c r="FO1" t="e">
        <f>AND(Hoja1!T7,"AAAAAHupG6o=")</f>
        <v>#VALUE!</v>
      </c>
      <c r="FP1" t="e">
        <f>AND(Hoja1!U7,"AAAAAHupG6s=")</f>
        <v>#VALUE!</v>
      </c>
      <c r="FQ1" t="e">
        <f>AND(Hoja1!V7,"AAAAAHupG6w=")</f>
        <v>#VALUE!</v>
      </c>
      <c r="FR1" t="e">
        <f>AND(Hoja1!W7,"AAAAAHupG60=")</f>
        <v>#VALUE!</v>
      </c>
      <c r="FS1" t="e">
        <f>AND(Hoja1!X7,"AAAAAHupG64=")</f>
        <v>#VALUE!</v>
      </c>
      <c r="FT1">
        <f>IF(Hoja1!8:8,"AAAAAHupG68=",0)</f>
        <v>0</v>
      </c>
      <c r="FU1" t="e">
        <f>AND(Hoja1!A8,"AAAAAHupG7A=")</f>
        <v>#VALUE!</v>
      </c>
      <c r="FV1" t="e">
        <f>AND(Hoja1!B8,"AAAAAHupG7E=")</f>
        <v>#VALUE!</v>
      </c>
      <c r="FW1" t="e">
        <f>AND(Hoja1!C8,"AAAAAHupG7I=")</f>
        <v>#VALUE!</v>
      </c>
      <c r="FX1" t="e">
        <f>AND(Hoja1!D8,"AAAAAHupG7M=")</f>
        <v>#VALUE!</v>
      </c>
      <c r="FY1" t="e">
        <f>AND(Hoja1!E8,"AAAAAHupG7Q=")</f>
        <v>#VALUE!</v>
      </c>
      <c r="FZ1" t="e">
        <f>AND(Hoja1!F8,"AAAAAHupG7U=")</f>
        <v>#VALUE!</v>
      </c>
      <c r="GA1" t="e">
        <f>AND(Hoja1!G8,"AAAAAHupG7Y=")</f>
        <v>#VALUE!</v>
      </c>
      <c r="GB1" t="e">
        <f>AND(Hoja1!H8,"AAAAAHupG7c=")</f>
        <v>#VALUE!</v>
      </c>
      <c r="GC1" t="e">
        <f>AND(Hoja1!I8,"AAAAAHupG7g=")</f>
        <v>#VALUE!</v>
      </c>
      <c r="GD1" t="e">
        <f>AND(Hoja1!J8,"AAAAAHupG7k=")</f>
        <v>#VALUE!</v>
      </c>
      <c r="GE1" t="e">
        <f>AND(Hoja1!K8,"AAAAAHupG7o=")</f>
        <v>#VALUE!</v>
      </c>
      <c r="GF1" t="e">
        <f>AND(Hoja1!L8,"AAAAAHupG7s=")</f>
        <v>#VALUE!</v>
      </c>
      <c r="GG1" t="e">
        <f>AND(Hoja1!M8,"AAAAAHupG7w=")</f>
        <v>#VALUE!</v>
      </c>
      <c r="GH1" t="e">
        <f>AND(Hoja1!N8,"AAAAAHupG70=")</f>
        <v>#VALUE!</v>
      </c>
      <c r="GI1" t="e">
        <f>AND(Hoja1!O8,"AAAAAHupG74=")</f>
        <v>#VALUE!</v>
      </c>
      <c r="GJ1" t="e">
        <f>AND(Hoja1!P8,"AAAAAHupG78=")</f>
        <v>#VALUE!</v>
      </c>
      <c r="GK1" t="e">
        <f>AND(Hoja1!Q8,"AAAAAHupG8A=")</f>
        <v>#VALUE!</v>
      </c>
      <c r="GL1" t="e">
        <f>AND(Hoja1!R8,"AAAAAHupG8E=")</f>
        <v>#VALUE!</v>
      </c>
      <c r="GM1" t="e">
        <f>AND(Hoja1!S8,"AAAAAHupG8I=")</f>
        <v>#VALUE!</v>
      </c>
      <c r="GN1" t="e">
        <f>AND(Hoja1!T8,"AAAAAHupG8M=")</f>
        <v>#VALUE!</v>
      </c>
      <c r="GO1" t="e">
        <f>AND(Hoja1!U8,"AAAAAHupG8Q=")</f>
        <v>#VALUE!</v>
      </c>
      <c r="GP1" t="e">
        <f>AND(Hoja1!V8,"AAAAAHupG8U=")</f>
        <v>#VALUE!</v>
      </c>
      <c r="GQ1" t="e">
        <f>AND(Hoja1!W8,"AAAAAHupG8Y=")</f>
        <v>#VALUE!</v>
      </c>
      <c r="GR1" t="e">
        <f>AND(Hoja1!X8,"AAAAAHupG8c=")</f>
        <v>#VALUE!</v>
      </c>
      <c r="GS1">
        <f>IF(Hoja1!9:9,"AAAAAHupG8g=",0)</f>
        <v>0</v>
      </c>
      <c r="GT1">
        <f>IF(Hoja1!10:10,"AAAAAHupG8k=",0)</f>
        <v>0</v>
      </c>
      <c r="GU1">
        <f>IF(Hoja1!11:11,"AAAAAHupG8o=",0)</f>
        <v>0</v>
      </c>
      <c r="GV1">
        <f>IF(Hoja1!12:12,"AAAAAHupG8s=",0)</f>
        <v>0</v>
      </c>
      <c r="GW1">
        <f>IF(Hoja1!13:13,"AAAAAHupG8w=",0)</f>
        <v>0</v>
      </c>
      <c r="GX1">
        <f>IF(Hoja1!14:14,"AAAAAHupG80=",0)</f>
        <v>0</v>
      </c>
      <c r="GY1">
        <f>IF(Hoja1!15:15,"AAAAAHupG84=",0)</f>
        <v>0</v>
      </c>
      <c r="GZ1">
        <f>IF(Hoja1!16:16,"AAAAAHupG88=",0)</f>
        <v>0</v>
      </c>
      <c r="HA1">
        <f>IF(Hoja1!17:17,"AAAAAHupG9A=",0)</f>
        <v>0</v>
      </c>
      <c r="HB1">
        <f>IF(Hoja1!18:18,"AAAAAHupG9E=",0)</f>
        <v>0</v>
      </c>
      <c r="HC1">
        <f>IF(Hoja1!19:19,"AAAAAHupG9I=",0)</f>
        <v>0</v>
      </c>
      <c r="HD1">
        <f>IF(Hoja1!20:20,"AAAAAHupG9M=",0)</f>
        <v>0</v>
      </c>
      <c r="HE1">
        <f>IF(Hoja1!21:21,"AAAAAHupG9Q=",0)</f>
        <v>0</v>
      </c>
      <c r="HF1">
        <f>IF(Hoja1!22:22,"AAAAAHupG9U=",0)</f>
        <v>0</v>
      </c>
      <c r="HG1">
        <f>IF(Hoja1!23:23,"AAAAAHupG9Y=",0)</f>
        <v>0</v>
      </c>
      <c r="HH1">
        <f>IF(Hoja1!24:24,"AAAAAHupG9c=",0)</f>
        <v>0</v>
      </c>
      <c r="HI1">
        <f>IF(Hoja1!25:25,"AAAAAHupG9g=",0)</f>
        <v>0</v>
      </c>
      <c r="HJ1">
        <f>IF(Hoja1!26:26,"AAAAAHupG9k=",0)</f>
        <v>0</v>
      </c>
      <c r="HK1">
        <f>IF(Hoja1!27:27,"AAAAAHupG9o=",0)</f>
        <v>0</v>
      </c>
      <c r="HL1">
        <f>IF(Hoja1!28:28,"AAAAAHupG9s=",0)</f>
        <v>0</v>
      </c>
      <c r="HM1">
        <f>IF(Hoja1!29:29,"AAAAAHupG9w=",0)</f>
        <v>0</v>
      </c>
      <c r="HN1">
        <f>IF(Hoja1!30:30,"AAAAAHupG90=",0)</f>
        <v>0</v>
      </c>
      <c r="HO1">
        <f>IF(Hoja1!31:31,"AAAAAHupG94=",0)</f>
        <v>0</v>
      </c>
      <c r="HP1">
        <f>IF(Hoja1!32:32,"AAAAAHupG98=",0)</f>
        <v>0</v>
      </c>
      <c r="HQ1">
        <f>IF(Hoja1!33:33,"AAAAAHupG+A=",0)</f>
        <v>0</v>
      </c>
      <c r="HR1">
        <f>IF(Hoja1!34:34,"AAAAAHupG+E=",0)</f>
        <v>0</v>
      </c>
      <c r="HS1">
        <f>IF(Hoja1!35:35,"AAAAAHupG+I=",0)</f>
        <v>0</v>
      </c>
      <c r="HT1">
        <f>IF(Hoja1!36:36,"AAAAAHupG+M=",0)</f>
        <v>0</v>
      </c>
      <c r="HU1">
        <f>IF(Hoja1!37:37,"AAAAAHupG+Q=",0)</f>
        <v>0</v>
      </c>
      <c r="HV1">
        <f>IF(Hoja1!38:38,"AAAAAHupG+U=",0)</f>
        <v>0</v>
      </c>
      <c r="HW1">
        <f>IF(Hoja1!39:39,"AAAAAHupG+Y=",0)</f>
        <v>0</v>
      </c>
      <c r="HX1">
        <f>IF(Hoja1!40:40,"AAAAAHupG+c=",0)</f>
        <v>0</v>
      </c>
      <c r="HY1">
        <f>IF(Hoja1!41:41,"AAAAAHupG+g=",0)</f>
        <v>0</v>
      </c>
      <c r="HZ1">
        <f>IF(Hoja1!42:42,"AAAAAHupG+k=",0)</f>
        <v>0</v>
      </c>
      <c r="IA1">
        <f>IF(Hoja1!43:43,"AAAAAHupG+o=",0)</f>
        <v>0</v>
      </c>
      <c r="IB1">
        <f>IF(Hoja1!44:44,"AAAAAHupG+s=",0)</f>
        <v>0</v>
      </c>
      <c r="IC1">
        <f>IF(Hoja1!45:45,"AAAAAHupG+w=",0)</f>
        <v>0</v>
      </c>
      <c r="ID1">
        <f>IF(Hoja1!46:46,"AAAAAHupG+0=",0)</f>
        <v>0</v>
      </c>
      <c r="IE1">
        <f>IF(Hoja1!47:47,"AAAAAHupG+4=",0)</f>
        <v>0</v>
      </c>
      <c r="IF1">
        <f>IF(Hoja1!48:48,"AAAAAHupG+8=",0)</f>
        <v>0</v>
      </c>
      <c r="IG1">
        <f>IF(Hoja1!49:49,"AAAAAHupG/A=",0)</f>
        <v>0</v>
      </c>
      <c r="IH1">
        <f>IF(Hoja1!50:50,"AAAAAHupG/E=",0)</f>
        <v>0</v>
      </c>
      <c r="II1">
        <f>IF(Hoja1!51:51,"AAAAAHupG/I=",0)</f>
        <v>0</v>
      </c>
      <c r="IJ1">
        <f>IF(Hoja1!52:52,"AAAAAHupG/M=",0)</f>
        <v>0</v>
      </c>
      <c r="IK1">
        <f>IF(Hoja1!53:53,"AAAAAHupG/Q=",0)</f>
        <v>0</v>
      </c>
      <c r="IL1">
        <f>IF(Hoja1!54:54,"AAAAAHupG/U=",0)</f>
        <v>0</v>
      </c>
      <c r="IM1">
        <f>IF(Hoja1!55:55,"AAAAAHupG/Y=",0)</f>
        <v>0</v>
      </c>
      <c r="IN1">
        <f>IF(Hoja1!56:56,"AAAAAHupG/c=",0)</f>
        <v>0</v>
      </c>
      <c r="IO1">
        <f>IF(Hoja1!57:57,"AAAAAHupG/g=",0)</f>
        <v>0</v>
      </c>
      <c r="IP1">
        <f>IF(Hoja1!58:58,"AAAAAHupG/k=",0)</f>
        <v>0</v>
      </c>
      <c r="IQ1">
        <f>IF(Hoja1!59:59,"AAAAAHupG/o=",0)</f>
        <v>0</v>
      </c>
      <c r="IR1">
        <f>IF(Hoja1!60:60,"AAAAAHupG/s=",0)</f>
        <v>0</v>
      </c>
      <c r="IS1">
        <f>IF(Hoja1!61:61,"AAAAAHupG/w=",0)</f>
        <v>0</v>
      </c>
      <c r="IT1">
        <f>IF(Hoja1!62:62,"AAAAAHupG/0=",0)</f>
        <v>0</v>
      </c>
      <c r="IU1">
        <f>IF(Hoja1!63:63,"AAAAAHupG/4=",0)</f>
        <v>0</v>
      </c>
      <c r="IV1">
        <f>IF(Hoja1!64:64,"AAAAAHupG/8=",0)</f>
        <v>0</v>
      </c>
    </row>
    <row r="2" spans="1:256" x14ac:dyDescent="0.2">
      <c r="A2">
        <f>IF(Hoja1!65:65,"AAAAAH0P/wA=",0)</f>
        <v>0</v>
      </c>
      <c r="B2">
        <f>IF(Hoja1!66:66,"AAAAAH0P/wE=",0)</f>
        <v>0</v>
      </c>
      <c r="C2">
        <f>IF(Hoja1!67:67,"AAAAAH0P/wI=",0)</f>
        <v>0</v>
      </c>
      <c r="D2">
        <f>IF(Hoja1!68:68,"AAAAAH0P/wM=",0)</f>
        <v>0</v>
      </c>
      <c r="E2">
        <f>IF(Hoja1!69:69,"AAAAAH0P/wQ=",0)</f>
        <v>0</v>
      </c>
      <c r="F2">
        <f>IF(Hoja1!70:70,"AAAAAH0P/wU=",0)</f>
        <v>0</v>
      </c>
      <c r="G2">
        <f>IF(Hoja1!71:71,"AAAAAH0P/wY=",0)</f>
        <v>0</v>
      </c>
      <c r="H2">
        <f>IF(Hoja1!72:72,"AAAAAH0P/wc=",0)</f>
        <v>0</v>
      </c>
      <c r="I2">
        <f>IF(Hoja1!73:73,"AAAAAH0P/wg=",0)</f>
        <v>0</v>
      </c>
      <c r="J2">
        <f>IF(Hoja1!74:74,"AAAAAH0P/wk=",0)</f>
        <v>0</v>
      </c>
      <c r="K2">
        <f>IF(Hoja1!75:75,"AAAAAH0P/wo=",0)</f>
        <v>0</v>
      </c>
      <c r="L2">
        <f>IF(Hoja1!76:76,"AAAAAH0P/ws=",0)</f>
        <v>0</v>
      </c>
      <c r="M2">
        <f>IF(Hoja1!77:77,"AAAAAH0P/ww=",0)</f>
        <v>0</v>
      </c>
      <c r="N2">
        <f>IF(Hoja1!78:78,"AAAAAH0P/w0=",0)</f>
        <v>0</v>
      </c>
      <c r="O2">
        <f>IF(Hoja1!79:79,"AAAAAH0P/w4=",0)</f>
        <v>0</v>
      </c>
      <c r="P2">
        <f>IF(Hoja1!80:80,"AAAAAH0P/w8=",0)</f>
        <v>0</v>
      </c>
      <c r="Q2">
        <f>IF(Hoja1!81:81,"AAAAAH0P/xA=",0)</f>
        <v>0</v>
      </c>
      <c r="R2">
        <f>IF(Hoja1!82:82,"AAAAAH0P/xE=",0)</f>
        <v>0</v>
      </c>
      <c r="S2">
        <f>IF(Hoja1!83:83,"AAAAAH0P/xI=",0)</f>
        <v>0</v>
      </c>
      <c r="T2">
        <f>IF(Hoja1!84:84,"AAAAAH0P/xM=",0)</f>
        <v>0</v>
      </c>
      <c r="U2">
        <f>IF(Hoja1!85:85,"AAAAAH0P/xQ=",0)</f>
        <v>0</v>
      </c>
      <c r="V2">
        <f>IF(Hoja1!86:86,"AAAAAH0P/xU=",0)</f>
        <v>0</v>
      </c>
      <c r="W2">
        <f>IF(Hoja1!87:87,"AAAAAH0P/xY=",0)</f>
        <v>0</v>
      </c>
      <c r="X2">
        <f>IF(Hoja1!88:88,"AAAAAH0P/xc=",0)</f>
        <v>0</v>
      </c>
      <c r="Y2">
        <f>IF(Hoja1!89:89,"AAAAAH0P/xg=",0)</f>
        <v>0</v>
      </c>
      <c r="Z2">
        <f>IF(Hoja1!90:90,"AAAAAH0P/xk=",0)</f>
        <v>0</v>
      </c>
      <c r="AA2">
        <f>IF(Hoja1!91:91,"AAAAAH0P/xo=",0)</f>
        <v>0</v>
      </c>
      <c r="AB2">
        <f>IF(Hoja1!92:92,"AAAAAH0P/xs=",0)</f>
        <v>0</v>
      </c>
      <c r="AC2">
        <f>IF(Hoja1!93:93,"AAAAAH0P/xw=",0)</f>
        <v>0</v>
      </c>
      <c r="AD2">
        <f>IF(Hoja1!94:94,"AAAAAH0P/x0=",0)</f>
        <v>0</v>
      </c>
      <c r="AE2">
        <f>IF(Hoja1!95:95,"AAAAAH0P/x4=",0)</f>
        <v>0</v>
      </c>
      <c r="AF2">
        <f>IF(Hoja1!96:96,"AAAAAH0P/x8=",0)</f>
        <v>0</v>
      </c>
      <c r="AG2">
        <f>IF(Hoja1!97:97,"AAAAAH0P/yA=",0)</f>
        <v>0</v>
      </c>
      <c r="AH2">
        <f>IF(Hoja1!98:98,"AAAAAH0P/yE=",0)</f>
        <v>0</v>
      </c>
      <c r="AI2">
        <f>IF(Hoja1!99:99,"AAAAAH0P/yI=",0)</f>
        <v>0</v>
      </c>
      <c r="AJ2">
        <f>IF(Hoja1!100:100,"AAAAAH0P/yM=",0)</f>
        <v>0</v>
      </c>
      <c r="AK2">
        <f>IF(Hoja1!101:101,"AAAAAH0P/yQ=",0)</f>
        <v>0</v>
      </c>
      <c r="AL2">
        <f>IF(Hoja1!102:102,"AAAAAH0P/yU=",0)</f>
        <v>0</v>
      </c>
      <c r="AM2">
        <f>IF(Hoja1!103:103,"AAAAAH0P/yY=",0)</f>
        <v>0</v>
      </c>
      <c r="AN2">
        <f>IF(Hoja1!104:104,"AAAAAH0P/yc=",0)</f>
        <v>0</v>
      </c>
      <c r="AO2">
        <f>IF(Hoja1!105:105,"AAAAAH0P/yg=",0)</f>
        <v>0</v>
      </c>
      <c r="AP2">
        <f>IF(Hoja1!106:106,"AAAAAH0P/yk=",0)</f>
        <v>0</v>
      </c>
      <c r="AQ2">
        <f>IF(Hoja1!107:107,"AAAAAH0P/yo=",0)</f>
        <v>0</v>
      </c>
      <c r="AR2">
        <f>IF(Hoja1!108:108,"AAAAAH0P/ys=",0)</f>
        <v>0</v>
      </c>
      <c r="AS2">
        <f>IF(Hoja1!109:109,"AAAAAH0P/yw=",0)</f>
        <v>0</v>
      </c>
      <c r="AT2">
        <f>IF(Hoja1!110:110,"AAAAAH0P/y0=",0)</f>
        <v>0</v>
      </c>
      <c r="AU2">
        <f>IF(Hoja1!111:111,"AAAAAH0P/y4=",0)</f>
        <v>0</v>
      </c>
      <c r="AV2">
        <f>IF(Hoja1!112:112,"AAAAAH0P/y8=",0)</f>
        <v>0</v>
      </c>
      <c r="AW2">
        <f>IF(Hoja1!113:113,"AAAAAH0P/zA=",0)</f>
        <v>0</v>
      </c>
      <c r="AX2">
        <f>IF(Hoja1!114:114,"AAAAAH0P/zE=",0)</f>
        <v>0</v>
      </c>
      <c r="AY2">
        <f>IF(Hoja1!115:115,"AAAAAH0P/zI=",0)</f>
        <v>0</v>
      </c>
      <c r="AZ2">
        <f>IF(Hoja1!116:116,"AAAAAH0P/zM=",0)</f>
        <v>0</v>
      </c>
      <c r="BA2">
        <f>IF(Hoja1!117:117,"AAAAAH0P/zQ=",0)</f>
        <v>0</v>
      </c>
      <c r="BB2">
        <f>IF(Hoja1!118:118,"AAAAAH0P/zU=",0)</f>
        <v>0</v>
      </c>
      <c r="BC2">
        <f>IF(Hoja1!119:119,"AAAAAH0P/zY=",0)</f>
        <v>0</v>
      </c>
      <c r="BD2">
        <f>IF(Hoja1!120:120,"AAAAAH0P/zc=",0)</f>
        <v>0</v>
      </c>
      <c r="BE2">
        <f>IF(Hoja1!121:121,"AAAAAH0P/zg=",0)</f>
        <v>0</v>
      </c>
      <c r="BF2">
        <f>IF(Hoja1!122:122,"AAAAAH0P/zk=",0)</f>
        <v>0</v>
      </c>
      <c r="BG2">
        <f>IF(Hoja1!123:123,"AAAAAH0P/zo=",0)</f>
        <v>0</v>
      </c>
      <c r="BH2">
        <f>IF(Hoja1!124:124,"AAAAAH0P/zs=",0)</f>
        <v>0</v>
      </c>
      <c r="BI2">
        <f>IF(Hoja1!125:125,"AAAAAH0P/zw=",0)</f>
        <v>0</v>
      </c>
      <c r="BJ2">
        <f>IF(Hoja1!126:126,"AAAAAH0P/z0=",0)</f>
        <v>0</v>
      </c>
      <c r="BK2">
        <f>IF(Hoja1!127:127,"AAAAAH0P/z4=",0)</f>
        <v>0</v>
      </c>
      <c r="BL2">
        <f>IF(Hoja1!128:128,"AAAAAH0P/z8=",0)</f>
        <v>0</v>
      </c>
      <c r="BM2">
        <f>IF(Hoja1!129:129,"AAAAAH0P/0A=",0)</f>
        <v>0</v>
      </c>
      <c r="BN2">
        <f>IF(Hoja1!130:130,"AAAAAH0P/0E=",0)</f>
        <v>0</v>
      </c>
      <c r="BO2">
        <f>IF(Hoja1!131:131,"AAAAAH0P/0I=",0)</f>
        <v>0</v>
      </c>
      <c r="BP2">
        <f>IF(Hoja1!132:132,"AAAAAH0P/0M=",0)</f>
        <v>0</v>
      </c>
      <c r="BQ2">
        <f>IF(Hoja1!133:133,"AAAAAH0P/0Q=",0)</f>
        <v>0</v>
      </c>
      <c r="BR2">
        <f>IF(Hoja1!134:134,"AAAAAH0P/0U=",0)</f>
        <v>0</v>
      </c>
      <c r="BS2">
        <f>IF(Hoja1!135:135,"AAAAAH0P/0Y=",0)</f>
        <v>0</v>
      </c>
      <c r="BT2">
        <f>IF(Hoja1!136:136,"AAAAAH0P/0c=",0)</f>
        <v>0</v>
      </c>
      <c r="BU2">
        <f>IF(Hoja1!137:137,"AAAAAH0P/0g=",0)</f>
        <v>0</v>
      </c>
      <c r="BV2">
        <f>IF(Hoja1!138:138,"AAAAAH0P/0k=",0)</f>
        <v>0</v>
      </c>
      <c r="BW2">
        <f>IF(Hoja1!139:139,"AAAAAH0P/0o=",0)</f>
        <v>0</v>
      </c>
      <c r="BX2">
        <f>IF(Hoja1!140:140,"AAAAAH0P/0s=",0)</f>
        <v>0</v>
      </c>
      <c r="BY2">
        <f>IF(Hoja1!141:141,"AAAAAH0P/0w=",0)</f>
        <v>0</v>
      </c>
      <c r="BZ2">
        <f>IF(Hoja1!142:142,"AAAAAH0P/00=",0)</f>
        <v>0</v>
      </c>
      <c r="CA2">
        <f>IF(Hoja1!143:143,"AAAAAH0P/04=",0)</f>
        <v>0</v>
      </c>
      <c r="CB2">
        <f>IF(Hoja1!144:144,"AAAAAH0P/08=",0)</f>
        <v>0</v>
      </c>
      <c r="CC2">
        <f>IF(Hoja1!145:145,"AAAAAH0P/1A=",0)</f>
        <v>0</v>
      </c>
      <c r="CD2">
        <f>IF(Hoja1!146:146,"AAAAAH0P/1E=",0)</f>
        <v>0</v>
      </c>
      <c r="CE2">
        <f>IF(Hoja1!147:147,"AAAAAH0P/1I=",0)</f>
        <v>0</v>
      </c>
      <c r="CF2">
        <f>IF(Hoja1!148:148,"AAAAAH0P/1M=",0)</f>
        <v>0</v>
      </c>
      <c r="CG2">
        <f>IF(Hoja1!149:149,"AAAAAH0P/1Q=",0)</f>
        <v>0</v>
      </c>
      <c r="CH2">
        <f>IF(Hoja1!150:150,"AAAAAH0P/1U=",0)</f>
        <v>0</v>
      </c>
      <c r="CI2">
        <f>IF(Hoja1!151:151,"AAAAAH0P/1Y=",0)</f>
        <v>0</v>
      </c>
      <c r="CJ2">
        <f>IF(Hoja1!152:152,"AAAAAH0P/1c=",0)</f>
        <v>0</v>
      </c>
      <c r="CK2">
        <f>IF(Hoja1!153:153,"AAAAAH0P/1g=",0)</f>
        <v>0</v>
      </c>
      <c r="CL2">
        <f>IF(Hoja1!154:154,"AAAAAH0P/1k=",0)</f>
        <v>0</v>
      </c>
      <c r="CM2">
        <f>IF(Hoja1!155:155,"AAAAAH0P/1o=",0)</f>
        <v>0</v>
      </c>
      <c r="CN2">
        <f>IF(Hoja1!156:156,"AAAAAH0P/1s=",0)</f>
        <v>0</v>
      </c>
      <c r="CO2">
        <f>IF(Hoja1!157:157,"AAAAAH0P/1w=",0)</f>
        <v>0</v>
      </c>
      <c r="CP2">
        <f>IF(Hoja1!158:158,"AAAAAH0P/10=",0)</f>
        <v>0</v>
      </c>
      <c r="CQ2">
        <f>IF(Hoja1!159:159,"AAAAAH0P/14=",0)</f>
        <v>0</v>
      </c>
      <c r="CR2">
        <f>IF(Hoja1!160:160,"AAAAAH0P/18=",0)</f>
        <v>0</v>
      </c>
      <c r="CS2">
        <f>IF(Hoja1!161:161,"AAAAAH0P/2A=",0)</f>
        <v>0</v>
      </c>
      <c r="CT2">
        <f>IF(Hoja1!162:162,"AAAAAH0P/2E=",0)</f>
        <v>0</v>
      </c>
      <c r="CU2">
        <f>IF(Hoja1!163:163,"AAAAAH0P/2I=",0)</f>
        <v>0</v>
      </c>
      <c r="CV2">
        <f>IF(Hoja1!164:164,"AAAAAH0P/2M=",0)</f>
        <v>0</v>
      </c>
      <c r="CW2">
        <f>IF(Hoja1!165:165,"AAAAAH0P/2Q=",0)</f>
        <v>0</v>
      </c>
      <c r="CX2">
        <f>IF(Hoja1!166:166,"AAAAAH0P/2U=",0)</f>
        <v>0</v>
      </c>
      <c r="CY2">
        <f>IF(Hoja1!167:167,"AAAAAH0P/2Y=",0)</f>
        <v>0</v>
      </c>
      <c r="CZ2">
        <f>IF(Hoja1!168:168,"AAAAAH0P/2c=",0)</f>
        <v>0</v>
      </c>
      <c r="DA2">
        <f>IF(Hoja1!169:169,"AAAAAH0P/2g=",0)</f>
        <v>0</v>
      </c>
      <c r="DB2">
        <f>IF(Hoja1!170:170,"AAAAAH0P/2k=",0)</f>
        <v>0</v>
      </c>
      <c r="DC2">
        <f>IF(Hoja1!171:171,"AAAAAH0P/2o=",0)</f>
        <v>0</v>
      </c>
      <c r="DD2">
        <f>IF(Hoja1!172:172,"AAAAAH0P/2s=",0)</f>
        <v>0</v>
      </c>
      <c r="DE2">
        <f>IF(Hoja1!173:173,"AAAAAH0P/2w=",0)</f>
        <v>0</v>
      </c>
      <c r="DF2">
        <f>IF(Hoja1!174:174,"AAAAAH0P/20=",0)</f>
        <v>0</v>
      </c>
      <c r="DG2">
        <f>IF(Hoja1!175:175,"AAAAAH0P/24=",0)</f>
        <v>0</v>
      </c>
      <c r="DH2">
        <f>IF(Hoja1!176:176,"AAAAAH0P/28=",0)</f>
        <v>0</v>
      </c>
      <c r="DI2">
        <f>IF(Hoja1!177:177,"AAAAAH0P/3A=",0)</f>
        <v>0</v>
      </c>
      <c r="DJ2">
        <f>IF(Hoja1!178:178,"AAAAAH0P/3E=",0)</f>
        <v>0</v>
      </c>
      <c r="DK2">
        <f>IF(Hoja1!179:179,"AAAAAH0P/3I=",0)</f>
        <v>0</v>
      </c>
      <c r="DL2">
        <f>IF(Hoja1!180:180,"AAAAAH0P/3M=",0)</f>
        <v>0</v>
      </c>
      <c r="DM2">
        <f>IF(Hoja1!181:181,"AAAAAH0P/3Q=",0)</f>
        <v>0</v>
      </c>
      <c r="DN2">
        <f>IF(Hoja1!182:182,"AAAAAH0P/3U=",0)</f>
        <v>0</v>
      </c>
      <c r="DO2">
        <f>IF(Hoja1!183:183,"AAAAAH0P/3Y=",0)</f>
        <v>0</v>
      </c>
      <c r="DP2">
        <f>IF(Hoja1!184:184,"AAAAAH0P/3c=",0)</f>
        <v>0</v>
      </c>
      <c r="DQ2">
        <f>IF(Hoja1!185:185,"AAAAAH0P/3g=",0)</f>
        <v>0</v>
      </c>
      <c r="DR2">
        <f>IF(Hoja1!186:186,"AAAAAH0P/3k=",0)</f>
        <v>0</v>
      </c>
      <c r="DS2">
        <f>IF(Hoja1!187:187,"AAAAAH0P/3o=",0)</f>
        <v>0</v>
      </c>
      <c r="DT2">
        <f>IF(Hoja1!188:188,"AAAAAH0P/3s=",0)</f>
        <v>0</v>
      </c>
      <c r="DU2">
        <f>IF(Hoja1!189:189,"AAAAAH0P/3w=",0)</f>
        <v>0</v>
      </c>
      <c r="DV2">
        <f>IF(Hoja1!190:190,"AAAAAH0P/30=",0)</f>
        <v>0</v>
      </c>
      <c r="DW2">
        <f>IF(Hoja1!191:191,"AAAAAH0P/34=",0)</f>
        <v>0</v>
      </c>
      <c r="DX2">
        <f>IF(Hoja1!192:192,"AAAAAH0P/38=",0)</f>
        <v>0</v>
      </c>
      <c r="DY2">
        <f>IF(Hoja1!193:193,"AAAAAH0P/4A=",0)</f>
        <v>0</v>
      </c>
      <c r="DZ2">
        <f>IF(Hoja1!194:194,"AAAAAH0P/4E=",0)</f>
        <v>0</v>
      </c>
      <c r="EA2">
        <f>IF(Hoja1!195:195,"AAAAAH0P/4I=",0)</f>
        <v>0</v>
      </c>
      <c r="EB2">
        <f>IF(Hoja1!196:196,"AAAAAH0P/4M=",0)</f>
        <v>0</v>
      </c>
      <c r="EC2">
        <f>IF(Hoja1!197:197,"AAAAAH0P/4Q=",0)</f>
        <v>0</v>
      </c>
      <c r="ED2">
        <f>IF(Hoja1!198:198,"AAAAAH0P/4U=",0)</f>
        <v>0</v>
      </c>
      <c r="EE2">
        <f>IF(Hoja1!199:199,"AAAAAH0P/4Y=",0)</f>
        <v>0</v>
      </c>
      <c r="EF2">
        <f>IF(Hoja1!200:200,"AAAAAH0P/4c=",0)</f>
        <v>0</v>
      </c>
      <c r="EG2">
        <f>IF(Hoja1!201:201,"AAAAAH0P/4g=",0)</f>
        <v>0</v>
      </c>
      <c r="EH2">
        <f>IF(Hoja1!202:202,"AAAAAH0P/4k=",0)</f>
        <v>0</v>
      </c>
      <c r="EI2">
        <f>IF(Hoja1!203:203,"AAAAAH0P/4o=",0)</f>
        <v>0</v>
      </c>
      <c r="EJ2">
        <f>IF(Hoja1!204:204,"AAAAAH0P/4s=",0)</f>
        <v>0</v>
      </c>
      <c r="EK2">
        <f>IF(Hoja1!205:205,"AAAAAH0P/4w=",0)</f>
        <v>0</v>
      </c>
      <c r="EL2">
        <f>IF(Hoja1!206:206,"AAAAAH0P/40=",0)</f>
        <v>0</v>
      </c>
      <c r="EM2">
        <f>IF(Hoja1!207:207,"AAAAAH0P/44=",0)</f>
        <v>0</v>
      </c>
      <c r="EN2">
        <f>IF(Hoja1!208:208,"AAAAAH0P/48=",0)</f>
        <v>0</v>
      </c>
      <c r="EO2">
        <f>IF(Hoja1!209:209,"AAAAAH0P/5A=",0)</f>
        <v>0</v>
      </c>
      <c r="EP2">
        <f>IF(Hoja1!210:210,"AAAAAH0P/5E=",0)</f>
        <v>0</v>
      </c>
      <c r="EQ2">
        <f>IF(Hoja1!211:211,"AAAAAH0P/5I=",0)</f>
        <v>0</v>
      </c>
      <c r="ER2">
        <f>IF(Hoja1!212:212,"AAAAAH0P/5M=",0)</f>
        <v>0</v>
      </c>
      <c r="ES2">
        <f>IF(Hoja1!213:213,"AAAAAH0P/5Q=",0)</f>
        <v>0</v>
      </c>
      <c r="ET2">
        <f>IF(Hoja1!214:214,"AAAAAH0P/5U=",0)</f>
        <v>0</v>
      </c>
      <c r="EU2">
        <f>IF(Hoja1!215:215,"AAAAAH0P/5Y=",0)</f>
        <v>0</v>
      </c>
      <c r="EV2">
        <f>IF(Hoja1!216:216,"AAAAAH0P/5c=",0)</f>
        <v>0</v>
      </c>
      <c r="EW2">
        <f>IF(Hoja1!217:217,"AAAAAH0P/5g=",0)</f>
        <v>0</v>
      </c>
      <c r="EX2">
        <f>IF(Hoja1!218:218,"AAAAAH0P/5k=",0)</f>
        <v>0</v>
      </c>
      <c r="EY2">
        <f>IF(Hoja1!219:219,"AAAAAH0P/5o=",0)</f>
        <v>0</v>
      </c>
      <c r="EZ2">
        <f>IF(Hoja1!220:220,"AAAAAH0P/5s=",0)</f>
        <v>0</v>
      </c>
      <c r="FA2">
        <f>IF(Hoja1!221:221,"AAAAAH0P/5w=",0)</f>
        <v>0</v>
      </c>
      <c r="FB2">
        <f>IF(Hoja1!222:222,"AAAAAH0P/50=",0)</f>
        <v>0</v>
      </c>
      <c r="FC2">
        <f>IF(Hoja1!223:223,"AAAAAH0P/54=",0)</f>
        <v>0</v>
      </c>
      <c r="FD2">
        <f>IF(Hoja1!224:224,"AAAAAH0P/58=",0)</f>
        <v>0</v>
      </c>
      <c r="FE2">
        <f>IF(Hoja1!225:225,"AAAAAH0P/6A=",0)</f>
        <v>0</v>
      </c>
      <c r="FF2">
        <f>IF(Hoja1!226:226,"AAAAAH0P/6E=",0)</f>
        <v>0</v>
      </c>
      <c r="FG2">
        <f>IF(Hoja1!227:227,"AAAAAH0P/6I=",0)</f>
        <v>0</v>
      </c>
      <c r="FH2">
        <f>IF(Hoja1!228:228,"AAAAAH0P/6M=",0)</f>
        <v>0</v>
      </c>
      <c r="FI2">
        <f>IF(Hoja1!229:229,"AAAAAH0P/6Q=",0)</f>
        <v>0</v>
      </c>
      <c r="FJ2">
        <f>IF(Hoja1!230:230,"AAAAAH0P/6U=",0)</f>
        <v>0</v>
      </c>
      <c r="FK2">
        <f>IF(Hoja1!231:231,"AAAAAH0P/6Y=",0)</f>
        <v>0</v>
      </c>
      <c r="FL2">
        <f>IF(Hoja1!232:232,"AAAAAH0P/6c=",0)</f>
        <v>0</v>
      </c>
      <c r="FM2">
        <f>IF(Hoja1!233:233,"AAAAAH0P/6g=",0)</f>
        <v>0</v>
      </c>
      <c r="FN2">
        <f>IF(Hoja1!234:234,"AAAAAH0P/6k=",0)</f>
        <v>0</v>
      </c>
      <c r="FO2">
        <f>IF(Hoja1!235:235,"AAAAAH0P/6o=",0)</f>
        <v>0</v>
      </c>
      <c r="FP2">
        <f>IF(Hoja1!236:236,"AAAAAH0P/6s=",0)</f>
        <v>0</v>
      </c>
      <c r="FQ2">
        <f>IF(Hoja1!237:237,"AAAAAH0P/6w=",0)</f>
        <v>0</v>
      </c>
      <c r="FR2">
        <f>IF(Hoja1!238:238,"AAAAAH0P/60=",0)</f>
        <v>0</v>
      </c>
      <c r="FS2">
        <f>IF(Hoja1!239:239,"AAAAAH0P/64=",0)</f>
        <v>0</v>
      </c>
      <c r="FT2">
        <f>IF(Hoja1!240:240,"AAAAAH0P/68=",0)</f>
        <v>0</v>
      </c>
      <c r="FU2">
        <f>IF(Hoja1!241:241,"AAAAAH0P/7A=",0)</f>
        <v>0</v>
      </c>
      <c r="FV2">
        <f>IF(Hoja1!242:242,"AAAAAH0P/7E=",0)</f>
        <v>0</v>
      </c>
      <c r="FW2">
        <f>IF(Hoja1!243:243,"AAAAAH0P/7I=",0)</f>
        <v>0</v>
      </c>
      <c r="FX2">
        <f>IF(Hoja1!244:244,"AAAAAH0P/7M=",0)</f>
        <v>0</v>
      </c>
      <c r="FY2">
        <f>IF(Hoja1!245:245,"AAAAAH0P/7Q=",0)</f>
        <v>0</v>
      </c>
      <c r="FZ2">
        <f>IF(Hoja1!246:246,"AAAAAH0P/7U=",0)</f>
        <v>0</v>
      </c>
      <c r="GA2">
        <f>IF(Hoja1!247:247,"AAAAAH0P/7Y=",0)</f>
        <v>0</v>
      </c>
      <c r="GB2">
        <f>IF(Hoja1!248:248,"AAAAAH0P/7c=",0)</f>
        <v>0</v>
      </c>
      <c r="GC2">
        <f>IF(Hoja1!249:249,"AAAAAH0P/7g=",0)</f>
        <v>0</v>
      </c>
      <c r="GD2">
        <f>IF(Hoja1!250:250,"AAAAAH0P/7k=",0)</f>
        <v>0</v>
      </c>
      <c r="GE2">
        <f>IF(Hoja1!251:251,"AAAAAH0P/7o=",0)</f>
        <v>0</v>
      </c>
      <c r="GF2">
        <f>IF(Hoja1!252:252,"AAAAAH0P/7s=",0)</f>
        <v>0</v>
      </c>
      <c r="GG2">
        <f>IF(Hoja1!253:253,"AAAAAH0P/7w=",0)</f>
        <v>0</v>
      </c>
      <c r="GH2">
        <f>IF(Hoja1!254:254,"AAAAAH0P/70=",0)</f>
        <v>0</v>
      </c>
      <c r="GI2">
        <f>IF(Hoja1!255:255,"AAAAAH0P/74=",0)</f>
        <v>0</v>
      </c>
      <c r="GJ2">
        <f>IF(Hoja1!256:256,"AAAAAH0P/78=",0)</f>
        <v>0</v>
      </c>
      <c r="GK2">
        <f>IF(Hoja1!257:257,"AAAAAH0P/8A=",0)</f>
        <v>0</v>
      </c>
      <c r="GL2">
        <f>IF(Hoja1!258:258,"AAAAAH0P/8E=",0)</f>
        <v>0</v>
      </c>
      <c r="GM2">
        <f>IF(Hoja1!259:259,"AAAAAH0P/8I=",0)</f>
        <v>0</v>
      </c>
      <c r="GN2">
        <f>IF(Hoja1!260:260,"AAAAAH0P/8M=",0)</f>
        <v>0</v>
      </c>
      <c r="GO2">
        <f>IF(Hoja1!261:261,"AAAAAH0P/8Q=",0)</f>
        <v>0</v>
      </c>
      <c r="GP2">
        <f>IF(Hoja1!262:262,"AAAAAH0P/8U=",0)</f>
        <v>0</v>
      </c>
      <c r="GQ2">
        <f>IF(Hoja1!263:263,"AAAAAH0P/8Y=",0)</f>
        <v>0</v>
      </c>
      <c r="GR2">
        <f>IF(Hoja1!264:264,"AAAAAH0P/8c=",0)</f>
        <v>0</v>
      </c>
      <c r="GS2">
        <f>IF(Hoja1!265:265,"AAAAAH0P/8g=",0)</f>
        <v>0</v>
      </c>
      <c r="GT2">
        <f>IF(Hoja1!266:266,"AAAAAH0P/8k=",0)</f>
        <v>0</v>
      </c>
      <c r="GU2">
        <f>IF(Hoja1!267:267,"AAAAAH0P/8o=",0)</f>
        <v>0</v>
      </c>
      <c r="GV2">
        <f>IF(Hoja1!268:268,"AAAAAH0P/8s=",0)</f>
        <v>0</v>
      </c>
      <c r="GW2">
        <f>IF(Hoja1!269:269,"AAAAAH0P/8w=",0)</f>
        <v>0</v>
      </c>
      <c r="GX2">
        <f>IF(Hoja1!270:270,"AAAAAH0P/80=",0)</f>
        <v>0</v>
      </c>
      <c r="GY2">
        <f>IF(Hoja1!271:271,"AAAAAH0P/84=",0)</f>
        <v>0</v>
      </c>
      <c r="GZ2">
        <f>IF(Hoja1!272:272,"AAAAAH0P/88=",0)</f>
        <v>0</v>
      </c>
      <c r="HA2">
        <f>IF(Hoja1!273:273,"AAAAAH0P/9A=",0)</f>
        <v>0</v>
      </c>
      <c r="HB2">
        <f>IF(Hoja1!274:274,"AAAAAH0P/9E=",0)</f>
        <v>0</v>
      </c>
      <c r="HC2">
        <f>IF(Hoja1!275:275,"AAAAAH0P/9I=",0)</f>
        <v>0</v>
      </c>
      <c r="HD2">
        <f>IF(Hoja1!276:276,"AAAAAH0P/9M=",0)</f>
        <v>0</v>
      </c>
      <c r="HE2">
        <f>IF(Hoja1!277:277,"AAAAAH0P/9Q=",0)</f>
        <v>0</v>
      </c>
      <c r="HF2">
        <f>IF(Hoja1!278:278,"AAAAAH0P/9U=",0)</f>
        <v>0</v>
      </c>
      <c r="HG2">
        <f>IF(Hoja1!279:279,"AAAAAH0P/9Y=",0)</f>
        <v>0</v>
      </c>
      <c r="HH2">
        <f>IF(Hoja1!280:280,"AAAAAH0P/9c=",0)</f>
        <v>0</v>
      </c>
      <c r="HI2">
        <f>IF(Hoja1!281:281,"AAAAAH0P/9g=",0)</f>
        <v>0</v>
      </c>
      <c r="HJ2">
        <f>IF(Hoja1!282:282,"AAAAAH0P/9k=",0)</f>
        <v>0</v>
      </c>
      <c r="HK2">
        <f>IF(Hoja1!283:283,"AAAAAH0P/9o=",0)</f>
        <v>0</v>
      </c>
      <c r="HL2">
        <f>IF(Hoja1!284:284,"AAAAAH0P/9s=",0)</f>
        <v>0</v>
      </c>
      <c r="HM2">
        <f>IF(Hoja1!285:285,"AAAAAH0P/9w=",0)</f>
        <v>0</v>
      </c>
      <c r="HN2">
        <f>IF(Hoja1!286:286,"AAAAAH0P/90=",0)</f>
        <v>0</v>
      </c>
      <c r="HO2">
        <f>IF(Hoja1!287:287,"AAAAAH0P/94=",0)</f>
        <v>0</v>
      </c>
      <c r="HP2">
        <f>IF(Hoja1!288:288,"AAAAAH0P/98=",0)</f>
        <v>0</v>
      </c>
      <c r="HQ2">
        <f>IF(Hoja1!289:289,"AAAAAH0P/+A=",0)</f>
        <v>0</v>
      </c>
      <c r="HR2">
        <f>IF(Hoja1!290:290,"AAAAAH0P/+E=",0)</f>
        <v>0</v>
      </c>
      <c r="HS2">
        <f>IF(Hoja1!291:291,"AAAAAH0P/+I=",0)</f>
        <v>0</v>
      </c>
      <c r="HT2">
        <f>IF(Hoja1!292:292,"AAAAAH0P/+M=",0)</f>
        <v>0</v>
      </c>
      <c r="HU2">
        <f>IF(Hoja1!293:293,"AAAAAH0P/+Q=",0)</f>
        <v>0</v>
      </c>
      <c r="HV2">
        <f>IF(Hoja1!294:294,"AAAAAH0P/+U=",0)</f>
        <v>0</v>
      </c>
      <c r="HW2">
        <f>IF(Hoja1!295:295,"AAAAAH0P/+Y=",0)</f>
        <v>0</v>
      </c>
      <c r="HX2">
        <f>IF(Hoja1!296:296,"AAAAAH0P/+c=",0)</f>
        <v>0</v>
      </c>
      <c r="HY2">
        <f>IF(Hoja1!297:297,"AAAAAH0P/+g=",0)</f>
        <v>0</v>
      </c>
      <c r="HZ2">
        <f>IF(Hoja1!298:298,"AAAAAH0P/+k=",0)</f>
        <v>0</v>
      </c>
      <c r="IA2">
        <f>IF(Hoja1!299:299,"AAAAAH0P/+o=",0)</f>
        <v>0</v>
      </c>
      <c r="IB2">
        <f>IF(Hoja1!300:300,"AAAAAH0P/+s=",0)</f>
        <v>0</v>
      </c>
      <c r="IC2">
        <f>IF(Hoja1!301:301,"AAAAAH0P/+w=",0)</f>
        <v>0</v>
      </c>
      <c r="ID2">
        <f>IF(Hoja1!302:302,"AAAAAH0P/+0=",0)</f>
        <v>0</v>
      </c>
      <c r="IE2">
        <f>IF(Hoja1!303:303,"AAAAAH0P/+4=",0)</f>
        <v>0</v>
      </c>
      <c r="IF2">
        <f>IF(Hoja1!304:304,"AAAAAH0P/+8=",0)</f>
        <v>0</v>
      </c>
      <c r="IG2">
        <f>IF(Hoja1!305:305,"AAAAAH0P//A=",0)</f>
        <v>0</v>
      </c>
      <c r="IH2">
        <f>IF(Hoja1!306:306,"AAAAAH0P//E=",0)</f>
        <v>0</v>
      </c>
      <c r="II2">
        <f>IF(Hoja1!307:307,"AAAAAH0P//I=",0)</f>
        <v>0</v>
      </c>
      <c r="IJ2">
        <f>IF(Hoja1!308:308,"AAAAAH0P//M=",0)</f>
        <v>0</v>
      </c>
      <c r="IK2">
        <f>IF(Hoja1!309:309,"AAAAAH0P//Q=",0)</f>
        <v>0</v>
      </c>
      <c r="IL2">
        <f>IF(Hoja1!310:310,"AAAAAH0P//U=",0)</f>
        <v>0</v>
      </c>
      <c r="IM2">
        <f>IF(Hoja1!311:311,"AAAAAH0P//Y=",0)</f>
        <v>0</v>
      </c>
      <c r="IN2">
        <f>IF(Hoja1!312:312,"AAAAAH0P//c=",0)</f>
        <v>0</v>
      </c>
      <c r="IO2">
        <f>IF(Hoja1!313:313,"AAAAAH0P//g=",0)</f>
        <v>0</v>
      </c>
      <c r="IP2">
        <f>IF(Hoja1!314:314,"AAAAAH0P//k=",0)</f>
        <v>0</v>
      </c>
      <c r="IQ2">
        <f>IF(Hoja1!315:315,"AAAAAH0P//o=",0)</f>
        <v>0</v>
      </c>
      <c r="IR2">
        <f>IF(Hoja1!316:316,"AAAAAH0P//s=",0)</f>
        <v>0</v>
      </c>
      <c r="IS2">
        <f>IF(Hoja1!317:317,"AAAAAH0P//w=",0)</f>
        <v>0</v>
      </c>
      <c r="IT2">
        <f>IF(Hoja1!318:318,"AAAAAH0P//0=",0)</f>
        <v>0</v>
      </c>
      <c r="IU2">
        <f>IF(Hoja1!319:319,"AAAAAH0P//4=",0)</f>
        <v>0</v>
      </c>
      <c r="IV2">
        <f>IF(Hoja1!320:320,"AAAAAH0P//8=",0)</f>
        <v>0</v>
      </c>
    </row>
    <row r="3" spans="1:256" x14ac:dyDescent="0.2">
      <c r="A3">
        <f>IF(Hoja1!321:321,"AAAAAH7+/wA=",0)</f>
        <v>0</v>
      </c>
      <c r="B3">
        <f>IF(Hoja1!322:322,"AAAAAH7+/wE=",0)</f>
        <v>0</v>
      </c>
      <c r="C3">
        <f>IF(Hoja1!323:323,"AAAAAH7+/wI=",0)</f>
        <v>0</v>
      </c>
      <c r="D3">
        <f>IF(Hoja1!324:324,"AAAAAH7+/wM=",0)</f>
        <v>0</v>
      </c>
      <c r="E3">
        <f>IF(Hoja1!325:325,"AAAAAH7+/wQ=",0)</f>
        <v>0</v>
      </c>
      <c r="F3">
        <f>IF(Hoja1!326:326,"AAAAAH7+/wU=",0)</f>
        <v>0</v>
      </c>
      <c r="G3">
        <f>IF(Hoja1!327:327,"AAAAAH7+/wY=",0)</f>
        <v>0</v>
      </c>
      <c r="H3">
        <f>IF(Hoja1!328:328,"AAAAAH7+/wc=",0)</f>
        <v>0</v>
      </c>
      <c r="I3">
        <f>IF(Hoja1!329:329,"AAAAAH7+/wg=",0)</f>
        <v>0</v>
      </c>
      <c r="J3">
        <f>IF(Hoja1!330:330,"AAAAAH7+/wk=",0)</f>
        <v>0</v>
      </c>
      <c r="K3">
        <f>IF(Hoja1!331:331,"AAAAAH7+/wo=",0)</f>
        <v>0</v>
      </c>
      <c r="L3">
        <f>IF(Hoja1!332:332,"AAAAAH7+/ws=",0)</f>
        <v>0</v>
      </c>
      <c r="M3">
        <f>IF(Hoja1!333:333,"AAAAAH7+/ww=",0)</f>
        <v>0</v>
      </c>
      <c r="N3">
        <f>IF(Hoja1!334:334,"AAAAAH7+/w0=",0)</f>
        <v>0</v>
      </c>
      <c r="O3">
        <f>IF(Hoja1!335:335,"AAAAAH7+/w4=",0)</f>
        <v>0</v>
      </c>
      <c r="P3">
        <f>IF(Hoja1!336:336,"AAAAAH7+/w8=",0)</f>
        <v>0</v>
      </c>
      <c r="Q3">
        <f>IF(Hoja1!337:337,"AAAAAH7+/xA=",0)</f>
        <v>0</v>
      </c>
      <c r="R3">
        <f>IF(Hoja1!338:338,"AAAAAH7+/xE=",0)</f>
        <v>0</v>
      </c>
      <c r="S3">
        <f>IF(Hoja1!339:339,"AAAAAH7+/xI=",0)</f>
        <v>0</v>
      </c>
      <c r="T3">
        <f>IF(Hoja1!340:340,"AAAAAH7+/xM=",0)</f>
        <v>0</v>
      </c>
      <c r="U3">
        <f>IF(Hoja1!341:341,"AAAAAH7+/xQ=",0)</f>
        <v>0</v>
      </c>
      <c r="V3">
        <f>IF(Hoja1!342:342,"AAAAAH7+/xU=",0)</f>
        <v>0</v>
      </c>
      <c r="W3">
        <f>IF(Hoja1!343:343,"AAAAAH7+/xY=",0)</f>
        <v>0</v>
      </c>
      <c r="X3">
        <f>IF(Hoja1!344:344,"AAAAAH7+/xc=",0)</f>
        <v>0</v>
      </c>
      <c r="Y3">
        <f>IF(Hoja1!345:345,"AAAAAH7+/xg=",0)</f>
        <v>0</v>
      </c>
      <c r="Z3">
        <f>IF(Hoja1!346:346,"AAAAAH7+/xk=",0)</f>
        <v>0</v>
      </c>
      <c r="AA3">
        <f>IF(Hoja1!347:347,"AAAAAH7+/xo=",0)</f>
        <v>0</v>
      </c>
      <c r="AB3">
        <f>IF(Hoja1!348:348,"AAAAAH7+/xs=",0)</f>
        <v>0</v>
      </c>
      <c r="AC3">
        <f>IF(Hoja1!349:349,"AAAAAH7+/xw=",0)</f>
        <v>0</v>
      </c>
      <c r="AD3">
        <f>IF(Hoja1!350:350,"AAAAAH7+/x0=",0)</f>
        <v>0</v>
      </c>
      <c r="AE3">
        <f>IF(Hoja1!351:351,"AAAAAH7+/x4=",0)</f>
        <v>0</v>
      </c>
      <c r="AF3">
        <f>IF(Hoja1!352:352,"AAAAAH7+/x8=",0)</f>
        <v>0</v>
      </c>
      <c r="AG3">
        <f>IF(Hoja1!353:353,"AAAAAH7+/yA=",0)</f>
        <v>0</v>
      </c>
      <c r="AH3">
        <f>IF(Hoja1!354:354,"AAAAAH7+/yE=",0)</f>
        <v>0</v>
      </c>
      <c r="AI3">
        <f>IF(Hoja1!355:355,"AAAAAH7+/yI=",0)</f>
        <v>0</v>
      </c>
      <c r="AJ3">
        <f>IF(Hoja1!356:356,"AAAAAH7+/yM=",0)</f>
        <v>0</v>
      </c>
      <c r="AK3">
        <f>IF(Hoja1!357:357,"AAAAAH7+/yQ=",0)</f>
        <v>0</v>
      </c>
      <c r="AL3">
        <f>IF(Hoja1!358:358,"AAAAAH7+/yU=",0)</f>
        <v>0</v>
      </c>
      <c r="AM3">
        <f>IF(Hoja1!359:359,"AAAAAH7+/yY=",0)</f>
        <v>0</v>
      </c>
      <c r="AN3">
        <f>IF(Hoja1!360:360,"AAAAAH7+/yc=",0)</f>
        <v>0</v>
      </c>
      <c r="AO3">
        <f>IF(Hoja1!361:361,"AAAAAH7+/yg=",0)</f>
        <v>0</v>
      </c>
      <c r="AP3">
        <f>IF(Hoja1!362:362,"AAAAAH7+/yk=",0)</f>
        <v>0</v>
      </c>
      <c r="AQ3">
        <f>IF(Hoja1!363:363,"AAAAAH7+/yo=",0)</f>
        <v>0</v>
      </c>
      <c r="AR3">
        <f>IF(Hoja1!364:364,"AAAAAH7+/ys=",0)</f>
        <v>0</v>
      </c>
      <c r="AS3">
        <f>IF(Hoja1!365:365,"AAAAAH7+/yw=",0)</f>
        <v>0</v>
      </c>
      <c r="AT3">
        <f>IF(Hoja1!366:366,"AAAAAH7+/y0=",0)</f>
        <v>0</v>
      </c>
      <c r="AU3">
        <f>IF(Hoja1!367:367,"AAAAAH7+/y4=",0)</f>
        <v>0</v>
      </c>
      <c r="AV3">
        <f>IF(Hoja1!368:368,"AAAAAH7+/y8=",0)</f>
        <v>0</v>
      </c>
      <c r="AW3">
        <f>IF(Hoja1!369:369,"AAAAAH7+/zA=",0)</f>
        <v>0</v>
      </c>
      <c r="AX3">
        <f>IF(Hoja1!370:370,"AAAAAH7+/zE=",0)</f>
        <v>0</v>
      </c>
      <c r="AY3">
        <f>IF(Hoja1!371:371,"AAAAAH7+/zI=",0)</f>
        <v>0</v>
      </c>
      <c r="AZ3">
        <f>IF(Hoja1!372:372,"AAAAAH7+/zM=",0)</f>
        <v>0</v>
      </c>
      <c r="BA3">
        <f>IF(Hoja1!373:373,"AAAAAH7+/zQ=",0)</f>
        <v>0</v>
      </c>
      <c r="BB3">
        <f>IF(Hoja1!374:374,"AAAAAH7+/zU=",0)</f>
        <v>0</v>
      </c>
      <c r="BC3">
        <f>IF(Hoja1!375:375,"AAAAAH7+/zY=",0)</f>
        <v>0</v>
      </c>
      <c r="BD3">
        <f>IF(Hoja1!376:376,"AAAAAH7+/zc=",0)</f>
        <v>0</v>
      </c>
      <c r="BE3">
        <f>IF(Hoja1!377:377,"AAAAAH7+/zg=",0)</f>
        <v>0</v>
      </c>
      <c r="BF3">
        <f>IF(Hoja1!378:378,"AAAAAH7+/zk=",0)</f>
        <v>0</v>
      </c>
      <c r="BG3">
        <f>IF(Hoja1!379:379,"AAAAAH7+/zo=",0)</f>
        <v>0</v>
      </c>
      <c r="BH3">
        <f>IF(Hoja1!380:380,"AAAAAH7+/zs=",0)</f>
        <v>0</v>
      </c>
      <c r="BI3">
        <f>IF(Hoja1!381:381,"AAAAAH7+/zw=",0)</f>
        <v>0</v>
      </c>
      <c r="BJ3">
        <f>IF(Hoja1!382:382,"AAAAAH7+/z0=",0)</f>
        <v>0</v>
      </c>
      <c r="BK3">
        <f>IF(Hoja1!383:383,"AAAAAH7+/z4=",0)</f>
        <v>0</v>
      </c>
      <c r="BL3">
        <f>IF(Hoja1!384:384,"AAAAAH7+/z8=",0)</f>
        <v>0</v>
      </c>
      <c r="BM3">
        <f>IF(Hoja1!385:385,"AAAAAH7+/0A=",0)</f>
        <v>0</v>
      </c>
      <c r="BN3">
        <f>IF(Hoja1!386:386,"AAAAAH7+/0E=",0)</f>
        <v>0</v>
      </c>
      <c r="BO3">
        <f>IF(Hoja1!387:387,"AAAAAH7+/0I=",0)</f>
        <v>0</v>
      </c>
      <c r="BP3">
        <f>IF(Hoja1!388:388,"AAAAAH7+/0M=",0)</f>
        <v>0</v>
      </c>
      <c r="BQ3">
        <f>IF(Hoja1!389:389,"AAAAAH7+/0Q=",0)</f>
        <v>0</v>
      </c>
      <c r="BR3">
        <f>IF(Hoja1!390:390,"AAAAAH7+/0U=",0)</f>
        <v>0</v>
      </c>
      <c r="BS3">
        <f>IF(Hoja1!391:391,"AAAAAH7+/0Y=",0)</f>
        <v>0</v>
      </c>
      <c r="BT3">
        <f>IF(Hoja1!392:392,"AAAAAH7+/0c=",0)</f>
        <v>0</v>
      </c>
      <c r="BU3">
        <f>IF(Hoja1!393:393,"AAAAAH7+/0g=",0)</f>
        <v>0</v>
      </c>
      <c r="BV3">
        <f>IF(Hoja1!394:394,"AAAAAH7+/0k=",0)</f>
        <v>0</v>
      </c>
      <c r="BW3">
        <f>IF(Hoja1!395:395,"AAAAAH7+/0o=",0)</f>
        <v>0</v>
      </c>
      <c r="BX3">
        <f>IF(Hoja1!396:396,"AAAAAH7+/0s=",0)</f>
        <v>0</v>
      </c>
      <c r="BY3">
        <f>IF(Hoja1!397:397,"AAAAAH7+/0w=",0)</f>
        <v>0</v>
      </c>
      <c r="BZ3">
        <f>IF(Hoja1!398:398,"AAAAAH7+/00=",0)</f>
        <v>0</v>
      </c>
      <c r="CA3">
        <f>IF(Hoja1!399:399,"AAAAAH7+/04=",0)</f>
        <v>0</v>
      </c>
      <c r="CB3">
        <f>IF(Hoja1!400:400,"AAAAAH7+/08=",0)</f>
        <v>0</v>
      </c>
      <c r="CC3">
        <f>IF(Hoja1!401:401,"AAAAAH7+/1A=",0)</f>
        <v>0</v>
      </c>
      <c r="CD3">
        <f>IF(Hoja1!402:402,"AAAAAH7+/1E=",0)</f>
        <v>0</v>
      </c>
      <c r="CE3">
        <f>IF(Hoja1!403:403,"AAAAAH7+/1I=",0)</f>
        <v>0</v>
      </c>
      <c r="CF3">
        <f>IF(Hoja1!404:404,"AAAAAH7+/1M=",0)</f>
        <v>0</v>
      </c>
      <c r="CG3">
        <f>IF(Hoja1!405:405,"AAAAAH7+/1Q=",0)</f>
        <v>0</v>
      </c>
      <c r="CH3">
        <f>IF(Hoja1!406:406,"AAAAAH7+/1U=",0)</f>
        <v>0</v>
      </c>
      <c r="CI3">
        <f>IF(Hoja1!407:407,"AAAAAH7+/1Y=",0)</f>
        <v>0</v>
      </c>
      <c r="CJ3">
        <f>IF(Hoja1!408:408,"AAAAAH7+/1c=",0)</f>
        <v>0</v>
      </c>
      <c r="CK3">
        <f>IF(Hoja1!409:409,"AAAAAH7+/1g=",0)</f>
        <v>0</v>
      </c>
      <c r="CL3">
        <f>IF(Hoja1!410:410,"AAAAAH7+/1k=",0)</f>
        <v>0</v>
      </c>
      <c r="CM3">
        <f>IF(Hoja1!411:411,"AAAAAH7+/1o=",0)</f>
        <v>0</v>
      </c>
      <c r="CN3">
        <f>IF(Hoja1!412:412,"AAAAAH7+/1s=",0)</f>
        <v>0</v>
      </c>
      <c r="CO3">
        <f>IF(Hoja1!413:413,"AAAAAH7+/1w=",0)</f>
        <v>0</v>
      </c>
      <c r="CP3">
        <f>IF(Hoja1!414:414,"AAAAAH7+/10=",0)</f>
        <v>0</v>
      </c>
      <c r="CQ3">
        <f>IF(Hoja1!415:415,"AAAAAH7+/14=",0)</f>
        <v>0</v>
      </c>
      <c r="CR3">
        <f>IF(Hoja1!416:416,"AAAAAH7+/18=",0)</f>
        <v>0</v>
      </c>
      <c r="CS3">
        <f>IF(Hoja1!417:417,"AAAAAH7+/2A=",0)</f>
        <v>0</v>
      </c>
      <c r="CT3">
        <f>IF(Hoja1!418:418,"AAAAAH7+/2E=",0)</f>
        <v>0</v>
      </c>
      <c r="CU3">
        <f>IF(Hoja1!419:419,"AAAAAH7+/2I=",0)</f>
        <v>0</v>
      </c>
      <c r="CV3">
        <f>IF(Hoja1!420:420,"AAAAAH7+/2M=",0)</f>
        <v>0</v>
      </c>
      <c r="CW3">
        <f>IF(Hoja1!421:421,"AAAAAH7+/2Q=",0)</f>
        <v>0</v>
      </c>
      <c r="CX3">
        <f>IF(Hoja1!422:422,"AAAAAH7+/2U=",0)</f>
        <v>0</v>
      </c>
      <c r="CY3">
        <f>IF(Hoja1!423:423,"AAAAAH7+/2Y=",0)</f>
        <v>0</v>
      </c>
      <c r="CZ3">
        <f>IF(Hoja1!424:424,"AAAAAH7+/2c=",0)</f>
        <v>0</v>
      </c>
      <c r="DA3">
        <f>IF(Hoja1!425:425,"AAAAAH7+/2g=",0)</f>
        <v>0</v>
      </c>
      <c r="DB3">
        <f>IF(Hoja1!426:426,"AAAAAH7+/2k=",0)</f>
        <v>0</v>
      </c>
      <c r="DC3">
        <f>IF(Hoja1!427:427,"AAAAAH7+/2o=",0)</f>
        <v>0</v>
      </c>
      <c r="DD3">
        <f>IF(Hoja1!428:428,"AAAAAH7+/2s=",0)</f>
        <v>0</v>
      </c>
      <c r="DE3">
        <f>IF(Hoja1!429:429,"AAAAAH7+/2w=",0)</f>
        <v>0</v>
      </c>
      <c r="DF3">
        <f>IF(Hoja1!430:430,"AAAAAH7+/20=",0)</f>
        <v>0</v>
      </c>
      <c r="DG3">
        <f>IF(Hoja1!431:431,"AAAAAH7+/24=",0)</f>
        <v>0</v>
      </c>
      <c r="DH3">
        <f>IF(Hoja1!432:432,"AAAAAH7+/28=",0)</f>
        <v>0</v>
      </c>
      <c r="DI3">
        <f>IF(Hoja1!433:433,"AAAAAH7+/3A=",0)</f>
        <v>0</v>
      </c>
      <c r="DJ3">
        <f>IF(Hoja1!434:434,"AAAAAH7+/3E=",0)</f>
        <v>0</v>
      </c>
      <c r="DK3">
        <f>IF(Hoja1!435:435,"AAAAAH7+/3I=",0)</f>
        <v>0</v>
      </c>
      <c r="DL3">
        <f>IF(Hoja1!436:436,"AAAAAH7+/3M=",0)</f>
        <v>0</v>
      </c>
      <c r="DM3">
        <f>IF(Hoja1!437:437,"AAAAAH7+/3Q=",0)</f>
        <v>0</v>
      </c>
      <c r="DN3">
        <f>IF(Hoja1!438:438,"AAAAAH7+/3U=",0)</f>
        <v>0</v>
      </c>
      <c r="DO3">
        <f>IF(Hoja1!439:439,"AAAAAH7+/3Y=",0)</f>
        <v>0</v>
      </c>
      <c r="DP3">
        <f>IF(Hoja1!440:440,"AAAAAH7+/3c=",0)</f>
        <v>0</v>
      </c>
      <c r="DQ3">
        <f>IF(Hoja1!441:441,"AAAAAH7+/3g=",0)</f>
        <v>0</v>
      </c>
      <c r="DR3">
        <f>IF(Hoja1!442:442,"AAAAAH7+/3k=",0)</f>
        <v>0</v>
      </c>
      <c r="DS3">
        <f>IF(Hoja1!443:443,"AAAAAH7+/3o=",0)</f>
        <v>0</v>
      </c>
      <c r="DT3">
        <f>IF(Hoja1!444:444,"AAAAAH7+/3s=",0)</f>
        <v>0</v>
      </c>
      <c r="DU3">
        <f>IF(Hoja1!445:445,"AAAAAH7+/3w=",0)</f>
        <v>0</v>
      </c>
      <c r="DV3">
        <f>IF(Hoja1!446:446,"AAAAAH7+/30=",0)</f>
        <v>0</v>
      </c>
      <c r="DW3">
        <f>IF(Hoja1!447:447,"AAAAAH7+/34=",0)</f>
        <v>0</v>
      </c>
      <c r="DX3">
        <f>IF(Hoja1!448:448,"AAAAAH7+/38=",0)</f>
        <v>0</v>
      </c>
      <c r="DY3">
        <f>IF(Hoja1!449:449,"AAAAAH7+/4A=",0)</f>
        <v>0</v>
      </c>
      <c r="DZ3">
        <f>IF(Hoja1!450:450,"AAAAAH7+/4E=",0)</f>
        <v>0</v>
      </c>
      <c r="EA3">
        <f>IF(Hoja1!451:451,"AAAAAH7+/4I=",0)</f>
        <v>0</v>
      </c>
      <c r="EB3">
        <f>IF(Hoja1!452:452,"AAAAAH7+/4M=",0)</f>
        <v>0</v>
      </c>
      <c r="EC3">
        <f>IF(Hoja1!453:453,"AAAAAH7+/4Q=",0)</f>
        <v>0</v>
      </c>
      <c r="ED3">
        <f>IF(Hoja1!454:454,"AAAAAH7+/4U=",0)</f>
        <v>0</v>
      </c>
      <c r="EE3">
        <f>IF(Hoja1!455:455,"AAAAAH7+/4Y=",0)</f>
        <v>0</v>
      </c>
      <c r="EF3">
        <f>IF(Hoja1!456:456,"AAAAAH7+/4c=",0)</f>
        <v>0</v>
      </c>
      <c r="EG3">
        <f>IF(Hoja1!457:457,"AAAAAH7+/4g=",0)</f>
        <v>0</v>
      </c>
      <c r="EH3">
        <f>IF(Hoja1!458:458,"AAAAAH7+/4k=",0)</f>
        <v>0</v>
      </c>
      <c r="EI3">
        <f>IF(Hoja1!459:459,"AAAAAH7+/4o=",0)</f>
        <v>0</v>
      </c>
      <c r="EJ3">
        <f>IF(Hoja1!460:460,"AAAAAH7+/4s=",0)</f>
        <v>0</v>
      </c>
      <c r="EK3">
        <f>IF(Hoja1!461:461,"AAAAAH7+/4w=",0)</f>
        <v>0</v>
      </c>
      <c r="EL3">
        <f>IF(Hoja1!462:462,"AAAAAH7+/40=",0)</f>
        <v>0</v>
      </c>
      <c r="EM3">
        <f>IF(Hoja1!463:463,"AAAAAH7+/44=",0)</f>
        <v>0</v>
      </c>
      <c r="EN3">
        <f>IF(Hoja1!464:464,"AAAAAH7+/48=",0)</f>
        <v>0</v>
      </c>
      <c r="EO3">
        <f>IF(Hoja1!465:465,"AAAAAH7+/5A=",0)</f>
        <v>0</v>
      </c>
      <c r="EP3">
        <f>IF(Hoja1!466:466,"AAAAAH7+/5E=",0)</f>
        <v>0</v>
      </c>
      <c r="EQ3">
        <f>IF(Hoja1!467:467,"AAAAAH7+/5I=",0)</f>
        <v>0</v>
      </c>
      <c r="ER3">
        <f>IF(Hoja1!468:468,"AAAAAH7+/5M=",0)</f>
        <v>0</v>
      </c>
      <c r="ES3">
        <f>IF(Hoja1!469:469,"AAAAAH7+/5Q=",0)</f>
        <v>0</v>
      </c>
      <c r="ET3">
        <f>IF(Hoja1!470:470,"AAAAAH7+/5U=",0)</f>
        <v>0</v>
      </c>
      <c r="EU3">
        <f>IF(Hoja1!471:471,"AAAAAH7+/5Y=",0)</f>
        <v>0</v>
      </c>
      <c r="EV3">
        <f>IF(Hoja1!472:472,"AAAAAH7+/5c=",0)</f>
        <v>0</v>
      </c>
      <c r="EW3">
        <f>IF(Hoja1!473:473,"AAAAAH7+/5g=",0)</f>
        <v>0</v>
      </c>
      <c r="EX3">
        <f>IF(Hoja1!474:474,"AAAAAH7+/5k=",0)</f>
        <v>0</v>
      </c>
      <c r="EY3">
        <f>IF(Hoja1!475:475,"AAAAAH7+/5o=",0)</f>
        <v>0</v>
      </c>
      <c r="EZ3">
        <f>IF(Hoja1!476:476,"AAAAAH7+/5s=",0)</f>
        <v>0</v>
      </c>
      <c r="FA3">
        <f>IF(Hoja1!477:477,"AAAAAH7+/5w=",0)</f>
        <v>0</v>
      </c>
      <c r="FB3">
        <f>IF(Hoja1!478:478,"AAAAAH7+/50=",0)</f>
        <v>0</v>
      </c>
      <c r="FC3">
        <f>IF(Hoja1!479:479,"AAAAAH7+/54=",0)</f>
        <v>0</v>
      </c>
      <c r="FD3">
        <f>IF(Hoja1!480:480,"AAAAAH7+/58=",0)</f>
        <v>0</v>
      </c>
      <c r="FE3">
        <f>IF(Hoja1!481:481,"AAAAAH7+/6A=",0)</f>
        <v>0</v>
      </c>
      <c r="FF3">
        <f>IF(Hoja1!482:482,"AAAAAH7+/6E=",0)</f>
        <v>0</v>
      </c>
      <c r="FG3">
        <f>IF(Hoja1!483:483,"AAAAAH7+/6I=",0)</f>
        <v>0</v>
      </c>
      <c r="FH3">
        <f>IF(Hoja1!484:484,"AAAAAH7+/6M=",0)</f>
        <v>0</v>
      </c>
      <c r="FI3">
        <f>IF(Hoja1!485:485,"AAAAAH7+/6Q=",0)</f>
        <v>0</v>
      </c>
      <c r="FJ3">
        <f>IF(Hoja1!486:486,"AAAAAH7+/6U=",0)</f>
        <v>0</v>
      </c>
      <c r="FK3">
        <f>IF(Hoja1!487:487,"AAAAAH7+/6Y=",0)</f>
        <v>0</v>
      </c>
      <c r="FL3">
        <f>IF(Hoja1!488:488,"AAAAAH7+/6c=",0)</f>
        <v>0</v>
      </c>
      <c r="FM3">
        <f>IF(Hoja1!489:489,"AAAAAH7+/6g=",0)</f>
        <v>0</v>
      </c>
      <c r="FN3">
        <f>IF(Hoja1!490:490,"AAAAAH7+/6k=",0)</f>
        <v>0</v>
      </c>
      <c r="FO3">
        <f>IF(Hoja1!491:491,"AAAAAH7+/6o=",0)</f>
        <v>0</v>
      </c>
      <c r="FP3">
        <f>IF(Hoja1!492:492,"AAAAAH7+/6s=",0)</f>
        <v>0</v>
      </c>
      <c r="FQ3">
        <f>IF(Hoja1!493:493,"AAAAAH7+/6w=",0)</f>
        <v>0</v>
      </c>
      <c r="FR3">
        <f>IF(Hoja1!494:494,"AAAAAH7+/60=",0)</f>
        <v>0</v>
      </c>
      <c r="FS3">
        <f>IF(Hoja1!495:495,"AAAAAH7+/64=",0)</f>
        <v>0</v>
      </c>
      <c r="FT3">
        <f>IF(Hoja1!496:496,"AAAAAH7+/68=",0)</f>
        <v>0</v>
      </c>
      <c r="FU3">
        <f>IF(Hoja1!497:497,"AAAAAH7+/7A=",0)</f>
        <v>0</v>
      </c>
      <c r="FV3">
        <f>IF(Hoja1!498:498,"AAAAAH7+/7E=",0)</f>
        <v>0</v>
      </c>
      <c r="FW3">
        <f>IF(Hoja1!499:499,"AAAAAH7+/7I=",0)</f>
        <v>0</v>
      </c>
      <c r="FX3">
        <f>IF(Hoja1!500:500,"AAAAAH7+/7M=",0)</f>
        <v>0</v>
      </c>
      <c r="FY3">
        <f>IF(Hoja1!501:501,"AAAAAH7+/7Q=",0)</f>
        <v>0</v>
      </c>
      <c r="FZ3">
        <f>IF(Hoja1!502:502,"AAAAAH7+/7U=",0)</f>
        <v>0</v>
      </c>
      <c r="GA3">
        <f>IF(Hoja1!503:503,"AAAAAH7+/7Y=",0)</f>
        <v>0</v>
      </c>
      <c r="GB3">
        <f>IF(Hoja1!504:504,"AAAAAH7+/7c=",0)</f>
        <v>0</v>
      </c>
      <c r="GC3">
        <f>IF(Hoja1!505:505,"AAAAAH7+/7g=",0)</f>
        <v>0</v>
      </c>
      <c r="GD3">
        <f>IF(Hoja1!506:506,"AAAAAH7+/7k=",0)</f>
        <v>0</v>
      </c>
      <c r="GE3">
        <f>IF(Hoja1!507:507,"AAAAAH7+/7o=",0)</f>
        <v>0</v>
      </c>
      <c r="GF3">
        <f>IF(Hoja1!508:508,"AAAAAH7+/7s=",0)</f>
        <v>0</v>
      </c>
      <c r="GG3">
        <f>IF(Hoja1!509:509,"AAAAAH7+/7w=",0)</f>
        <v>0</v>
      </c>
      <c r="GH3">
        <f>IF(Hoja1!510:510,"AAAAAH7+/70=",0)</f>
        <v>0</v>
      </c>
      <c r="GI3">
        <f>IF(Hoja1!511:511,"AAAAAH7+/74=",0)</f>
        <v>0</v>
      </c>
      <c r="GJ3">
        <f>IF(Hoja1!512:512,"AAAAAH7+/78=",0)</f>
        <v>0</v>
      </c>
      <c r="GK3">
        <f>IF(Hoja1!513:513,"AAAAAH7+/8A=",0)</f>
        <v>0</v>
      </c>
      <c r="GL3">
        <f>IF(Hoja1!514:514,"AAAAAH7+/8E=",0)</f>
        <v>0</v>
      </c>
      <c r="GM3">
        <f>IF(Hoja1!515:515,"AAAAAH7+/8I=",0)</f>
        <v>0</v>
      </c>
      <c r="GN3">
        <f>IF(Hoja1!516:516,"AAAAAH7+/8M=",0)</f>
        <v>0</v>
      </c>
      <c r="GO3">
        <f>IF(Hoja1!517:517,"AAAAAH7+/8Q=",0)</f>
        <v>0</v>
      </c>
      <c r="GP3">
        <f>IF(Hoja1!518:518,"AAAAAH7+/8U=",0)</f>
        <v>0</v>
      </c>
      <c r="GQ3">
        <f>IF(Hoja1!519:519,"AAAAAH7+/8Y=",0)</f>
        <v>0</v>
      </c>
      <c r="GR3">
        <f>IF(Hoja1!520:520,"AAAAAH7+/8c=",0)</f>
        <v>0</v>
      </c>
      <c r="GS3">
        <f>IF(Hoja1!521:521,"AAAAAH7+/8g=",0)</f>
        <v>0</v>
      </c>
      <c r="GT3">
        <f>IF(Hoja1!522:522,"AAAAAH7+/8k=",0)</f>
        <v>0</v>
      </c>
      <c r="GU3">
        <f>IF(Hoja1!523:523,"AAAAAH7+/8o=",0)</f>
        <v>0</v>
      </c>
      <c r="GV3">
        <f>IF(Hoja1!524:524,"AAAAAH7+/8s=",0)</f>
        <v>0</v>
      </c>
      <c r="GW3">
        <f>IF(Hoja1!525:525,"AAAAAH7+/8w=",0)</f>
        <v>0</v>
      </c>
      <c r="GX3">
        <f>IF(Hoja1!526:526,"AAAAAH7+/80=",0)</f>
        <v>0</v>
      </c>
      <c r="GY3">
        <f>IF(Hoja1!527:527,"AAAAAH7+/84=",0)</f>
        <v>0</v>
      </c>
      <c r="GZ3">
        <f>IF(Hoja1!528:528,"AAAAAH7+/88=",0)</f>
        <v>0</v>
      </c>
      <c r="HA3">
        <f>IF(Hoja1!529:529,"AAAAAH7+/9A=",0)</f>
        <v>0</v>
      </c>
      <c r="HB3">
        <f>IF(Hoja1!530:530,"AAAAAH7+/9E=",0)</f>
        <v>0</v>
      </c>
      <c r="HC3">
        <f>IF(Hoja1!531:531,"AAAAAH7+/9I=",0)</f>
        <v>0</v>
      </c>
      <c r="HD3">
        <f>IF(Hoja1!532:532,"AAAAAH7+/9M=",0)</f>
        <v>0</v>
      </c>
      <c r="HE3">
        <f>IF(Hoja1!533:533,"AAAAAH7+/9Q=",0)</f>
        <v>0</v>
      </c>
      <c r="HF3">
        <f>IF(Hoja1!534:534,"AAAAAH7+/9U=",0)</f>
        <v>0</v>
      </c>
      <c r="HG3">
        <f>IF(Hoja1!535:535,"AAAAAH7+/9Y=",0)</f>
        <v>0</v>
      </c>
      <c r="HH3">
        <f>IF(Hoja1!536:536,"AAAAAH7+/9c=",0)</f>
        <v>0</v>
      </c>
      <c r="HI3">
        <f>IF(Hoja1!537:537,"AAAAAH7+/9g=",0)</f>
        <v>0</v>
      </c>
      <c r="HJ3">
        <f>IF(Hoja1!538:538,"AAAAAH7+/9k=",0)</f>
        <v>0</v>
      </c>
      <c r="HK3">
        <f>IF(Hoja1!539:539,"AAAAAH7+/9o=",0)</f>
        <v>0</v>
      </c>
      <c r="HL3">
        <f>IF(Hoja1!540:540,"AAAAAH7+/9s=",0)</f>
        <v>0</v>
      </c>
      <c r="HM3">
        <f>IF(Hoja1!541:541,"AAAAAH7+/9w=",0)</f>
        <v>0</v>
      </c>
      <c r="HN3">
        <f>IF(Hoja1!542:542,"AAAAAH7+/90=",0)</f>
        <v>0</v>
      </c>
      <c r="HO3">
        <f>IF(Hoja1!543:543,"AAAAAH7+/94=",0)</f>
        <v>0</v>
      </c>
      <c r="HP3">
        <f>IF(Hoja1!544:544,"AAAAAH7+/98=",0)</f>
        <v>0</v>
      </c>
      <c r="HQ3">
        <f>IF(Hoja1!545:545,"AAAAAH7+/+A=",0)</f>
        <v>0</v>
      </c>
      <c r="HR3">
        <f>IF(Hoja1!546:546,"AAAAAH7+/+E=",0)</f>
        <v>0</v>
      </c>
      <c r="HS3">
        <f>IF(Hoja1!547:547,"AAAAAH7+/+I=",0)</f>
        <v>0</v>
      </c>
      <c r="HT3">
        <f>IF(Hoja1!548:548,"AAAAAH7+/+M=",0)</f>
        <v>0</v>
      </c>
      <c r="HU3">
        <f>IF(Hoja1!549:549,"AAAAAH7+/+Q=",0)</f>
        <v>0</v>
      </c>
      <c r="HV3">
        <f>IF(Hoja1!550:550,"AAAAAH7+/+U=",0)</f>
        <v>0</v>
      </c>
      <c r="HW3">
        <f>IF(Hoja1!551:551,"AAAAAH7+/+Y=",0)</f>
        <v>0</v>
      </c>
      <c r="HX3">
        <f>IF(Hoja1!552:552,"AAAAAH7+/+c=",0)</f>
        <v>0</v>
      </c>
      <c r="HY3">
        <f>IF(Hoja1!553:553,"AAAAAH7+/+g=",0)</f>
        <v>0</v>
      </c>
      <c r="HZ3">
        <f>IF(Hoja1!554:554,"AAAAAH7+/+k=",0)</f>
        <v>0</v>
      </c>
      <c r="IA3">
        <f>IF(Hoja1!555:555,"AAAAAH7+/+o=",0)</f>
        <v>0</v>
      </c>
      <c r="IB3">
        <f>IF(Hoja1!556:556,"AAAAAH7+/+s=",0)</f>
        <v>0</v>
      </c>
      <c r="IC3">
        <f>IF(Hoja1!557:557,"AAAAAH7+/+w=",0)</f>
        <v>0</v>
      </c>
      <c r="ID3">
        <f>IF(Hoja1!558:558,"AAAAAH7+/+0=",0)</f>
        <v>0</v>
      </c>
      <c r="IE3">
        <f>IF(Hoja1!559:559,"AAAAAH7+/+4=",0)</f>
        <v>0</v>
      </c>
      <c r="IF3">
        <f>IF(Hoja1!560:560,"AAAAAH7+/+8=",0)</f>
        <v>0</v>
      </c>
      <c r="IG3">
        <f>IF(Hoja1!561:561,"AAAAAH7+//A=",0)</f>
        <v>0</v>
      </c>
      <c r="IH3">
        <f>IF(Hoja1!562:562,"AAAAAH7+//E=",0)</f>
        <v>0</v>
      </c>
      <c r="II3">
        <f>IF(Hoja1!563:563,"AAAAAH7+//I=",0)</f>
        <v>0</v>
      </c>
      <c r="IJ3">
        <f>IF(Hoja1!564:564,"AAAAAH7+//M=",0)</f>
        <v>0</v>
      </c>
      <c r="IK3">
        <f>IF(Hoja1!565:565,"AAAAAH7+//Q=",0)</f>
        <v>0</v>
      </c>
      <c r="IL3">
        <f>IF(Hoja1!566:566,"AAAAAH7+//U=",0)</f>
        <v>0</v>
      </c>
      <c r="IM3">
        <f>IF(Hoja1!567:567,"AAAAAH7+//Y=",0)</f>
        <v>0</v>
      </c>
      <c r="IN3">
        <f>IF(Hoja1!568:568,"AAAAAH7+//c=",0)</f>
        <v>0</v>
      </c>
      <c r="IO3">
        <f>IF(Hoja1!569:569,"AAAAAH7+//g=",0)</f>
        <v>0</v>
      </c>
      <c r="IP3">
        <f>IF(Hoja1!570:570,"AAAAAH7+//k=",0)</f>
        <v>0</v>
      </c>
      <c r="IQ3">
        <f>IF(Hoja1!571:571,"AAAAAH7+//o=",0)</f>
        <v>0</v>
      </c>
      <c r="IR3">
        <f>IF(Hoja1!572:572,"AAAAAH7+//s=",0)</f>
        <v>0</v>
      </c>
      <c r="IS3">
        <f>IF(Hoja1!573:573,"AAAAAH7+//w=",0)</f>
        <v>0</v>
      </c>
      <c r="IT3">
        <f>IF(Hoja1!574:574,"AAAAAH7+//0=",0)</f>
        <v>0</v>
      </c>
      <c r="IU3">
        <f>IF(Hoja1!575:575,"AAAAAH7+//4=",0)</f>
        <v>0</v>
      </c>
      <c r="IV3">
        <f>IF(Hoja1!576:576,"AAAAAH7+//8=",0)</f>
        <v>0</v>
      </c>
    </row>
    <row r="4" spans="1:256" x14ac:dyDescent="0.2">
      <c r="A4">
        <f>IF(Hoja1!577:577,"AAAAAE/8/QA=",0)</f>
        <v>0</v>
      </c>
      <c r="B4">
        <f>IF(Hoja1!578:578,"AAAAAE/8/QE=",0)</f>
        <v>0</v>
      </c>
      <c r="C4">
        <f>IF(Hoja1!579:579,"AAAAAE/8/QI=",0)</f>
        <v>0</v>
      </c>
      <c r="D4">
        <f>IF(Hoja1!580:580,"AAAAAE/8/QM=",0)</f>
        <v>0</v>
      </c>
      <c r="E4">
        <f>IF(Hoja1!581:581,"AAAAAE/8/QQ=",0)</f>
        <v>0</v>
      </c>
      <c r="F4">
        <f>IF(Hoja1!582:582,"AAAAAE/8/QU=",0)</f>
        <v>0</v>
      </c>
      <c r="G4">
        <f>IF(Hoja1!583:583,"AAAAAE/8/QY=",0)</f>
        <v>0</v>
      </c>
      <c r="H4">
        <f>IF(Hoja1!584:584,"AAAAAE/8/Qc=",0)</f>
        <v>0</v>
      </c>
      <c r="I4">
        <f>IF(Hoja1!585:585,"AAAAAE/8/Qg=",0)</f>
        <v>0</v>
      </c>
      <c r="J4">
        <f>IF(Hoja1!586:586,"AAAAAE/8/Qk=",0)</f>
        <v>0</v>
      </c>
      <c r="K4">
        <f>IF(Hoja1!587:587,"AAAAAE/8/Qo=",0)</f>
        <v>0</v>
      </c>
      <c r="L4">
        <f>IF(Hoja1!588:588,"AAAAAE/8/Qs=",0)</f>
        <v>0</v>
      </c>
      <c r="M4">
        <f>IF(Hoja1!589:589,"AAAAAE/8/Qw=",0)</f>
        <v>0</v>
      </c>
      <c r="N4">
        <f>IF(Hoja1!590:590,"AAAAAE/8/Q0=",0)</f>
        <v>0</v>
      </c>
      <c r="O4">
        <f>IF(Hoja1!591:591,"AAAAAE/8/Q4=",0)</f>
        <v>0</v>
      </c>
      <c r="P4">
        <f>IF(Hoja1!592:592,"AAAAAE/8/Q8=",0)</f>
        <v>0</v>
      </c>
      <c r="Q4">
        <f>IF(Hoja1!593:593,"AAAAAE/8/RA=",0)</f>
        <v>0</v>
      </c>
      <c r="R4">
        <f>IF(Hoja1!594:594,"AAAAAE/8/RE=",0)</f>
        <v>0</v>
      </c>
      <c r="S4">
        <f>IF(Hoja1!595:595,"AAAAAE/8/RI=",0)</f>
        <v>0</v>
      </c>
      <c r="T4">
        <f>IF(Hoja1!596:596,"AAAAAE/8/RM=",0)</f>
        <v>0</v>
      </c>
      <c r="U4">
        <f>IF(Hoja1!597:597,"AAAAAE/8/RQ=",0)</f>
        <v>0</v>
      </c>
      <c r="V4">
        <f>IF(Hoja1!598:598,"AAAAAE/8/RU=",0)</f>
        <v>0</v>
      </c>
      <c r="W4">
        <f>IF(Hoja1!599:599,"AAAAAE/8/RY=",0)</f>
        <v>0</v>
      </c>
      <c r="X4">
        <f>IF(Hoja1!600:600,"AAAAAE/8/Rc=",0)</f>
        <v>0</v>
      </c>
      <c r="Y4">
        <f>IF(Hoja1!601:601,"AAAAAE/8/Rg=",0)</f>
        <v>0</v>
      </c>
      <c r="Z4">
        <f>IF(Hoja1!602:602,"AAAAAE/8/Rk=",0)</f>
        <v>0</v>
      </c>
      <c r="AA4">
        <f>IF(Hoja1!603:603,"AAAAAE/8/Ro=",0)</f>
        <v>0</v>
      </c>
      <c r="AB4">
        <f>IF(Hoja1!604:604,"AAAAAE/8/Rs=",0)</f>
        <v>0</v>
      </c>
      <c r="AC4">
        <f>IF(Hoja1!605:605,"AAAAAE/8/Rw=",0)</f>
        <v>0</v>
      </c>
      <c r="AD4">
        <f>IF(Hoja1!606:606,"AAAAAE/8/R0=",0)</f>
        <v>0</v>
      </c>
      <c r="AE4">
        <f>IF(Hoja1!607:607,"AAAAAE/8/R4=",0)</f>
        <v>0</v>
      </c>
      <c r="AF4">
        <f>IF(Hoja1!608:608,"AAAAAE/8/R8=",0)</f>
        <v>0</v>
      </c>
      <c r="AG4">
        <f>IF(Hoja1!609:609,"AAAAAE/8/SA=",0)</f>
        <v>0</v>
      </c>
      <c r="AH4">
        <f>IF(Hoja1!610:610,"AAAAAE/8/SE=",0)</f>
        <v>0</v>
      </c>
      <c r="AI4">
        <f>IF(Hoja1!611:611,"AAAAAE/8/SI=",0)</f>
        <v>0</v>
      </c>
      <c r="AJ4">
        <f>IF(Hoja1!612:612,"AAAAAE/8/SM=",0)</f>
        <v>0</v>
      </c>
      <c r="AK4">
        <f>IF(Hoja1!613:613,"AAAAAE/8/SQ=",0)</f>
        <v>0</v>
      </c>
      <c r="AL4">
        <f>IF(Hoja1!614:614,"AAAAAE/8/SU=",0)</f>
        <v>0</v>
      </c>
      <c r="AM4">
        <f>IF(Hoja1!615:615,"AAAAAE/8/SY=",0)</f>
        <v>0</v>
      </c>
      <c r="AN4">
        <f>IF(Hoja1!616:616,"AAAAAE/8/Sc=",0)</f>
        <v>0</v>
      </c>
      <c r="AO4">
        <f>IF(Hoja1!617:617,"AAAAAE/8/Sg=",0)</f>
        <v>0</v>
      </c>
      <c r="AP4">
        <f>IF(Hoja1!618:618,"AAAAAE/8/Sk=",0)</f>
        <v>0</v>
      </c>
      <c r="AQ4">
        <f>IF(Hoja1!619:619,"AAAAAE/8/So=",0)</f>
        <v>0</v>
      </c>
      <c r="AR4">
        <f>IF(Hoja1!620:620,"AAAAAE/8/Ss=",0)</f>
        <v>0</v>
      </c>
      <c r="AS4">
        <f>IF(Hoja1!621:621,"AAAAAE/8/Sw=",0)</f>
        <v>0</v>
      </c>
      <c r="AT4">
        <f>IF(Hoja1!622:622,"AAAAAE/8/S0=",0)</f>
        <v>0</v>
      </c>
      <c r="AU4">
        <f>IF(Hoja1!623:623,"AAAAAE/8/S4=",0)</f>
        <v>0</v>
      </c>
      <c r="AV4">
        <f>IF(Hoja1!624:624,"AAAAAE/8/S8=",0)</f>
        <v>0</v>
      </c>
      <c r="AW4">
        <f>IF(Hoja1!625:625,"AAAAAE/8/TA=",0)</f>
        <v>0</v>
      </c>
      <c r="AX4">
        <f>IF(Hoja1!626:626,"AAAAAE/8/TE=",0)</f>
        <v>0</v>
      </c>
      <c r="AY4">
        <f>IF(Hoja1!627:627,"AAAAAE/8/TI=",0)</f>
        <v>0</v>
      </c>
      <c r="AZ4">
        <f>IF(Hoja1!628:628,"AAAAAE/8/TM=",0)</f>
        <v>0</v>
      </c>
      <c r="BA4">
        <f>IF(Hoja1!629:629,"AAAAAE/8/TQ=",0)</f>
        <v>0</v>
      </c>
      <c r="BB4">
        <f>IF(Hoja1!630:630,"AAAAAE/8/TU=",0)</f>
        <v>0</v>
      </c>
      <c r="BC4">
        <f>IF(Hoja1!631:631,"AAAAAE/8/TY=",0)</f>
        <v>0</v>
      </c>
      <c r="BD4">
        <f>IF(Hoja1!632:632,"AAAAAE/8/Tc=",0)</f>
        <v>0</v>
      </c>
      <c r="BE4">
        <f>IF(Hoja1!633:633,"AAAAAE/8/Tg=",0)</f>
        <v>0</v>
      </c>
      <c r="BF4">
        <f>IF(Hoja1!634:634,"AAAAAE/8/Tk=",0)</f>
        <v>0</v>
      </c>
      <c r="BG4">
        <f>IF(Hoja1!635:635,"AAAAAE/8/To=",0)</f>
        <v>0</v>
      </c>
      <c r="BH4">
        <f>IF(Hoja1!636:636,"AAAAAE/8/Ts=",0)</f>
        <v>0</v>
      </c>
      <c r="BI4">
        <f>IF(Hoja1!637:637,"AAAAAE/8/Tw=",0)</f>
        <v>0</v>
      </c>
      <c r="BJ4">
        <f>IF(Hoja1!638:638,"AAAAAE/8/T0=",0)</f>
        <v>0</v>
      </c>
      <c r="BK4">
        <f>IF(Hoja1!639:639,"AAAAAE/8/T4=",0)</f>
        <v>0</v>
      </c>
      <c r="BL4">
        <f>IF(Hoja1!640:640,"AAAAAE/8/T8=",0)</f>
        <v>0</v>
      </c>
      <c r="BM4">
        <f>IF(Hoja1!641:641,"AAAAAE/8/UA=",0)</f>
        <v>0</v>
      </c>
      <c r="BN4">
        <f>IF(Hoja1!642:642,"AAAAAE/8/UE=",0)</f>
        <v>0</v>
      </c>
      <c r="BO4">
        <f>IF(Hoja1!643:643,"AAAAAE/8/UI=",0)</f>
        <v>0</v>
      </c>
      <c r="BP4">
        <f>IF(Hoja1!644:644,"AAAAAE/8/UM=",0)</f>
        <v>0</v>
      </c>
      <c r="BQ4">
        <f>IF(Hoja1!645:645,"AAAAAE/8/UQ=",0)</f>
        <v>0</v>
      </c>
      <c r="BR4">
        <f>IF(Hoja1!646:646,"AAAAAE/8/UU=",0)</f>
        <v>0</v>
      </c>
      <c r="BS4">
        <f>IF(Hoja1!647:647,"AAAAAE/8/UY=",0)</f>
        <v>0</v>
      </c>
      <c r="BT4">
        <f>IF(Hoja1!648:648,"AAAAAE/8/Uc=",0)</f>
        <v>0</v>
      </c>
      <c r="BU4">
        <f>IF(Hoja1!649:649,"AAAAAE/8/Ug=",0)</f>
        <v>0</v>
      </c>
      <c r="BV4">
        <f>IF(Hoja1!650:650,"AAAAAE/8/Uk=",0)</f>
        <v>0</v>
      </c>
      <c r="BW4">
        <f>IF(Hoja1!651:651,"AAAAAE/8/Uo=",0)</f>
        <v>0</v>
      </c>
      <c r="BX4">
        <f>IF(Hoja1!652:652,"AAAAAE/8/Us=",0)</f>
        <v>0</v>
      </c>
      <c r="BY4">
        <f>IF(Hoja1!653:653,"AAAAAE/8/Uw=",0)</f>
        <v>0</v>
      </c>
      <c r="BZ4">
        <f>IF(Hoja1!654:654,"AAAAAE/8/U0=",0)</f>
        <v>0</v>
      </c>
      <c r="CA4">
        <f>IF(Hoja1!655:655,"AAAAAE/8/U4=",0)</f>
        <v>0</v>
      </c>
      <c r="CB4">
        <f>IF(Hoja1!656:656,"AAAAAE/8/U8=",0)</f>
        <v>0</v>
      </c>
      <c r="CC4">
        <f>IF(Hoja1!657:657,"AAAAAE/8/VA=",0)</f>
        <v>0</v>
      </c>
      <c r="CD4">
        <f>IF(Hoja1!658:658,"AAAAAE/8/VE=",0)</f>
        <v>0</v>
      </c>
      <c r="CE4">
        <f>IF(Hoja1!659:659,"AAAAAE/8/VI=",0)</f>
        <v>0</v>
      </c>
      <c r="CF4">
        <f>IF(Hoja1!660:660,"AAAAAE/8/VM=",0)</f>
        <v>0</v>
      </c>
      <c r="CG4">
        <f>IF(Hoja1!661:661,"AAAAAE/8/VQ=",0)</f>
        <v>0</v>
      </c>
      <c r="CH4">
        <f>IF(Hoja1!662:662,"AAAAAE/8/VU=",0)</f>
        <v>0</v>
      </c>
      <c r="CI4">
        <f>IF(Hoja1!663:663,"AAAAAE/8/VY=",0)</f>
        <v>0</v>
      </c>
      <c r="CJ4">
        <f>IF(Hoja1!664:664,"AAAAAE/8/Vc=",0)</f>
        <v>0</v>
      </c>
      <c r="CK4">
        <f>IF(Hoja1!665:665,"AAAAAE/8/Vg=",0)</f>
        <v>0</v>
      </c>
      <c r="CL4">
        <f>IF(Hoja1!666:666,"AAAAAE/8/Vk=",0)</f>
        <v>0</v>
      </c>
      <c r="CM4">
        <f>IF(Hoja1!667:667,"AAAAAE/8/Vo=",0)</f>
        <v>0</v>
      </c>
      <c r="CN4">
        <f>IF(Hoja1!668:668,"AAAAAE/8/Vs=",0)</f>
        <v>0</v>
      </c>
      <c r="CO4">
        <f>IF(Hoja1!669:669,"AAAAAE/8/Vw=",0)</f>
        <v>0</v>
      </c>
      <c r="CP4">
        <f>IF(Hoja1!670:670,"AAAAAE/8/V0=",0)</f>
        <v>0</v>
      </c>
      <c r="CQ4">
        <f>IF(Hoja1!671:671,"AAAAAE/8/V4=",0)</f>
        <v>0</v>
      </c>
      <c r="CR4">
        <f>IF(Hoja1!672:672,"AAAAAE/8/V8=",0)</f>
        <v>0</v>
      </c>
      <c r="CS4">
        <f>IF(Hoja1!673:673,"AAAAAE/8/WA=",0)</f>
        <v>0</v>
      </c>
      <c r="CT4">
        <f>IF(Hoja1!674:674,"AAAAAE/8/WE=",0)</f>
        <v>0</v>
      </c>
      <c r="CU4">
        <f>IF(Hoja1!675:675,"AAAAAE/8/WI=",0)</f>
        <v>0</v>
      </c>
      <c r="CV4">
        <f>IF(Hoja1!676:676,"AAAAAE/8/WM=",0)</f>
        <v>0</v>
      </c>
      <c r="CW4">
        <f>IF(Hoja1!677:677,"AAAAAE/8/WQ=",0)</f>
        <v>0</v>
      </c>
      <c r="CX4">
        <f>IF(Hoja1!678:678,"AAAAAE/8/WU=",0)</f>
        <v>0</v>
      </c>
      <c r="CY4">
        <f>IF(Hoja1!679:679,"AAAAAE/8/WY=",0)</f>
        <v>0</v>
      </c>
      <c r="CZ4">
        <f>IF(Hoja1!680:680,"AAAAAE/8/Wc=",0)</f>
        <v>0</v>
      </c>
      <c r="DA4">
        <f>IF(Hoja1!681:681,"AAAAAE/8/Wg=",0)</f>
        <v>0</v>
      </c>
      <c r="DB4">
        <f>IF(Hoja1!682:682,"AAAAAE/8/Wk=",0)</f>
        <v>0</v>
      </c>
      <c r="DC4">
        <f>IF(Hoja1!683:683,"AAAAAE/8/Wo=",0)</f>
        <v>0</v>
      </c>
      <c r="DD4">
        <f>IF(Hoja1!684:684,"AAAAAE/8/Ws=",0)</f>
        <v>0</v>
      </c>
      <c r="DE4">
        <f>IF(Hoja1!685:685,"AAAAAE/8/Ww=",0)</f>
        <v>0</v>
      </c>
      <c r="DF4">
        <f>IF(Hoja1!686:686,"AAAAAE/8/W0=",0)</f>
        <v>0</v>
      </c>
      <c r="DG4">
        <f>IF(Hoja1!687:687,"AAAAAE/8/W4=",0)</f>
        <v>0</v>
      </c>
      <c r="DH4">
        <f>IF(Hoja1!688:688,"AAAAAE/8/W8=",0)</f>
        <v>0</v>
      </c>
      <c r="DI4">
        <f>IF(Hoja1!689:689,"AAAAAE/8/XA=",0)</f>
        <v>0</v>
      </c>
      <c r="DJ4">
        <f>IF(Hoja1!690:690,"AAAAAE/8/XE=",0)</f>
        <v>0</v>
      </c>
      <c r="DK4">
        <f>IF(Hoja1!691:691,"AAAAAE/8/XI=",0)</f>
        <v>0</v>
      </c>
      <c r="DL4">
        <f>IF(Hoja1!692:692,"AAAAAE/8/XM=",0)</f>
        <v>0</v>
      </c>
      <c r="DM4">
        <f>IF(Hoja1!693:693,"AAAAAE/8/XQ=",0)</f>
        <v>0</v>
      </c>
      <c r="DN4">
        <f>IF(Hoja1!694:694,"AAAAAE/8/XU=",0)</f>
        <v>0</v>
      </c>
      <c r="DO4">
        <f>IF(Hoja1!695:695,"AAAAAE/8/XY=",0)</f>
        <v>0</v>
      </c>
      <c r="DP4">
        <f>IF(Hoja1!696:696,"AAAAAE/8/Xc=",0)</f>
        <v>0</v>
      </c>
      <c r="DQ4">
        <f>IF(Hoja1!697:697,"AAAAAE/8/Xg=",0)</f>
        <v>0</v>
      </c>
      <c r="DR4">
        <f>IF(Hoja1!698:698,"AAAAAE/8/Xk=",0)</f>
        <v>0</v>
      </c>
      <c r="DS4">
        <f>IF(Hoja1!699:699,"AAAAAE/8/Xo=",0)</f>
        <v>0</v>
      </c>
      <c r="DT4">
        <f>IF(Hoja1!700:700,"AAAAAE/8/Xs=",0)</f>
        <v>0</v>
      </c>
      <c r="DU4">
        <f>IF(Hoja1!701:701,"AAAAAE/8/Xw=",0)</f>
        <v>0</v>
      </c>
      <c r="DV4">
        <f>IF(Hoja1!702:702,"AAAAAE/8/X0=",0)</f>
        <v>0</v>
      </c>
      <c r="DW4">
        <f>IF(Hoja1!703:703,"AAAAAE/8/X4=",0)</f>
        <v>0</v>
      </c>
      <c r="DX4">
        <f>IF(Hoja1!704:704,"AAAAAE/8/X8=",0)</f>
        <v>0</v>
      </c>
      <c r="DY4">
        <f>IF(Hoja1!705:705,"AAAAAE/8/YA=",0)</f>
        <v>0</v>
      </c>
      <c r="DZ4">
        <f>IF(Hoja1!706:706,"AAAAAE/8/YE=",0)</f>
        <v>0</v>
      </c>
      <c r="EA4">
        <f>IF(Hoja1!707:707,"AAAAAE/8/YI=",0)</f>
        <v>0</v>
      </c>
      <c r="EB4">
        <f>IF(Hoja1!708:708,"AAAAAE/8/YM=",0)</f>
        <v>0</v>
      </c>
      <c r="EC4">
        <f>IF(Hoja1!709:709,"AAAAAE/8/YQ=",0)</f>
        <v>0</v>
      </c>
      <c r="ED4">
        <f>IF(Hoja1!710:710,"AAAAAE/8/YU=",0)</f>
        <v>0</v>
      </c>
      <c r="EE4">
        <f>IF(Hoja1!711:711,"AAAAAE/8/YY=",0)</f>
        <v>0</v>
      </c>
      <c r="EF4">
        <f>IF(Hoja1!712:712,"AAAAAE/8/Yc=",0)</f>
        <v>0</v>
      </c>
      <c r="EG4">
        <f>IF(Hoja1!713:713,"AAAAAE/8/Yg=",0)</f>
        <v>0</v>
      </c>
      <c r="EH4">
        <f>IF(Hoja1!714:714,"AAAAAE/8/Yk=",0)</f>
        <v>0</v>
      </c>
      <c r="EI4">
        <f>IF(Hoja1!715:715,"AAAAAE/8/Yo=",0)</f>
        <v>0</v>
      </c>
      <c r="EJ4">
        <f>IF(Hoja1!716:716,"AAAAAE/8/Ys=",0)</f>
        <v>0</v>
      </c>
      <c r="EK4">
        <f>IF(Hoja1!717:717,"AAAAAE/8/Yw=",0)</f>
        <v>0</v>
      </c>
      <c r="EL4">
        <f>IF(Hoja1!718:718,"AAAAAE/8/Y0=",0)</f>
        <v>0</v>
      </c>
      <c r="EM4">
        <f>IF(Hoja1!719:719,"AAAAAE/8/Y4=",0)</f>
        <v>0</v>
      </c>
      <c r="EN4">
        <f>IF(Hoja1!720:720,"AAAAAE/8/Y8=",0)</f>
        <v>0</v>
      </c>
      <c r="EO4">
        <f>IF(Hoja1!721:721,"AAAAAE/8/ZA=",0)</f>
        <v>0</v>
      </c>
      <c r="EP4">
        <f>IF(Hoja1!722:722,"AAAAAE/8/ZE=",0)</f>
        <v>0</v>
      </c>
      <c r="EQ4">
        <f>IF(Hoja1!723:723,"AAAAAE/8/ZI=",0)</f>
        <v>0</v>
      </c>
      <c r="ER4">
        <f>IF(Hoja1!724:724,"AAAAAE/8/ZM=",0)</f>
        <v>0</v>
      </c>
      <c r="ES4">
        <f>IF(Hoja1!725:725,"AAAAAE/8/ZQ=",0)</f>
        <v>0</v>
      </c>
      <c r="ET4">
        <f>IF(Hoja1!726:726,"AAAAAE/8/ZU=",0)</f>
        <v>0</v>
      </c>
      <c r="EU4">
        <f>IF(Hoja1!727:727,"AAAAAE/8/ZY=",0)</f>
        <v>0</v>
      </c>
      <c r="EV4">
        <f>IF(Hoja1!728:728,"AAAAAE/8/Zc=",0)</f>
        <v>0</v>
      </c>
      <c r="EW4">
        <f>IF(Hoja1!729:729,"AAAAAE/8/Zg=",0)</f>
        <v>0</v>
      </c>
      <c r="EX4">
        <f>IF(Hoja1!730:730,"AAAAAE/8/Zk=",0)</f>
        <v>0</v>
      </c>
      <c r="EY4">
        <f>IF(Hoja1!731:731,"AAAAAE/8/Zo=",0)</f>
        <v>0</v>
      </c>
      <c r="EZ4">
        <f>IF(Hoja1!732:732,"AAAAAE/8/Zs=",0)</f>
        <v>0</v>
      </c>
      <c r="FA4">
        <f>IF(Hoja1!733:733,"AAAAAE/8/Zw=",0)</f>
        <v>0</v>
      </c>
      <c r="FB4">
        <f>IF(Hoja1!734:734,"AAAAAE/8/Z0=",0)</f>
        <v>0</v>
      </c>
      <c r="FC4">
        <f>IF(Hoja1!735:735,"AAAAAE/8/Z4=",0)</f>
        <v>0</v>
      </c>
      <c r="FD4">
        <f>IF(Hoja1!736:736,"AAAAAE/8/Z8=",0)</f>
        <v>0</v>
      </c>
      <c r="FE4">
        <f>IF(Hoja1!737:737,"AAAAAE/8/aA=",0)</f>
        <v>0</v>
      </c>
      <c r="FF4">
        <f>IF(Hoja1!738:738,"AAAAAE/8/aE=",0)</f>
        <v>0</v>
      </c>
      <c r="FG4">
        <f>IF(Hoja1!739:739,"AAAAAE/8/aI=",0)</f>
        <v>0</v>
      </c>
      <c r="FH4">
        <f>IF(Hoja1!740:740,"AAAAAE/8/aM=",0)</f>
        <v>0</v>
      </c>
      <c r="FI4">
        <f>IF(Hoja1!741:741,"AAAAAE/8/aQ=",0)</f>
        <v>0</v>
      </c>
      <c r="FJ4">
        <f>IF(Hoja1!742:742,"AAAAAE/8/aU=",0)</f>
        <v>0</v>
      </c>
      <c r="FK4">
        <f>IF(Hoja1!743:743,"AAAAAE/8/aY=",0)</f>
        <v>0</v>
      </c>
      <c r="FL4">
        <f>IF(Hoja1!744:744,"AAAAAE/8/ac=",0)</f>
        <v>0</v>
      </c>
      <c r="FM4">
        <f>IF(Hoja1!745:745,"AAAAAE/8/ag=",0)</f>
        <v>0</v>
      </c>
      <c r="FN4">
        <f>IF(Hoja1!746:746,"AAAAAE/8/ak=",0)</f>
        <v>0</v>
      </c>
      <c r="FO4">
        <f>IF(Hoja1!747:747,"AAAAAE/8/ao=",0)</f>
        <v>0</v>
      </c>
      <c r="FP4">
        <f>IF(Hoja1!748:748,"AAAAAE/8/as=",0)</f>
        <v>0</v>
      </c>
      <c r="FQ4">
        <f>IF(Hoja1!749:749,"AAAAAE/8/aw=",0)</f>
        <v>0</v>
      </c>
      <c r="FR4">
        <f>IF(Hoja1!750:750,"AAAAAE/8/a0=",0)</f>
        <v>0</v>
      </c>
      <c r="FS4">
        <f>IF(Hoja1!751:751,"AAAAAE/8/a4=",0)</f>
        <v>0</v>
      </c>
      <c r="FT4">
        <f>IF(Hoja1!752:752,"AAAAAE/8/a8=",0)</f>
        <v>0</v>
      </c>
      <c r="FU4">
        <f>IF(Hoja1!753:753,"AAAAAE/8/bA=",0)</f>
        <v>0</v>
      </c>
      <c r="FV4">
        <f>IF(Hoja1!754:754,"AAAAAE/8/bE=",0)</f>
        <v>0</v>
      </c>
      <c r="FW4">
        <f>IF(Hoja1!755:755,"AAAAAE/8/bI=",0)</f>
        <v>0</v>
      </c>
      <c r="FX4">
        <f>IF(Hoja1!756:756,"AAAAAE/8/bM=",0)</f>
        <v>0</v>
      </c>
      <c r="FY4">
        <f>IF(Hoja1!757:757,"AAAAAE/8/bQ=",0)</f>
        <v>0</v>
      </c>
      <c r="FZ4">
        <f>IF(Hoja1!758:758,"AAAAAE/8/bU=",0)</f>
        <v>0</v>
      </c>
      <c r="GA4">
        <f>IF(Hoja1!759:759,"AAAAAE/8/bY=",0)</f>
        <v>0</v>
      </c>
      <c r="GB4">
        <f>IF(Hoja1!760:760,"AAAAAE/8/bc=",0)</f>
        <v>0</v>
      </c>
      <c r="GC4">
        <f>IF(Hoja1!761:761,"AAAAAE/8/bg=",0)</f>
        <v>0</v>
      </c>
      <c r="GD4">
        <f>IF(Hoja1!762:762,"AAAAAE/8/bk=",0)</f>
        <v>0</v>
      </c>
      <c r="GE4">
        <f>IF(Hoja1!763:763,"AAAAAE/8/bo=",0)</f>
        <v>0</v>
      </c>
      <c r="GF4">
        <f>IF(Hoja1!764:764,"AAAAAE/8/bs=",0)</f>
        <v>0</v>
      </c>
      <c r="GG4">
        <f>IF(Hoja1!765:765,"AAAAAE/8/bw=",0)</f>
        <v>0</v>
      </c>
      <c r="GH4">
        <f>IF(Hoja1!766:766,"AAAAAE/8/b0=",0)</f>
        <v>0</v>
      </c>
      <c r="GI4">
        <f>IF(Hoja1!767:767,"AAAAAE/8/b4=",0)</f>
        <v>0</v>
      </c>
      <c r="GJ4">
        <f>IF(Hoja1!768:768,"AAAAAE/8/b8=",0)</f>
        <v>0</v>
      </c>
      <c r="GK4">
        <f>IF(Hoja1!769:769,"AAAAAE/8/cA=",0)</f>
        <v>0</v>
      </c>
      <c r="GL4">
        <f>IF(Hoja1!770:770,"AAAAAE/8/cE=",0)</f>
        <v>0</v>
      </c>
      <c r="GM4">
        <f>IF(Hoja1!771:771,"AAAAAE/8/cI=",0)</f>
        <v>0</v>
      </c>
      <c r="GN4">
        <f>IF(Hoja1!772:772,"AAAAAE/8/cM=",0)</f>
        <v>0</v>
      </c>
      <c r="GO4">
        <f>IF(Hoja1!773:773,"AAAAAE/8/cQ=",0)</f>
        <v>0</v>
      </c>
      <c r="GP4">
        <f>IF(Hoja1!774:774,"AAAAAE/8/cU=",0)</f>
        <v>0</v>
      </c>
      <c r="GQ4">
        <f>IF(Hoja1!775:775,"AAAAAE/8/cY=",0)</f>
        <v>0</v>
      </c>
      <c r="GR4">
        <f>IF(Hoja1!776:776,"AAAAAE/8/cc=",0)</f>
        <v>0</v>
      </c>
      <c r="GS4">
        <f>IF(Hoja1!777:777,"AAAAAE/8/cg=",0)</f>
        <v>0</v>
      </c>
      <c r="GT4">
        <f>IF(Hoja1!778:778,"AAAAAE/8/ck=",0)</f>
        <v>0</v>
      </c>
      <c r="GU4">
        <f>IF(Hoja1!779:779,"AAAAAE/8/co=",0)</f>
        <v>0</v>
      </c>
      <c r="GV4">
        <f>IF(Hoja1!780:780,"AAAAAE/8/cs=",0)</f>
        <v>0</v>
      </c>
      <c r="GW4">
        <f>IF(Hoja1!781:781,"AAAAAE/8/cw=",0)</f>
        <v>0</v>
      </c>
      <c r="GX4">
        <f>IF(Hoja1!782:782,"AAAAAE/8/c0=",0)</f>
        <v>0</v>
      </c>
      <c r="GY4">
        <f>IF(Hoja1!783:783,"AAAAAE/8/c4=",0)</f>
        <v>0</v>
      </c>
      <c r="GZ4">
        <f>IF(Hoja1!784:784,"AAAAAE/8/c8=",0)</f>
        <v>0</v>
      </c>
      <c r="HA4">
        <f>IF(Hoja1!785:785,"AAAAAE/8/dA=",0)</f>
        <v>0</v>
      </c>
      <c r="HB4">
        <f>IF(Hoja1!786:786,"AAAAAE/8/dE=",0)</f>
        <v>0</v>
      </c>
      <c r="HC4">
        <f>IF(Hoja1!787:787,"AAAAAE/8/dI=",0)</f>
        <v>0</v>
      </c>
      <c r="HD4">
        <f>IF(Hoja1!788:788,"AAAAAE/8/dM=",0)</f>
        <v>0</v>
      </c>
      <c r="HE4">
        <f>IF(Hoja1!789:789,"AAAAAE/8/dQ=",0)</f>
        <v>0</v>
      </c>
      <c r="HF4">
        <f>IF(Hoja1!790:790,"AAAAAE/8/dU=",0)</f>
        <v>0</v>
      </c>
      <c r="HG4">
        <f>IF(Hoja1!791:791,"AAAAAE/8/dY=",0)</f>
        <v>0</v>
      </c>
      <c r="HH4">
        <f>IF(Hoja1!792:792,"AAAAAE/8/dc=",0)</f>
        <v>0</v>
      </c>
      <c r="HI4">
        <f>IF(Hoja1!793:793,"AAAAAE/8/dg=",0)</f>
        <v>0</v>
      </c>
      <c r="HJ4">
        <f>IF(Hoja1!794:794,"AAAAAE/8/dk=",0)</f>
        <v>0</v>
      </c>
      <c r="HK4">
        <f>IF(Hoja1!795:795,"AAAAAE/8/do=",0)</f>
        <v>0</v>
      </c>
      <c r="HL4">
        <f>IF(Hoja1!796:796,"AAAAAE/8/ds=",0)</f>
        <v>0</v>
      </c>
      <c r="HM4">
        <f>IF(Hoja1!797:797,"AAAAAE/8/dw=",0)</f>
        <v>0</v>
      </c>
      <c r="HN4">
        <f>IF(Hoja1!798:798,"AAAAAE/8/d0=",0)</f>
        <v>0</v>
      </c>
      <c r="HO4">
        <f>IF(Hoja1!799:799,"AAAAAE/8/d4=",0)</f>
        <v>0</v>
      </c>
      <c r="HP4">
        <f>IF(Hoja1!800:800,"AAAAAE/8/d8=",0)</f>
        <v>0</v>
      </c>
      <c r="HQ4">
        <f>IF(Hoja1!801:801,"AAAAAE/8/eA=",0)</f>
        <v>0</v>
      </c>
      <c r="HR4">
        <f>IF(Hoja1!802:802,"AAAAAE/8/eE=",0)</f>
        <v>0</v>
      </c>
      <c r="HS4">
        <f>IF(Hoja1!803:803,"AAAAAE/8/eI=",0)</f>
        <v>0</v>
      </c>
      <c r="HT4">
        <f>IF(Hoja1!804:804,"AAAAAE/8/eM=",0)</f>
        <v>0</v>
      </c>
      <c r="HU4">
        <f>IF(Hoja1!805:805,"AAAAAE/8/eQ=",0)</f>
        <v>0</v>
      </c>
      <c r="HV4">
        <f>IF(Hoja1!806:806,"AAAAAE/8/eU=",0)</f>
        <v>0</v>
      </c>
      <c r="HW4">
        <f>IF(Hoja1!807:807,"AAAAAE/8/eY=",0)</f>
        <v>0</v>
      </c>
      <c r="HX4">
        <f>IF(Hoja1!808:808,"AAAAAE/8/ec=",0)</f>
        <v>0</v>
      </c>
      <c r="HY4">
        <f>IF(Hoja1!809:809,"AAAAAE/8/eg=",0)</f>
        <v>0</v>
      </c>
      <c r="HZ4">
        <f>IF(Hoja1!810:810,"AAAAAE/8/ek=",0)</f>
        <v>0</v>
      </c>
      <c r="IA4">
        <f>IF(Hoja1!811:811,"AAAAAE/8/eo=",0)</f>
        <v>0</v>
      </c>
      <c r="IB4">
        <f>IF(Hoja1!812:812,"AAAAAE/8/es=",0)</f>
        <v>0</v>
      </c>
      <c r="IC4">
        <f>IF(Hoja1!813:813,"AAAAAE/8/ew=",0)</f>
        <v>0</v>
      </c>
      <c r="ID4">
        <f>IF(Hoja1!814:814,"AAAAAE/8/e0=",0)</f>
        <v>0</v>
      </c>
      <c r="IE4">
        <f>IF(Hoja1!815:815,"AAAAAE/8/e4=",0)</f>
        <v>0</v>
      </c>
      <c r="IF4">
        <f>IF(Hoja1!816:816,"AAAAAE/8/e8=",0)</f>
        <v>0</v>
      </c>
      <c r="IG4">
        <f>IF(Hoja1!817:817,"AAAAAE/8/fA=",0)</f>
        <v>0</v>
      </c>
      <c r="IH4">
        <f>IF(Hoja1!818:818,"AAAAAE/8/fE=",0)</f>
        <v>0</v>
      </c>
      <c r="II4">
        <f>IF(Hoja1!819:819,"AAAAAE/8/fI=",0)</f>
        <v>0</v>
      </c>
      <c r="IJ4">
        <f>IF(Hoja1!820:820,"AAAAAE/8/fM=",0)</f>
        <v>0</v>
      </c>
      <c r="IK4">
        <f>IF(Hoja1!821:821,"AAAAAE/8/fQ=",0)</f>
        <v>0</v>
      </c>
      <c r="IL4">
        <f>IF(Hoja1!822:822,"AAAAAE/8/fU=",0)</f>
        <v>0</v>
      </c>
      <c r="IM4">
        <f>IF(Hoja1!823:823,"AAAAAE/8/fY=",0)</f>
        <v>0</v>
      </c>
      <c r="IN4">
        <f>IF(Hoja1!824:824,"AAAAAE/8/fc=",0)</f>
        <v>0</v>
      </c>
      <c r="IO4">
        <f>IF(Hoja1!825:825,"AAAAAE/8/fg=",0)</f>
        <v>0</v>
      </c>
      <c r="IP4">
        <f>IF(Hoja1!826:826,"AAAAAE/8/fk=",0)</f>
        <v>0</v>
      </c>
      <c r="IQ4">
        <f>IF(Hoja1!827:827,"AAAAAE/8/fo=",0)</f>
        <v>0</v>
      </c>
      <c r="IR4">
        <f>IF(Hoja1!828:828,"AAAAAE/8/fs=",0)</f>
        <v>0</v>
      </c>
      <c r="IS4">
        <f>IF(Hoja1!829:829,"AAAAAE/8/fw=",0)</f>
        <v>0</v>
      </c>
      <c r="IT4">
        <f>IF(Hoja1!830:830,"AAAAAE/8/f0=",0)</f>
        <v>0</v>
      </c>
      <c r="IU4">
        <f>IF(Hoja1!831:831,"AAAAAE/8/f4=",0)</f>
        <v>0</v>
      </c>
      <c r="IV4">
        <f>IF(Hoja1!832:832,"AAAAAE/8/f8=",0)</f>
        <v>0</v>
      </c>
    </row>
    <row r="5" spans="1:256" x14ac:dyDescent="0.2">
      <c r="A5">
        <f>IF(Hoja1!833:833,"AAAAAC9x/QA=",0)</f>
        <v>0</v>
      </c>
      <c r="B5">
        <f>IF(Hoja1!834:834,"AAAAAC9x/QE=",0)</f>
        <v>0</v>
      </c>
      <c r="C5">
        <f>IF(Hoja1!835:835,"AAAAAC9x/QI=",0)</f>
        <v>0</v>
      </c>
      <c r="D5">
        <f>IF(Hoja1!836:836,"AAAAAC9x/QM=",0)</f>
        <v>0</v>
      </c>
      <c r="E5">
        <f>IF(Hoja1!837:837,"AAAAAC9x/QQ=",0)</f>
        <v>0</v>
      </c>
      <c r="F5">
        <f>IF(Hoja1!838:838,"AAAAAC9x/QU=",0)</f>
        <v>0</v>
      </c>
      <c r="G5">
        <f>IF(Hoja1!839:839,"AAAAAC9x/QY=",0)</f>
        <v>0</v>
      </c>
      <c r="H5">
        <f>IF(Hoja1!840:840,"AAAAAC9x/Qc=",0)</f>
        <v>0</v>
      </c>
      <c r="I5">
        <f>IF(Hoja1!841:841,"AAAAAC9x/Qg=",0)</f>
        <v>0</v>
      </c>
      <c r="J5">
        <f>IF(Hoja1!842:842,"AAAAAC9x/Qk=",0)</f>
        <v>0</v>
      </c>
      <c r="K5">
        <f>IF(Hoja1!843:843,"AAAAAC9x/Qo=",0)</f>
        <v>0</v>
      </c>
      <c r="L5">
        <f>IF(Hoja1!844:844,"AAAAAC9x/Qs=",0)</f>
        <v>0</v>
      </c>
      <c r="M5">
        <f>IF(Hoja1!845:845,"AAAAAC9x/Qw=",0)</f>
        <v>0</v>
      </c>
      <c r="N5">
        <f>IF(Hoja1!846:846,"AAAAAC9x/Q0=",0)</f>
        <v>0</v>
      </c>
      <c r="O5">
        <f>IF(Hoja1!847:847,"AAAAAC9x/Q4=",0)</f>
        <v>0</v>
      </c>
      <c r="P5">
        <f>IF(Hoja1!848:848,"AAAAAC9x/Q8=",0)</f>
        <v>0</v>
      </c>
      <c r="Q5">
        <f>IF(Hoja1!849:849,"AAAAAC9x/RA=",0)</f>
        <v>0</v>
      </c>
      <c r="R5">
        <f>IF(Hoja1!850:850,"AAAAAC9x/RE=",0)</f>
        <v>0</v>
      </c>
      <c r="S5">
        <f>IF(Hoja1!851:851,"AAAAAC9x/RI=",0)</f>
        <v>0</v>
      </c>
      <c r="T5">
        <f>IF(Hoja1!852:852,"AAAAAC9x/RM=",0)</f>
        <v>0</v>
      </c>
      <c r="U5">
        <f>IF(Hoja1!853:853,"AAAAAC9x/RQ=",0)</f>
        <v>0</v>
      </c>
      <c r="V5">
        <f>IF(Hoja1!854:854,"AAAAAC9x/RU=",0)</f>
        <v>0</v>
      </c>
      <c r="W5">
        <f>IF(Hoja1!855:855,"AAAAAC9x/RY=",0)</f>
        <v>0</v>
      </c>
      <c r="X5">
        <f>IF(Hoja1!856:856,"AAAAAC9x/Rc=",0)</f>
        <v>0</v>
      </c>
      <c r="Y5">
        <f>IF(Hoja1!857:857,"AAAAAC9x/Rg=",0)</f>
        <v>0</v>
      </c>
      <c r="Z5">
        <f>IF(Hoja1!858:858,"AAAAAC9x/Rk=",0)</f>
        <v>0</v>
      </c>
      <c r="AA5">
        <f>IF(Hoja1!859:859,"AAAAAC9x/Ro=",0)</f>
        <v>0</v>
      </c>
      <c r="AB5">
        <f>IF(Hoja1!860:860,"AAAAAC9x/Rs=",0)</f>
        <v>0</v>
      </c>
      <c r="AC5">
        <f>IF(Hoja1!861:861,"AAAAAC9x/Rw=",0)</f>
        <v>0</v>
      </c>
      <c r="AD5">
        <f>IF(Hoja1!862:862,"AAAAAC9x/R0=",0)</f>
        <v>0</v>
      </c>
      <c r="AE5">
        <f>IF(Hoja1!863:863,"AAAAAC9x/R4=",0)</f>
        <v>0</v>
      </c>
      <c r="AF5">
        <f>IF(Hoja1!864:864,"AAAAAC9x/R8=",0)</f>
        <v>0</v>
      </c>
      <c r="AG5">
        <f>IF(Hoja1!865:865,"AAAAAC9x/SA=",0)</f>
        <v>0</v>
      </c>
      <c r="AH5">
        <f>IF(Hoja1!866:866,"AAAAAC9x/SE=",0)</f>
        <v>0</v>
      </c>
      <c r="AI5">
        <f>IF(Hoja1!867:867,"AAAAAC9x/SI=",0)</f>
        <v>0</v>
      </c>
      <c r="AJ5">
        <f>IF(Hoja1!868:868,"AAAAAC9x/SM=",0)</f>
        <v>0</v>
      </c>
      <c r="AK5">
        <f>IF(Hoja1!869:869,"AAAAAC9x/SQ=",0)</f>
        <v>0</v>
      </c>
      <c r="AL5">
        <f>IF(Hoja1!870:870,"AAAAAC9x/SU=",0)</f>
        <v>0</v>
      </c>
      <c r="AM5">
        <f>IF(Hoja1!871:871,"AAAAAC9x/SY=",0)</f>
        <v>0</v>
      </c>
      <c r="AN5">
        <f>IF(Hoja1!872:872,"AAAAAC9x/Sc=",0)</f>
        <v>0</v>
      </c>
      <c r="AO5">
        <f>IF(Hoja1!873:873,"AAAAAC9x/Sg=",0)</f>
        <v>0</v>
      </c>
      <c r="AP5">
        <f>IF(Hoja1!874:874,"AAAAAC9x/Sk=",0)</f>
        <v>0</v>
      </c>
      <c r="AQ5">
        <f>IF(Hoja1!875:875,"AAAAAC9x/So=",0)</f>
        <v>0</v>
      </c>
      <c r="AR5">
        <f>IF(Hoja1!876:876,"AAAAAC9x/Ss=",0)</f>
        <v>0</v>
      </c>
      <c r="AS5">
        <f>IF(Hoja1!877:877,"AAAAAC9x/Sw=",0)</f>
        <v>0</v>
      </c>
      <c r="AT5">
        <f>IF(Hoja1!878:878,"AAAAAC9x/S0=",0)</f>
        <v>0</v>
      </c>
      <c r="AU5">
        <f>IF(Hoja1!879:879,"AAAAAC9x/S4=",0)</f>
        <v>0</v>
      </c>
      <c r="AV5">
        <f>IF(Hoja1!880:880,"AAAAAC9x/S8=",0)</f>
        <v>0</v>
      </c>
      <c r="AW5">
        <f>IF(Hoja1!881:881,"AAAAAC9x/TA=",0)</f>
        <v>0</v>
      </c>
      <c r="AX5">
        <f>IF(Hoja1!882:882,"AAAAAC9x/TE=",0)</f>
        <v>0</v>
      </c>
      <c r="AY5">
        <f>IF(Hoja1!883:883,"AAAAAC9x/TI=",0)</f>
        <v>0</v>
      </c>
      <c r="AZ5">
        <f>IF(Hoja1!884:884,"AAAAAC9x/TM=",0)</f>
        <v>0</v>
      </c>
      <c r="BA5">
        <f>IF(Hoja1!885:885,"AAAAAC9x/TQ=",0)</f>
        <v>0</v>
      </c>
      <c r="BB5">
        <f>IF(Hoja1!886:886,"AAAAAC9x/TU=",0)</f>
        <v>0</v>
      </c>
      <c r="BC5">
        <f>IF(Hoja1!887:887,"AAAAAC9x/TY=",0)</f>
        <v>0</v>
      </c>
      <c r="BD5">
        <f>IF(Hoja1!888:888,"AAAAAC9x/Tc=",0)</f>
        <v>0</v>
      </c>
      <c r="BE5">
        <f>IF(Hoja1!889:889,"AAAAAC9x/Tg=",0)</f>
        <v>0</v>
      </c>
      <c r="BF5">
        <f>IF(Hoja1!890:890,"AAAAAC9x/Tk=",0)</f>
        <v>0</v>
      </c>
      <c r="BG5">
        <f>IF(Hoja1!891:891,"AAAAAC9x/To=",0)</f>
        <v>0</v>
      </c>
      <c r="BH5">
        <f>IF(Hoja1!892:892,"AAAAAC9x/Ts=",0)</f>
        <v>0</v>
      </c>
      <c r="BI5">
        <f>IF(Hoja1!893:893,"AAAAAC9x/Tw=",0)</f>
        <v>0</v>
      </c>
      <c r="BJ5">
        <f>IF(Hoja1!894:894,"AAAAAC9x/T0=",0)</f>
        <v>0</v>
      </c>
      <c r="BK5">
        <f>IF(Hoja1!895:895,"AAAAAC9x/T4=",0)</f>
        <v>0</v>
      </c>
      <c r="BL5">
        <f>IF(Hoja1!896:896,"AAAAAC9x/T8=",0)</f>
        <v>0</v>
      </c>
      <c r="BM5">
        <f>IF(Hoja1!897:897,"AAAAAC9x/UA=",0)</f>
        <v>0</v>
      </c>
      <c r="BN5">
        <f>IF(Hoja1!898:898,"AAAAAC9x/UE=",0)</f>
        <v>0</v>
      </c>
      <c r="BO5">
        <f>IF(Hoja1!899:899,"AAAAAC9x/UI=",0)</f>
        <v>0</v>
      </c>
      <c r="BP5">
        <f>IF(Hoja1!900:900,"AAAAAC9x/UM=",0)</f>
        <v>0</v>
      </c>
      <c r="BQ5">
        <f>IF(Hoja1!901:901,"AAAAAC9x/UQ=",0)</f>
        <v>0</v>
      </c>
      <c r="BR5">
        <f>IF(Hoja1!902:902,"AAAAAC9x/UU=",0)</f>
        <v>0</v>
      </c>
      <c r="BS5">
        <f>IF(Hoja1!903:903,"AAAAAC9x/UY=",0)</f>
        <v>0</v>
      </c>
      <c r="BT5">
        <f>IF(Hoja1!904:904,"AAAAAC9x/Uc=",0)</f>
        <v>0</v>
      </c>
      <c r="BU5">
        <f>IF(Hoja1!905:905,"AAAAAC9x/Ug=",0)</f>
        <v>0</v>
      </c>
      <c r="BV5">
        <f>IF(Hoja1!906:906,"AAAAAC9x/Uk=",0)</f>
        <v>0</v>
      </c>
      <c r="BW5">
        <f>IF(Hoja1!907:907,"AAAAAC9x/Uo=",0)</f>
        <v>0</v>
      </c>
      <c r="BX5">
        <f>IF(Hoja1!908:908,"AAAAAC9x/Us=",0)</f>
        <v>0</v>
      </c>
      <c r="BY5">
        <f>IF(Hoja1!909:909,"AAAAAC9x/Uw=",0)</f>
        <v>0</v>
      </c>
      <c r="BZ5">
        <f>IF(Hoja1!910:910,"AAAAAC9x/U0=",0)</f>
        <v>0</v>
      </c>
      <c r="CA5">
        <f>IF(Hoja1!911:911,"AAAAAC9x/U4=",0)</f>
        <v>0</v>
      </c>
      <c r="CB5">
        <f>IF(Hoja1!912:912,"AAAAAC9x/U8=",0)</f>
        <v>0</v>
      </c>
      <c r="CC5">
        <f>IF(Hoja1!913:913,"AAAAAC9x/VA=",0)</f>
        <v>0</v>
      </c>
      <c r="CD5">
        <f>IF(Hoja1!914:914,"AAAAAC9x/VE=",0)</f>
        <v>0</v>
      </c>
      <c r="CE5">
        <f>IF(Hoja1!915:915,"AAAAAC9x/VI=",0)</f>
        <v>0</v>
      </c>
      <c r="CF5">
        <f>IF(Hoja1!916:916,"AAAAAC9x/VM=",0)</f>
        <v>0</v>
      </c>
      <c r="CG5">
        <f>IF(Hoja1!917:917,"AAAAAC9x/VQ=",0)</f>
        <v>0</v>
      </c>
      <c r="CH5">
        <f>IF(Hoja1!918:918,"AAAAAC9x/VU=",0)</f>
        <v>0</v>
      </c>
      <c r="CI5">
        <f>IF(Hoja1!919:919,"AAAAAC9x/VY=",0)</f>
        <v>0</v>
      </c>
      <c r="CJ5">
        <f>IF(Hoja1!920:920,"AAAAAC9x/Vc=",0)</f>
        <v>0</v>
      </c>
      <c r="CK5">
        <f>IF(Hoja1!921:921,"AAAAAC9x/Vg=",0)</f>
        <v>0</v>
      </c>
      <c r="CL5">
        <f>IF(Hoja1!922:922,"AAAAAC9x/Vk=",0)</f>
        <v>0</v>
      </c>
      <c r="CM5">
        <f>IF(Hoja1!923:923,"AAAAAC9x/Vo=",0)</f>
        <v>0</v>
      </c>
      <c r="CN5">
        <f>IF(Hoja1!924:924,"AAAAAC9x/Vs=",0)</f>
        <v>0</v>
      </c>
      <c r="CO5">
        <f>IF(Hoja1!925:925,"AAAAAC9x/Vw=",0)</f>
        <v>0</v>
      </c>
      <c r="CP5">
        <f>IF(Hoja1!926:926,"AAAAAC9x/V0=",0)</f>
        <v>0</v>
      </c>
      <c r="CQ5">
        <f>IF(Hoja1!927:927,"AAAAAC9x/V4=",0)</f>
        <v>0</v>
      </c>
      <c r="CR5">
        <f>IF(Hoja1!928:928,"AAAAAC9x/V8=",0)</f>
        <v>0</v>
      </c>
      <c r="CS5">
        <f>IF(Hoja1!929:929,"AAAAAC9x/WA=",0)</f>
        <v>0</v>
      </c>
      <c r="CT5">
        <f>IF(Hoja1!930:930,"AAAAAC9x/WE=",0)</f>
        <v>0</v>
      </c>
      <c r="CU5">
        <f>IF(Hoja1!931:931,"AAAAAC9x/WI=",0)</f>
        <v>0</v>
      </c>
      <c r="CV5">
        <f>IF(Hoja1!932:932,"AAAAAC9x/WM=",0)</f>
        <v>0</v>
      </c>
      <c r="CW5">
        <f>IF(Hoja1!933:933,"AAAAAC9x/WQ=",0)</f>
        <v>0</v>
      </c>
      <c r="CX5">
        <f>IF(Hoja1!934:934,"AAAAAC9x/WU=",0)</f>
        <v>0</v>
      </c>
      <c r="CY5">
        <f>IF(Hoja1!935:935,"AAAAAC9x/WY=",0)</f>
        <v>0</v>
      </c>
      <c r="CZ5">
        <f>IF(Hoja1!936:936,"AAAAAC9x/Wc=",0)</f>
        <v>0</v>
      </c>
      <c r="DA5">
        <f>IF(Hoja1!937:937,"AAAAAC9x/Wg=",0)</f>
        <v>0</v>
      </c>
      <c r="DB5">
        <f>IF(Hoja1!938:938,"AAAAAC9x/Wk=",0)</f>
        <v>0</v>
      </c>
      <c r="DC5">
        <f>IF(Hoja1!939:939,"AAAAAC9x/Wo=",0)</f>
        <v>0</v>
      </c>
      <c r="DD5">
        <f>IF(Hoja1!940:940,"AAAAAC9x/Ws=",0)</f>
        <v>0</v>
      </c>
      <c r="DE5">
        <f>IF(Hoja1!941:941,"AAAAAC9x/Ww=",0)</f>
        <v>0</v>
      </c>
      <c r="DF5">
        <f>IF(Hoja1!942:942,"AAAAAC9x/W0=",0)</f>
        <v>0</v>
      </c>
      <c r="DG5">
        <f>IF(Hoja1!943:943,"AAAAAC9x/W4=",0)</f>
        <v>0</v>
      </c>
      <c r="DH5">
        <f>IF(Hoja1!944:944,"AAAAAC9x/W8=",0)</f>
        <v>0</v>
      </c>
      <c r="DI5">
        <f>IF(Hoja1!945:945,"AAAAAC9x/XA=",0)</f>
        <v>0</v>
      </c>
      <c r="DJ5">
        <f>IF(Hoja1!946:946,"AAAAAC9x/XE=",0)</f>
        <v>0</v>
      </c>
      <c r="DK5">
        <f>IF(Hoja1!947:947,"AAAAAC9x/XI=",0)</f>
        <v>0</v>
      </c>
      <c r="DL5">
        <f>IF(Hoja1!948:948,"AAAAAC9x/XM=",0)</f>
        <v>0</v>
      </c>
      <c r="DM5">
        <f>IF(Hoja1!949:949,"AAAAAC9x/XQ=",0)</f>
        <v>0</v>
      </c>
      <c r="DN5">
        <f>IF(Hoja1!950:950,"AAAAAC9x/XU=",0)</f>
        <v>0</v>
      </c>
      <c r="DO5">
        <f>IF(Hoja1!951:951,"AAAAAC9x/XY=",0)</f>
        <v>0</v>
      </c>
      <c r="DP5">
        <f>IF(Hoja1!952:952,"AAAAAC9x/Xc=",0)</f>
        <v>0</v>
      </c>
      <c r="DQ5">
        <f>IF(Hoja1!953:953,"AAAAAC9x/Xg=",0)</f>
        <v>0</v>
      </c>
      <c r="DR5">
        <f>IF(Hoja1!954:954,"AAAAAC9x/Xk=",0)</f>
        <v>0</v>
      </c>
      <c r="DS5">
        <f>IF(Hoja1!955:955,"AAAAAC9x/Xo=",0)</f>
        <v>0</v>
      </c>
      <c r="DT5">
        <f>IF(Hoja1!956:956,"AAAAAC9x/Xs=",0)</f>
        <v>0</v>
      </c>
      <c r="DU5">
        <f>IF(Hoja1!957:957,"AAAAAC9x/Xw=",0)</f>
        <v>0</v>
      </c>
      <c r="DV5">
        <f>IF(Hoja1!958:958,"AAAAAC9x/X0=",0)</f>
        <v>0</v>
      </c>
      <c r="DW5">
        <f>IF(Hoja1!959:959,"AAAAAC9x/X4=",0)</f>
        <v>0</v>
      </c>
      <c r="DX5">
        <f>IF(Hoja1!960:960,"AAAAAC9x/X8=",0)</f>
        <v>0</v>
      </c>
      <c r="DY5">
        <f>IF(Hoja1!961:961,"AAAAAC9x/YA=",0)</f>
        <v>0</v>
      </c>
      <c r="DZ5">
        <f>IF(Hoja1!962:962,"AAAAAC9x/YE=",0)</f>
        <v>0</v>
      </c>
      <c r="EA5">
        <f>IF(Hoja1!963:963,"AAAAAC9x/YI=",0)</f>
        <v>0</v>
      </c>
      <c r="EB5">
        <f>IF(Hoja1!964:964,"AAAAAC9x/YM=",0)</f>
        <v>0</v>
      </c>
      <c r="EC5">
        <f>IF(Hoja1!965:965,"AAAAAC9x/YQ=",0)</f>
        <v>0</v>
      </c>
      <c r="ED5">
        <f>IF(Hoja1!966:966,"AAAAAC9x/YU=",0)</f>
        <v>0</v>
      </c>
      <c r="EE5">
        <f>IF(Hoja1!967:967,"AAAAAC9x/YY=",0)</f>
        <v>0</v>
      </c>
      <c r="EF5">
        <f>IF(Hoja1!968:968,"AAAAAC9x/Yc=",0)</f>
        <v>0</v>
      </c>
      <c r="EG5">
        <f>IF(Hoja1!969:969,"AAAAAC9x/Yg=",0)</f>
        <v>0</v>
      </c>
      <c r="EH5">
        <f>IF(Hoja1!970:970,"AAAAAC9x/Yk=",0)</f>
        <v>0</v>
      </c>
      <c r="EI5">
        <f>IF(Hoja1!971:971,"AAAAAC9x/Yo=",0)</f>
        <v>0</v>
      </c>
      <c r="EJ5">
        <f>IF(Hoja1!972:972,"AAAAAC9x/Ys=",0)</f>
        <v>0</v>
      </c>
      <c r="EK5">
        <f>IF(Hoja1!973:973,"AAAAAC9x/Yw=",0)</f>
        <v>0</v>
      </c>
      <c r="EL5">
        <f>IF(Hoja1!974:974,"AAAAAC9x/Y0=",0)</f>
        <v>0</v>
      </c>
      <c r="EM5">
        <f>IF(Hoja1!975:975,"AAAAAC9x/Y4=",0)</f>
        <v>0</v>
      </c>
      <c r="EN5">
        <f>IF(Hoja1!976:976,"AAAAAC9x/Y8=",0)</f>
        <v>0</v>
      </c>
      <c r="EO5">
        <f>IF(Hoja1!977:977,"AAAAAC9x/ZA=",0)</f>
        <v>0</v>
      </c>
      <c r="EP5">
        <f>IF(Hoja1!978:978,"AAAAAC9x/ZE=",0)</f>
        <v>0</v>
      </c>
      <c r="EQ5">
        <f>IF(Hoja1!979:979,"AAAAAC9x/ZI=",0)</f>
        <v>0</v>
      </c>
      <c r="ER5">
        <f>IF(Hoja1!980:980,"AAAAAC9x/ZM=",0)</f>
        <v>0</v>
      </c>
      <c r="ES5">
        <f>IF(Hoja1!981:981,"AAAAAC9x/ZQ=",0)</f>
        <v>0</v>
      </c>
      <c r="ET5">
        <f>IF(Hoja1!982:982,"AAAAAC9x/ZU=",0)</f>
        <v>0</v>
      </c>
      <c r="EU5">
        <f>IF(Hoja1!983:983,"AAAAAC9x/ZY=",0)</f>
        <v>0</v>
      </c>
      <c r="EV5">
        <f>IF(Hoja1!984:984,"AAAAAC9x/Zc=",0)</f>
        <v>0</v>
      </c>
      <c r="EW5">
        <f>IF(Hoja1!985:985,"AAAAAC9x/Zg=",0)</f>
        <v>0</v>
      </c>
      <c r="EX5">
        <f>IF(Hoja1!986:986,"AAAAAC9x/Zk=",0)</f>
        <v>0</v>
      </c>
      <c r="EY5">
        <f>IF(Hoja1!987:987,"AAAAAC9x/Zo=",0)</f>
        <v>0</v>
      </c>
      <c r="EZ5">
        <f>IF(Hoja1!988:988,"AAAAAC9x/Zs=",0)</f>
        <v>0</v>
      </c>
      <c r="FA5">
        <f>IF(Hoja1!989:989,"AAAAAC9x/Zw=",0)</f>
        <v>0</v>
      </c>
      <c r="FB5">
        <f>IF(Hoja1!990:990,"AAAAAC9x/Z0=",0)</f>
        <v>0</v>
      </c>
      <c r="FC5">
        <f>IF(Hoja1!991:991,"AAAAAC9x/Z4=",0)</f>
        <v>0</v>
      </c>
      <c r="FD5">
        <f>IF(Hoja1!992:992,"AAAAAC9x/Z8=",0)</f>
        <v>0</v>
      </c>
      <c r="FE5">
        <f>IF(Hoja1!993:993,"AAAAAC9x/aA=",0)</f>
        <v>0</v>
      </c>
      <c r="FF5">
        <f>IF(Hoja1!994:994,"AAAAAC9x/aE=",0)</f>
        <v>0</v>
      </c>
      <c r="FG5">
        <f>IF(Hoja1!995:995,"AAAAAC9x/aI=",0)</f>
        <v>0</v>
      </c>
      <c r="FH5">
        <f>IF(Hoja1!996:996,"AAAAAC9x/aM=",0)</f>
        <v>0</v>
      </c>
      <c r="FI5">
        <f>IF(Hoja1!997:997,"AAAAAC9x/aQ=",0)</f>
        <v>0</v>
      </c>
      <c r="FJ5">
        <f>IF(Hoja1!998:998,"AAAAAC9x/aU=",0)</f>
        <v>0</v>
      </c>
      <c r="FK5">
        <f>IF(Hoja1!999:999,"AAAAAC9x/aY=",0)</f>
        <v>0</v>
      </c>
      <c r="FL5">
        <f>IF(Hoja1!1000:1000,"AAAAAC9x/ac=",0)</f>
        <v>0</v>
      </c>
      <c r="FM5">
        <f>IF(Hoja1!1001:1001,"AAAAAC9x/ag=",0)</f>
        <v>0</v>
      </c>
      <c r="FN5">
        <f>IF(Hoja1!1002:1002,"AAAAAC9x/ak=",0)</f>
        <v>0</v>
      </c>
      <c r="FO5">
        <f>IF(Hoja1!1003:1003,"AAAAAC9x/ao=",0)</f>
        <v>0</v>
      </c>
      <c r="FP5">
        <f>IF(Hoja1!1004:1004,"AAAAAC9x/as=",0)</f>
        <v>0</v>
      </c>
      <c r="FQ5">
        <f>IF(Hoja1!1005:1005,"AAAAAC9x/aw=",0)</f>
        <v>0</v>
      </c>
      <c r="FR5">
        <f>IF(Hoja1!1006:1006,"AAAAAC9x/a0=",0)</f>
        <v>0</v>
      </c>
      <c r="FS5">
        <f>IF(Hoja1!1007:1007,"AAAAAC9x/a4=",0)</f>
        <v>0</v>
      </c>
      <c r="FT5">
        <f>IF(Hoja1!1008:1008,"AAAAAC9x/a8=",0)</f>
        <v>0</v>
      </c>
      <c r="FU5">
        <f>IF(Hoja1!1009:1009,"AAAAAC9x/bA=",0)</f>
        <v>0</v>
      </c>
      <c r="FV5">
        <f>IF(Hoja1!1010:1010,"AAAAAC9x/bE=",0)</f>
        <v>0</v>
      </c>
      <c r="FW5">
        <f>IF(Hoja1!1011:1011,"AAAAAC9x/bI=",0)</f>
        <v>0</v>
      </c>
      <c r="FX5">
        <f>IF(Hoja1!1012:1012,"AAAAAC9x/bM=",0)</f>
        <v>0</v>
      </c>
      <c r="FY5">
        <f>IF(Hoja1!1013:1013,"AAAAAC9x/bQ=",0)</f>
        <v>0</v>
      </c>
      <c r="FZ5">
        <f>IF(Hoja1!1014:1014,"AAAAAC9x/bU=",0)</f>
        <v>0</v>
      </c>
      <c r="GA5">
        <f>IF(Hoja1!1015:1015,"AAAAAC9x/bY=",0)</f>
        <v>0</v>
      </c>
      <c r="GB5">
        <f>IF(Hoja1!1016:1016,"AAAAAC9x/bc=",0)</f>
        <v>0</v>
      </c>
      <c r="GC5">
        <f>IF(Hoja1!1017:1017,"AAAAAC9x/bg=",0)</f>
        <v>0</v>
      </c>
      <c r="GD5">
        <f>IF(Hoja1!1018:1018,"AAAAAC9x/bk=",0)</f>
        <v>0</v>
      </c>
      <c r="GE5">
        <f>IF(Hoja1!1019:1019,"AAAAAC9x/bo=",0)</f>
        <v>0</v>
      </c>
      <c r="GF5">
        <f>IF(Hoja1!1020:1020,"AAAAAC9x/bs=",0)</f>
        <v>0</v>
      </c>
      <c r="GG5">
        <f>IF(Hoja1!1021:1021,"AAAAAC9x/bw=",0)</f>
        <v>0</v>
      </c>
      <c r="GH5">
        <f>IF(Hoja1!1022:1022,"AAAAAC9x/b0=",0)</f>
        <v>0</v>
      </c>
      <c r="GI5">
        <f>IF(Hoja1!1023:1023,"AAAAAC9x/b4=",0)</f>
        <v>0</v>
      </c>
      <c r="GJ5">
        <f>IF(Hoja1!1024:1024,"AAAAAC9x/b8=",0)</f>
        <v>0</v>
      </c>
      <c r="GK5">
        <f>IF(Hoja1!1025:1025,"AAAAAC9x/cA=",0)</f>
        <v>0</v>
      </c>
      <c r="GL5">
        <f>IF(Hoja1!1026:1026,"AAAAAC9x/cE=",0)</f>
        <v>0</v>
      </c>
      <c r="GM5">
        <f>IF(Hoja1!1027:1027,"AAAAAC9x/cI=",0)</f>
        <v>0</v>
      </c>
      <c r="GN5">
        <f>IF(Hoja1!1028:1028,"AAAAAC9x/cM=",0)</f>
        <v>0</v>
      </c>
      <c r="GO5">
        <f>IF(Hoja1!1029:1029,"AAAAAC9x/cQ=",0)</f>
        <v>0</v>
      </c>
      <c r="GP5">
        <f>IF(Hoja1!1030:1030,"AAAAAC9x/cU=",0)</f>
        <v>0</v>
      </c>
      <c r="GQ5">
        <f>IF(Hoja1!1031:1031,"AAAAAC9x/cY=",0)</f>
        <v>0</v>
      </c>
      <c r="GR5">
        <f>IF(Hoja1!1032:1032,"AAAAAC9x/cc=",0)</f>
        <v>0</v>
      </c>
      <c r="GS5">
        <f>IF(Hoja1!1033:1033,"AAAAAC9x/cg=",0)</f>
        <v>0</v>
      </c>
      <c r="GT5">
        <f>IF(Hoja1!1034:1034,"AAAAAC9x/ck=",0)</f>
        <v>0</v>
      </c>
      <c r="GU5">
        <f>IF(Hoja1!1035:1035,"AAAAAC9x/co=",0)</f>
        <v>0</v>
      </c>
      <c r="GV5">
        <f>IF(Hoja1!1036:1036,"AAAAAC9x/cs=",0)</f>
        <v>0</v>
      </c>
      <c r="GW5">
        <f>IF(Hoja1!1037:1037,"AAAAAC9x/cw=",0)</f>
        <v>0</v>
      </c>
      <c r="GX5">
        <f>IF(Hoja1!1038:1038,"AAAAAC9x/c0=",0)</f>
        <v>0</v>
      </c>
      <c r="GY5">
        <f>IF(Hoja1!1039:1039,"AAAAAC9x/c4=",0)</f>
        <v>0</v>
      </c>
      <c r="GZ5">
        <f>IF(Hoja1!1040:1040,"AAAAAC9x/c8=",0)</f>
        <v>0</v>
      </c>
      <c r="HA5">
        <f>IF(Hoja1!1041:1041,"AAAAAC9x/dA=",0)</f>
        <v>0</v>
      </c>
      <c r="HB5">
        <f>IF(Hoja1!1042:1042,"AAAAAC9x/dE=",0)</f>
        <v>0</v>
      </c>
      <c r="HC5">
        <f>IF(Hoja1!1043:1043,"AAAAAC9x/dI=",0)</f>
        <v>0</v>
      </c>
      <c r="HD5">
        <f>IF(Hoja1!1044:1044,"AAAAAC9x/dM=",0)</f>
        <v>0</v>
      </c>
      <c r="HE5">
        <f>IF(Hoja1!1045:1045,"AAAAAC9x/dQ=",0)</f>
        <v>0</v>
      </c>
      <c r="HF5">
        <f>IF(Hoja1!1046:1046,"AAAAAC9x/dU=",0)</f>
        <v>0</v>
      </c>
      <c r="HG5">
        <f>IF(Hoja1!1047:1047,"AAAAAC9x/dY=",0)</f>
        <v>0</v>
      </c>
      <c r="HH5">
        <f>IF(Hoja1!1048:1048,"AAAAAC9x/dc=",0)</f>
        <v>0</v>
      </c>
      <c r="HI5">
        <f>IF(Hoja1!1049:1049,"AAAAAC9x/dg=",0)</f>
        <v>0</v>
      </c>
      <c r="HJ5">
        <f>IF(Hoja1!1050:1050,"AAAAAC9x/dk=",0)</f>
        <v>0</v>
      </c>
      <c r="HK5">
        <f>IF(Hoja1!1051:1051,"AAAAAC9x/do=",0)</f>
        <v>0</v>
      </c>
      <c r="HL5">
        <f>IF(Hoja1!1052:1052,"AAAAAC9x/ds=",0)</f>
        <v>0</v>
      </c>
      <c r="HM5">
        <f>IF(Hoja1!1053:1053,"AAAAAC9x/dw=",0)</f>
        <v>0</v>
      </c>
      <c r="HN5">
        <f>IF(Hoja1!1054:1054,"AAAAAC9x/d0=",0)</f>
        <v>0</v>
      </c>
      <c r="HO5">
        <f>IF(Hoja1!1055:1055,"AAAAAC9x/d4=",0)</f>
        <v>0</v>
      </c>
      <c r="HP5">
        <f>IF(Hoja1!1056:1056,"AAAAAC9x/d8=",0)</f>
        <v>0</v>
      </c>
      <c r="HQ5">
        <f>IF(Hoja1!1057:1057,"AAAAAC9x/eA=",0)</f>
        <v>0</v>
      </c>
      <c r="HR5">
        <f>IF(Hoja1!1058:1058,"AAAAAC9x/eE=",0)</f>
        <v>0</v>
      </c>
      <c r="HS5">
        <f>IF(Hoja1!1059:1059,"AAAAAC9x/eI=",0)</f>
        <v>0</v>
      </c>
      <c r="HT5">
        <f>IF(Hoja1!1060:1060,"AAAAAC9x/eM=",0)</f>
        <v>0</v>
      </c>
      <c r="HU5">
        <f>IF(Hoja1!1061:1061,"AAAAAC9x/eQ=",0)</f>
        <v>0</v>
      </c>
      <c r="HV5">
        <f>IF(Hoja1!1062:1062,"AAAAAC9x/eU=",0)</f>
        <v>0</v>
      </c>
      <c r="HW5">
        <f>IF(Hoja1!1063:1063,"AAAAAC9x/eY=",0)</f>
        <v>0</v>
      </c>
      <c r="HX5">
        <f>IF(Hoja1!1064:1064,"AAAAAC9x/ec=",0)</f>
        <v>0</v>
      </c>
      <c r="HY5">
        <f>IF(Hoja1!1065:1065,"AAAAAC9x/eg=",0)</f>
        <v>0</v>
      </c>
      <c r="HZ5">
        <f>IF(Hoja1!1066:1066,"AAAAAC9x/ek=",0)</f>
        <v>0</v>
      </c>
      <c r="IA5">
        <f>IF(Hoja1!1067:1067,"AAAAAC9x/eo=",0)</f>
        <v>0</v>
      </c>
      <c r="IB5">
        <f>IF(Hoja1!1068:1068,"AAAAAC9x/es=",0)</f>
        <v>0</v>
      </c>
      <c r="IC5">
        <f>IF(Hoja1!1069:1069,"AAAAAC9x/ew=",0)</f>
        <v>0</v>
      </c>
      <c r="ID5">
        <f>IF(Hoja1!1070:1070,"AAAAAC9x/e0=",0)</f>
        <v>0</v>
      </c>
      <c r="IE5">
        <f>IF(Hoja1!1071:1071,"AAAAAC9x/e4=",0)</f>
        <v>0</v>
      </c>
      <c r="IF5">
        <f>IF(Hoja1!1072:1072,"AAAAAC9x/e8=",0)</f>
        <v>0</v>
      </c>
      <c r="IG5">
        <f>IF(Hoja1!1073:1073,"AAAAAC9x/fA=",0)</f>
        <v>0</v>
      </c>
      <c r="IH5">
        <f>IF(Hoja1!1074:1074,"AAAAAC9x/fE=",0)</f>
        <v>0</v>
      </c>
      <c r="II5">
        <f>IF(Hoja1!1075:1075,"AAAAAC9x/fI=",0)</f>
        <v>0</v>
      </c>
      <c r="IJ5">
        <f>IF(Hoja1!1076:1076,"AAAAAC9x/fM=",0)</f>
        <v>0</v>
      </c>
      <c r="IK5">
        <f>IF(Hoja1!1077:1077,"AAAAAC9x/fQ=",0)</f>
        <v>0</v>
      </c>
      <c r="IL5">
        <f>IF(Hoja1!1078:1078,"AAAAAC9x/fU=",0)</f>
        <v>0</v>
      </c>
      <c r="IM5">
        <f>IF(Hoja1!1079:1079,"AAAAAC9x/fY=",0)</f>
        <v>0</v>
      </c>
      <c r="IN5">
        <f>IF(Hoja1!1080:1080,"AAAAAC9x/fc=",0)</f>
        <v>0</v>
      </c>
      <c r="IO5">
        <f>IF(Hoja1!1081:1081,"AAAAAC9x/fg=",0)</f>
        <v>0</v>
      </c>
      <c r="IP5">
        <f>IF(Hoja1!1082:1082,"AAAAAC9x/fk=",0)</f>
        <v>0</v>
      </c>
      <c r="IQ5">
        <f>IF(Hoja1!1083:1083,"AAAAAC9x/fo=",0)</f>
        <v>0</v>
      </c>
      <c r="IR5">
        <f>IF(Hoja1!1084:1084,"AAAAAC9x/fs=",0)</f>
        <v>0</v>
      </c>
      <c r="IS5">
        <f>IF(Hoja1!1085:1085,"AAAAAC9x/fw=",0)</f>
        <v>0</v>
      </c>
      <c r="IT5">
        <f>IF(Hoja1!1086:1086,"AAAAAC9x/f0=",0)</f>
        <v>0</v>
      </c>
      <c r="IU5">
        <f>IF(Hoja1!1087:1087,"AAAAAC9x/f4=",0)</f>
        <v>0</v>
      </c>
      <c r="IV5">
        <f>IF(Hoja1!1088:1088,"AAAAAC9x/f8=",0)</f>
        <v>0</v>
      </c>
    </row>
    <row r="6" spans="1:256" x14ac:dyDescent="0.2">
      <c r="A6">
        <f>IF(Hoja1!1089:1089,"AAAAAB/v/wA=",0)</f>
        <v>0</v>
      </c>
      <c r="B6">
        <f>IF(Hoja1!1090:1090,"AAAAAB/v/wE=",0)</f>
        <v>0</v>
      </c>
      <c r="C6">
        <f>IF(Hoja1!1091:1091,"AAAAAB/v/wI=",0)</f>
        <v>0</v>
      </c>
      <c r="D6">
        <f>IF(Hoja1!1092:1092,"AAAAAB/v/wM=",0)</f>
        <v>0</v>
      </c>
      <c r="E6">
        <f>IF(Hoja1!1093:1093,"AAAAAB/v/wQ=",0)</f>
        <v>0</v>
      </c>
      <c r="F6">
        <f>IF(Hoja1!1094:1094,"AAAAAB/v/wU=",0)</f>
        <v>0</v>
      </c>
      <c r="G6">
        <f>IF(Hoja1!1095:1095,"AAAAAB/v/wY=",0)</f>
        <v>0</v>
      </c>
      <c r="H6">
        <f>IF(Hoja1!1096:1096,"AAAAAB/v/wc=",0)</f>
        <v>0</v>
      </c>
      <c r="I6">
        <f>IF(Hoja1!1097:1097,"AAAAAB/v/wg=",0)</f>
        <v>0</v>
      </c>
      <c r="J6">
        <f>IF(Hoja1!1098:1098,"AAAAAB/v/wk=",0)</f>
        <v>0</v>
      </c>
      <c r="K6">
        <f>IF(Hoja1!1099:1099,"AAAAAB/v/wo=",0)</f>
        <v>0</v>
      </c>
      <c r="L6">
        <f>IF(Hoja1!1100:1100,"AAAAAB/v/ws=",0)</f>
        <v>0</v>
      </c>
      <c r="M6">
        <f>IF(Hoja1!1101:1101,"AAAAAB/v/ww=",0)</f>
        <v>0</v>
      </c>
      <c r="N6">
        <f>IF(Hoja1!1102:1102,"AAAAAB/v/w0=",0)</f>
        <v>0</v>
      </c>
      <c r="O6">
        <f>IF(Hoja1!1103:1103,"AAAAAB/v/w4=",0)</f>
        <v>0</v>
      </c>
      <c r="P6">
        <f>IF(Hoja1!1104:1104,"AAAAAB/v/w8=",0)</f>
        <v>0</v>
      </c>
      <c r="Q6">
        <f>IF(Hoja1!1105:1105,"AAAAAB/v/xA=",0)</f>
        <v>0</v>
      </c>
      <c r="R6">
        <f>IF(Hoja1!1106:1106,"AAAAAB/v/xE=",0)</f>
        <v>0</v>
      </c>
      <c r="S6">
        <f>IF(Hoja1!1107:1107,"AAAAAB/v/xI=",0)</f>
        <v>0</v>
      </c>
      <c r="T6">
        <f>IF(Hoja1!1108:1108,"AAAAAB/v/xM=",0)</f>
        <v>0</v>
      </c>
      <c r="U6">
        <f>IF(Hoja1!1109:1109,"AAAAAB/v/xQ=",0)</f>
        <v>0</v>
      </c>
      <c r="V6">
        <f>IF(Hoja1!1110:1110,"AAAAAB/v/xU=",0)</f>
        <v>0</v>
      </c>
      <c r="W6">
        <f>IF(Hoja1!1111:1111,"AAAAAB/v/xY=",0)</f>
        <v>0</v>
      </c>
      <c r="X6">
        <f>IF(Hoja1!1112:1112,"AAAAAB/v/xc=",0)</f>
        <v>0</v>
      </c>
      <c r="Y6">
        <f>IF(Hoja1!1113:1113,"AAAAAB/v/xg=",0)</f>
        <v>0</v>
      </c>
      <c r="Z6">
        <f>IF(Hoja1!1114:1114,"AAAAAB/v/xk=",0)</f>
        <v>0</v>
      </c>
      <c r="AA6">
        <f>IF(Hoja1!1115:1115,"AAAAAB/v/xo=",0)</f>
        <v>0</v>
      </c>
      <c r="AB6">
        <f>IF(Hoja1!1116:1116,"AAAAAB/v/xs=",0)</f>
        <v>0</v>
      </c>
      <c r="AC6">
        <f>IF(Hoja1!1117:1117,"AAAAAB/v/xw=",0)</f>
        <v>0</v>
      </c>
      <c r="AD6">
        <f>IF(Hoja1!1118:1118,"AAAAAB/v/x0=",0)</f>
        <v>0</v>
      </c>
      <c r="AE6">
        <f>IF(Hoja1!1119:1119,"AAAAAB/v/x4=",0)</f>
        <v>0</v>
      </c>
      <c r="AF6">
        <f>IF(Hoja1!1120:1120,"AAAAAB/v/x8=",0)</f>
        <v>0</v>
      </c>
      <c r="AG6">
        <f>IF(Hoja1!1121:1121,"AAAAAB/v/yA=",0)</f>
        <v>0</v>
      </c>
      <c r="AH6">
        <f>IF(Hoja1!1122:1122,"AAAAAB/v/yE=",0)</f>
        <v>0</v>
      </c>
      <c r="AI6">
        <f>IF(Hoja1!1123:1123,"AAAAAB/v/yI=",0)</f>
        <v>0</v>
      </c>
      <c r="AJ6">
        <f>IF(Hoja1!1124:1124,"AAAAAB/v/yM=",0)</f>
        <v>0</v>
      </c>
      <c r="AK6">
        <f>IF(Hoja1!1125:1125,"AAAAAB/v/yQ=",0)</f>
        <v>0</v>
      </c>
      <c r="AL6">
        <f>IF(Hoja1!1126:1126,"AAAAAB/v/yU=",0)</f>
        <v>0</v>
      </c>
      <c r="AM6">
        <f>IF(Hoja1!1127:1127,"AAAAAB/v/yY=",0)</f>
        <v>0</v>
      </c>
      <c r="AN6">
        <f>IF(Hoja1!1128:1128,"AAAAAB/v/yc=",0)</f>
        <v>0</v>
      </c>
      <c r="AO6">
        <f>IF(Hoja1!1129:1129,"AAAAAB/v/yg=",0)</f>
        <v>0</v>
      </c>
      <c r="AP6">
        <f>IF(Hoja1!1130:1130,"AAAAAB/v/yk=",0)</f>
        <v>0</v>
      </c>
      <c r="AQ6">
        <f>IF(Hoja1!1131:1131,"AAAAAB/v/yo=",0)</f>
        <v>0</v>
      </c>
      <c r="AR6">
        <f>IF(Hoja1!1132:1132,"AAAAAB/v/ys=",0)</f>
        <v>0</v>
      </c>
      <c r="AS6">
        <f>IF(Hoja1!1133:1133,"AAAAAB/v/yw=",0)</f>
        <v>0</v>
      </c>
      <c r="AT6">
        <f>IF(Hoja1!1134:1134,"AAAAAB/v/y0=",0)</f>
        <v>0</v>
      </c>
      <c r="AU6">
        <f>IF(Hoja1!1135:1135,"AAAAAB/v/y4=",0)</f>
        <v>0</v>
      </c>
      <c r="AV6">
        <f>IF(Hoja1!1136:1136,"AAAAAB/v/y8=",0)</f>
        <v>0</v>
      </c>
      <c r="AW6">
        <f>IF(Hoja1!1137:1137,"AAAAAB/v/zA=",0)</f>
        <v>0</v>
      </c>
      <c r="AX6">
        <f>IF(Hoja1!1138:1138,"AAAAAB/v/zE=",0)</f>
        <v>0</v>
      </c>
      <c r="AY6">
        <f>IF(Hoja1!1139:1139,"AAAAAB/v/zI=",0)</f>
        <v>0</v>
      </c>
      <c r="AZ6">
        <f>IF(Hoja1!1140:1140,"AAAAAB/v/zM=",0)</f>
        <v>0</v>
      </c>
      <c r="BA6">
        <f>IF(Hoja1!1141:1141,"AAAAAB/v/zQ=",0)</f>
        <v>0</v>
      </c>
      <c r="BB6">
        <f>IF(Hoja1!1142:1142,"AAAAAB/v/zU=",0)</f>
        <v>0</v>
      </c>
      <c r="BC6">
        <f>IF(Hoja1!1143:1143,"AAAAAB/v/zY=",0)</f>
        <v>0</v>
      </c>
      <c r="BD6">
        <f>IF(Hoja1!1144:1144,"AAAAAB/v/zc=",0)</f>
        <v>0</v>
      </c>
      <c r="BE6">
        <f>IF(Hoja1!1145:1145,"AAAAAB/v/zg=",0)</f>
        <v>0</v>
      </c>
      <c r="BF6">
        <f>IF(Hoja1!1146:1146,"AAAAAB/v/zk=",0)</f>
        <v>0</v>
      </c>
      <c r="BG6">
        <f>IF(Hoja1!1147:1147,"AAAAAB/v/zo=",0)</f>
        <v>0</v>
      </c>
      <c r="BH6">
        <f>IF(Hoja1!1148:1148,"AAAAAB/v/zs=",0)</f>
        <v>0</v>
      </c>
      <c r="BI6">
        <f>IF(Hoja1!1149:1149,"AAAAAB/v/zw=",0)</f>
        <v>0</v>
      </c>
      <c r="BJ6">
        <f>IF(Hoja1!1150:1150,"AAAAAB/v/z0=",0)</f>
        <v>0</v>
      </c>
      <c r="BK6">
        <f>IF(Hoja1!1151:1151,"AAAAAB/v/z4=",0)</f>
        <v>0</v>
      </c>
      <c r="BL6">
        <f>IF(Hoja1!1152:1152,"AAAAAB/v/z8=",0)</f>
        <v>0</v>
      </c>
      <c r="BM6">
        <f>IF(Hoja1!1153:1153,"AAAAAB/v/0A=",0)</f>
        <v>0</v>
      </c>
      <c r="BN6">
        <f>IF(Hoja1!1154:1154,"AAAAAB/v/0E=",0)</f>
        <v>0</v>
      </c>
      <c r="BO6">
        <f>IF(Hoja1!1155:1155,"AAAAAB/v/0I=",0)</f>
        <v>0</v>
      </c>
      <c r="BP6">
        <f>IF(Hoja1!1156:1156,"AAAAAB/v/0M=",0)</f>
        <v>0</v>
      </c>
      <c r="BQ6">
        <f>IF(Hoja1!1157:1157,"AAAAAB/v/0Q=",0)</f>
        <v>0</v>
      </c>
      <c r="BR6">
        <f>IF(Hoja1!1158:1158,"AAAAAB/v/0U=",0)</f>
        <v>0</v>
      </c>
      <c r="BS6">
        <f>IF(Hoja1!1159:1159,"AAAAAB/v/0Y=",0)</f>
        <v>0</v>
      </c>
      <c r="BT6">
        <f>IF(Hoja1!1160:1160,"AAAAAB/v/0c=",0)</f>
        <v>0</v>
      </c>
      <c r="BU6">
        <f>IF(Hoja1!1161:1161,"AAAAAB/v/0g=",0)</f>
        <v>0</v>
      </c>
      <c r="BV6">
        <f>IF(Hoja1!1162:1162,"AAAAAB/v/0k=",0)</f>
        <v>0</v>
      </c>
      <c r="BW6">
        <f>IF(Hoja1!1163:1163,"AAAAAB/v/0o=",0)</f>
        <v>0</v>
      </c>
      <c r="BX6">
        <f>IF(Hoja1!1164:1164,"AAAAAB/v/0s=",0)</f>
        <v>0</v>
      </c>
      <c r="BY6">
        <f>IF(Hoja1!1165:1165,"AAAAAB/v/0w=",0)</f>
        <v>0</v>
      </c>
      <c r="BZ6">
        <f>IF(Hoja1!1166:1166,"AAAAAB/v/00=",0)</f>
        <v>0</v>
      </c>
      <c r="CA6">
        <f>IF(Hoja1!1167:1167,"AAAAAB/v/04=",0)</f>
        <v>0</v>
      </c>
      <c r="CB6">
        <f>IF(Hoja1!1168:1168,"AAAAAB/v/08=",0)</f>
        <v>0</v>
      </c>
      <c r="CC6">
        <f>IF(Hoja1!1169:1169,"AAAAAB/v/1A=",0)</f>
        <v>0</v>
      </c>
      <c r="CD6">
        <f>IF(Hoja1!1170:1170,"AAAAAB/v/1E=",0)</f>
        <v>0</v>
      </c>
      <c r="CE6">
        <f>IF(Hoja1!1171:1171,"AAAAAB/v/1I=",0)</f>
        <v>0</v>
      </c>
      <c r="CF6">
        <f>IF(Hoja1!1172:1172,"AAAAAB/v/1M=",0)</f>
        <v>0</v>
      </c>
      <c r="CG6">
        <f>IF(Hoja1!1173:1173,"AAAAAB/v/1Q=",0)</f>
        <v>0</v>
      </c>
      <c r="CH6">
        <f>IF(Hoja1!1174:1174,"AAAAAB/v/1U=",0)</f>
        <v>0</v>
      </c>
      <c r="CI6">
        <f>IF(Hoja1!1175:1175,"AAAAAB/v/1Y=",0)</f>
        <v>0</v>
      </c>
      <c r="CJ6">
        <f>IF(Hoja1!1176:1176,"AAAAAB/v/1c=",0)</f>
        <v>0</v>
      </c>
      <c r="CK6">
        <f>IF(Hoja1!1177:1177,"AAAAAB/v/1g=",0)</f>
        <v>0</v>
      </c>
      <c r="CL6">
        <f>IF(Hoja1!1178:1178,"AAAAAB/v/1k=",0)</f>
        <v>0</v>
      </c>
      <c r="CM6">
        <f>IF(Hoja1!1179:1179,"AAAAAB/v/1o=",0)</f>
        <v>0</v>
      </c>
      <c r="CN6">
        <f>IF(Hoja1!1180:1180,"AAAAAB/v/1s=",0)</f>
        <v>0</v>
      </c>
      <c r="CO6">
        <f>IF(Hoja1!1181:1181,"AAAAAB/v/1w=",0)</f>
        <v>0</v>
      </c>
      <c r="CP6">
        <f>IF(Hoja1!1182:1182,"AAAAAB/v/10=",0)</f>
        <v>0</v>
      </c>
      <c r="CQ6">
        <f>IF(Hoja1!1183:1183,"AAAAAB/v/14=",0)</f>
        <v>0</v>
      </c>
      <c r="CR6">
        <f>IF(Hoja1!1184:1184,"AAAAAB/v/18=",0)</f>
        <v>0</v>
      </c>
      <c r="CS6">
        <f>IF(Hoja1!1185:1185,"AAAAAB/v/2A=",0)</f>
        <v>0</v>
      </c>
      <c r="CT6">
        <f>IF(Hoja1!1186:1186,"AAAAAB/v/2E=",0)</f>
        <v>0</v>
      </c>
      <c r="CU6">
        <f>IF(Hoja1!1187:1187,"AAAAAB/v/2I=",0)</f>
        <v>0</v>
      </c>
      <c r="CV6">
        <f>IF(Hoja1!1188:1188,"AAAAAB/v/2M=",0)</f>
        <v>0</v>
      </c>
      <c r="CW6">
        <f>IF(Hoja1!1189:1189,"AAAAAB/v/2Q=",0)</f>
        <v>0</v>
      </c>
      <c r="CX6">
        <f>IF(Hoja1!1190:1190,"AAAAAB/v/2U=",0)</f>
        <v>0</v>
      </c>
      <c r="CY6">
        <f>IF(Hoja1!1191:1191,"AAAAAB/v/2Y=",0)</f>
        <v>0</v>
      </c>
      <c r="CZ6">
        <f>IF(Hoja1!1192:1192,"AAAAAB/v/2c=",0)</f>
        <v>0</v>
      </c>
      <c r="DA6">
        <f>IF(Hoja1!1193:1193,"AAAAAB/v/2g=",0)</f>
        <v>0</v>
      </c>
      <c r="DB6">
        <f>IF(Hoja1!1194:1194,"AAAAAB/v/2k=",0)</f>
        <v>0</v>
      </c>
      <c r="DC6">
        <f>IF(Hoja1!1195:1195,"AAAAAB/v/2o=",0)</f>
        <v>0</v>
      </c>
      <c r="DD6">
        <f>IF(Hoja1!1196:1196,"AAAAAB/v/2s=",0)</f>
        <v>0</v>
      </c>
      <c r="DE6">
        <f>IF(Hoja1!1197:1197,"AAAAAB/v/2w=",0)</f>
        <v>0</v>
      </c>
      <c r="DF6">
        <f>IF(Hoja1!1198:1198,"AAAAAB/v/20=",0)</f>
        <v>0</v>
      </c>
      <c r="DG6">
        <f>IF(Hoja1!1199:1199,"AAAAAB/v/24=",0)</f>
        <v>0</v>
      </c>
      <c r="DH6">
        <f>IF(Hoja1!1200:1200,"AAAAAB/v/28=",0)</f>
        <v>0</v>
      </c>
      <c r="DI6">
        <f>IF(Hoja1!1201:1201,"AAAAAB/v/3A=",0)</f>
        <v>0</v>
      </c>
      <c r="DJ6">
        <f>IF(Hoja1!1202:1202,"AAAAAB/v/3E=",0)</f>
        <v>0</v>
      </c>
      <c r="DK6">
        <f>IF(Hoja1!1203:1203,"AAAAAB/v/3I=",0)</f>
        <v>0</v>
      </c>
      <c r="DL6">
        <f>IF(Hoja1!1204:1204,"AAAAAB/v/3M=",0)</f>
        <v>0</v>
      </c>
      <c r="DM6">
        <f>IF(Hoja1!1205:1205,"AAAAAB/v/3Q=",0)</f>
        <v>0</v>
      </c>
      <c r="DN6">
        <f>IF(Hoja1!1206:1206,"AAAAAB/v/3U=",0)</f>
        <v>0</v>
      </c>
      <c r="DO6">
        <f>IF(Hoja1!1207:1207,"AAAAAB/v/3Y=",0)</f>
        <v>0</v>
      </c>
      <c r="DP6">
        <f>IF(Hoja1!1208:1208,"AAAAAB/v/3c=",0)</f>
        <v>0</v>
      </c>
      <c r="DQ6">
        <f>IF(Hoja1!1209:1209,"AAAAAB/v/3g=",0)</f>
        <v>0</v>
      </c>
      <c r="DR6">
        <f>IF(Hoja1!1210:1210,"AAAAAB/v/3k=",0)</f>
        <v>0</v>
      </c>
      <c r="DS6">
        <f>IF(Hoja1!1211:1211,"AAAAAB/v/3o=",0)</f>
        <v>0</v>
      </c>
      <c r="DT6">
        <f>IF(Hoja1!1212:1212,"AAAAAB/v/3s=",0)</f>
        <v>0</v>
      </c>
      <c r="DU6">
        <f>IF(Hoja1!1213:1213,"AAAAAB/v/3w=",0)</f>
        <v>0</v>
      </c>
      <c r="DV6">
        <f>IF(Hoja1!1214:1214,"AAAAAB/v/30=",0)</f>
        <v>0</v>
      </c>
      <c r="DW6">
        <f>IF(Hoja1!1215:1215,"AAAAAB/v/34=",0)</f>
        <v>0</v>
      </c>
      <c r="DX6">
        <f>IF(Hoja1!1216:1216,"AAAAAB/v/38=",0)</f>
        <v>0</v>
      </c>
      <c r="DY6">
        <f>IF(Hoja1!1217:1217,"AAAAAB/v/4A=",0)</f>
        <v>0</v>
      </c>
      <c r="DZ6">
        <f>IF(Hoja1!1218:1218,"AAAAAB/v/4E=",0)</f>
        <v>0</v>
      </c>
      <c r="EA6">
        <f>IF(Hoja1!1219:1219,"AAAAAB/v/4I=",0)</f>
        <v>0</v>
      </c>
      <c r="EB6">
        <f>IF(Hoja1!1220:1220,"AAAAAB/v/4M=",0)</f>
        <v>0</v>
      </c>
      <c r="EC6">
        <f>IF(Hoja1!1221:1221,"AAAAAB/v/4Q=",0)</f>
        <v>0</v>
      </c>
      <c r="ED6">
        <f>IF(Hoja1!1222:1222,"AAAAAB/v/4U=",0)</f>
        <v>0</v>
      </c>
      <c r="EE6">
        <f>IF(Hoja1!1223:1223,"AAAAAB/v/4Y=",0)</f>
        <v>0</v>
      </c>
      <c r="EF6">
        <f>IF(Hoja1!1224:1224,"AAAAAB/v/4c=",0)</f>
        <v>0</v>
      </c>
      <c r="EG6">
        <f>IF(Hoja1!1225:1225,"AAAAAB/v/4g=",0)</f>
        <v>0</v>
      </c>
      <c r="EH6">
        <f>IF(Hoja1!1226:1226,"AAAAAB/v/4k=",0)</f>
        <v>0</v>
      </c>
      <c r="EI6">
        <f>IF(Hoja1!1227:1227,"AAAAAB/v/4o=",0)</f>
        <v>0</v>
      </c>
      <c r="EJ6">
        <f>IF(Hoja1!1228:1228,"AAAAAB/v/4s=",0)</f>
        <v>0</v>
      </c>
      <c r="EK6">
        <f>IF(Hoja1!1229:1229,"AAAAAB/v/4w=",0)</f>
        <v>0</v>
      </c>
      <c r="EL6">
        <f>IF(Hoja1!1230:1230,"AAAAAB/v/40=",0)</f>
        <v>0</v>
      </c>
      <c r="EM6">
        <f>IF(Hoja1!1231:1231,"AAAAAB/v/44=",0)</f>
        <v>0</v>
      </c>
      <c r="EN6">
        <f>IF(Hoja1!1232:1232,"AAAAAB/v/48=",0)</f>
        <v>0</v>
      </c>
      <c r="EO6">
        <f>IF(Hoja1!1233:1233,"AAAAAB/v/5A=",0)</f>
        <v>0</v>
      </c>
      <c r="EP6">
        <f>IF(Hoja1!1234:1234,"AAAAAB/v/5E=",0)</f>
        <v>0</v>
      </c>
      <c r="EQ6">
        <f>IF(Hoja1!1235:1235,"AAAAAB/v/5I=",0)</f>
        <v>0</v>
      </c>
      <c r="ER6">
        <f>IF(Hoja1!1236:1236,"AAAAAB/v/5M=",0)</f>
        <v>0</v>
      </c>
      <c r="ES6">
        <f>IF(Hoja1!1237:1237,"AAAAAB/v/5Q=",0)</f>
        <v>0</v>
      </c>
      <c r="ET6">
        <f>IF(Hoja1!1238:1238,"AAAAAB/v/5U=",0)</f>
        <v>0</v>
      </c>
      <c r="EU6">
        <f>IF(Hoja1!1239:1239,"AAAAAB/v/5Y=",0)</f>
        <v>0</v>
      </c>
      <c r="EV6">
        <f>IF(Hoja1!1240:1240,"AAAAAB/v/5c=",0)</f>
        <v>0</v>
      </c>
      <c r="EW6">
        <f>IF(Hoja1!1241:1241,"AAAAAB/v/5g=",0)</f>
        <v>0</v>
      </c>
      <c r="EX6">
        <f>IF(Hoja1!1242:1242,"AAAAAB/v/5k=",0)</f>
        <v>0</v>
      </c>
      <c r="EY6">
        <f>IF(Hoja1!1243:1243,"AAAAAB/v/5o=",0)</f>
        <v>0</v>
      </c>
      <c r="EZ6">
        <f>IF(Hoja1!1244:1244,"AAAAAB/v/5s=",0)</f>
        <v>0</v>
      </c>
      <c r="FA6">
        <f>IF(Hoja1!1245:1245,"AAAAAB/v/5w=",0)</f>
        <v>0</v>
      </c>
      <c r="FB6">
        <f>IF(Hoja1!1246:1246,"AAAAAB/v/50=",0)</f>
        <v>0</v>
      </c>
      <c r="FC6">
        <f>IF(Hoja1!1247:1247,"AAAAAB/v/54=",0)</f>
        <v>0</v>
      </c>
      <c r="FD6">
        <f>IF(Hoja1!1248:1248,"AAAAAB/v/58=",0)</f>
        <v>0</v>
      </c>
      <c r="FE6">
        <f>IF(Hoja1!1249:1249,"AAAAAB/v/6A=",0)</f>
        <v>0</v>
      </c>
      <c r="FF6">
        <f>IF(Hoja1!1250:1250,"AAAAAB/v/6E=",0)</f>
        <v>0</v>
      </c>
      <c r="FG6">
        <f>IF(Hoja1!1251:1251,"AAAAAB/v/6I=",0)</f>
        <v>0</v>
      </c>
      <c r="FH6">
        <f>IF(Hoja1!1252:1252,"AAAAAB/v/6M=",0)</f>
        <v>0</v>
      </c>
      <c r="FI6">
        <f>IF(Hoja1!1253:1253,"AAAAAB/v/6Q=",0)</f>
        <v>0</v>
      </c>
      <c r="FJ6">
        <f>IF(Hoja1!1254:1254,"AAAAAB/v/6U=",0)</f>
        <v>0</v>
      </c>
      <c r="FK6">
        <f>IF(Hoja1!1255:1255,"AAAAAB/v/6Y=",0)</f>
        <v>0</v>
      </c>
      <c r="FL6">
        <f>IF(Hoja1!1256:1256,"AAAAAB/v/6c=",0)</f>
        <v>0</v>
      </c>
      <c r="FM6">
        <f>IF(Hoja1!1257:1257,"AAAAAB/v/6g=",0)</f>
        <v>0</v>
      </c>
      <c r="FN6">
        <f>IF(Hoja1!1258:1258,"AAAAAB/v/6k=",0)</f>
        <v>0</v>
      </c>
      <c r="FO6">
        <f>IF(Hoja1!1259:1259,"AAAAAB/v/6o=",0)</f>
        <v>0</v>
      </c>
      <c r="FP6">
        <f>IF(Hoja1!1260:1260,"AAAAAB/v/6s=",0)</f>
        <v>0</v>
      </c>
      <c r="FQ6">
        <f>IF(Hoja1!1261:1261,"AAAAAB/v/6w=",0)</f>
        <v>0</v>
      </c>
      <c r="FR6">
        <f>IF(Hoja1!1262:1262,"AAAAAB/v/60=",0)</f>
        <v>0</v>
      </c>
      <c r="FS6">
        <f>IF(Hoja1!1263:1263,"AAAAAB/v/64=",0)</f>
        <v>0</v>
      </c>
      <c r="FT6">
        <f>IF(Hoja1!1264:1264,"AAAAAB/v/68=",0)</f>
        <v>0</v>
      </c>
      <c r="FU6">
        <f>IF(Hoja1!1265:1265,"AAAAAB/v/7A=",0)</f>
        <v>0</v>
      </c>
      <c r="FV6">
        <f>IF(Hoja1!1266:1266,"AAAAAB/v/7E=",0)</f>
        <v>0</v>
      </c>
      <c r="FW6">
        <f>IF(Hoja1!1267:1267,"AAAAAB/v/7I=",0)</f>
        <v>0</v>
      </c>
      <c r="FX6">
        <f>IF(Hoja1!1268:1268,"AAAAAB/v/7M=",0)</f>
        <v>0</v>
      </c>
      <c r="FY6">
        <f>IF(Hoja1!1269:1269,"AAAAAB/v/7Q=",0)</f>
        <v>0</v>
      </c>
      <c r="FZ6">
        <f>IF(Hoja1!1270:1270,"AAAAAB/v/7U=",0)</f>
        <v>0</v>
      </c>
      <c r="GA6">
        <f>IF(Hoja1!1271:1271,"AAAAAB/v/7Y=",0)</f>
        <v>0</v>
      </c>
      <c r="GB6">
        <f>IF(Hoja1!1272:1272,"AAAAAB/v/7c=",0)</f>
        <v>0</v>
      </c>
      <c r="GC6">
        <f>IF(Hoja1!1273:1273,"AAAAAB/v/7g=",0)</f>
        <v>0</v>
      </c>
      <c r="GD6">
        <f>IF(Hoja1!1274:1274,"AAAAAB/v/7k=",0)</f>
        <v>0</v>
      </c>
      <c r="GE6">
        <f>IF(Hoja1!1275:1275,"AAAAAB/v/7o=",0)</f>
        <v>0</v>
      </c>
      <c r="GF6">
        <f>IF(Hoja1!1276:1276,"AAAAAB/v/7s=",0)</f>
        <v>0</v>
      </c>
      <c r="GG6">
        <f>IF(Hoja1!1277:1277,"AAAAAB/v/7w=",0)</f>
        <v>0</v>
      </c>
      <c r="GH6">
        <f>IF(Hoja1!1278:1278,"AAAAAB/v/70=",0)</f>
        <v>0</v>
      </c>
      <c r="GI6">
        <f>IF(Hoja1!1279:1279,"AAAAAB/v/74=",0)</f>
        <v>0</v>
      </c>
      <c r="GJ6">
        <f>IF(Hoja1!1280:1280,"AAAAAB/v/78=",0)</f>
        <v>0</v>
      </c>
      <c r="GK6">
        <f>IF(Hoja1!1281:1281,"AAAAAB/v/8A=",0)</f>
        <v>0</v>
      </c>
      <c r="GL6">
        <f>IF(Hoja1!1282:1282,"AAAAAB/v/8E=",0)</f>
        <v>0</v>
      </c>
      <c r="GM6">
        <f>IF(Hoja1!1283:1283,"AAAAAB/v/8I=",0)</f>
        <v>0</v>
      </c>
      <c r="GN6">
        <f>IF(Hoja1!1284:1284,"AAAAAB/v/8M=",0)</f>
        <v>0</v>
      </c>
      <c r="GO6">
        <f>IF(Hoja1!1285:1285,"AAAAAB/v/8Q=",0)</f>
        <v>0</v>
      </c>
      <c r="GP6">
        <f>IF(Hoja1!1286:1286,"AAAAAB/v/8U=",0)</f>
        <v>0</v>
      </c>
      <c r="GQ6">
        <f>IF(Hoja1!1287:1287,"AAAAAB/v/8Y=",0)</f>
        <v>0</v>
      </c>
      <c r="GR6">
        <f>IF(Hoja1!1288:1288,"AAAAAB/v/8c=",0)</f>
        <v>0</v>
      </c>
      <c r="GS6">
        <f>IF(Hoja1!1289:1289,"AAAAAB/v/8g=",0)</f>
        <v>0</v>
      </c>
      <c r="GT6">
        <f>IF(Hoja1!1290:1290,"AAAAAB/v/8k=",0)</f>
        <v>0</v>
      </c>
      <c r="GU6">
        <f>IF(Hoja1!1291:1291,"AAAAAB/v/8o=",0)</f>
        <v>0</v>
      </c>
      <c r="GV6">
        <f>IF(Hoja1!1292:1292,"AAAAAB/v/8s=",0)</f>
        <v>0</v>
      </c>
      <c r="GW6">
        <f>IF(Hoja1!1293:1293,"AAAAAB/v/8w=",0)</f>
        <v>0</v>
      </c>
      <c r="GX6">
        <f>IF(Hoja1!1294:1294,"AAAAAB/v/80=",0)</f>
        <v>0</v>
      </c>
      <c r="GY6">
        <f>IF(Hoja1!1295:1295,"AAAAAB/v/84=",0)</f>
        <v>0</v>
      </c>
      <c r="GZ6">
        <f>IF(Hoja1!1296:1296,"AAAAAB/v/88=",0)</f>
        <v>0</v>
      </c>
      <c r="HA6">
        <f>IF(Hoja1!1297:1297,"AAAAAB/v/9A=",0)</f>
        <v>0</v>
      </c>
      <c r="HB6">
        <f>IF(Hoja1!1298:1298,"AAAAAB/v/9E=",0)</f>
        <v>0</v>
      </c>
      <c r="HC6">
        <f>IF(Hoja1!1299:1299,"AAAAAB/v/9I=",0)</f>
        <v>0</v>
      </c>
      <c r="HD6">
        <f>IF(Hoja1!1300:1300,"AAAAAB/v/9M=",0)</f>
        <v>0</v>
      </c>
      <c r="HE6">
        <f>IF(Hoja1!1301:1301,"AAAAAB/v/9Q=",0)</f>
        <v>0</v>
      </c>
      <c r="HF6">
        <f>IF(Hoja1!1302:1302,"AAAAAB/v/9U=",0)</f>
        <v>0</v>
      </c>
      <c r="HG6">
        <f>IF(Hoja1!1303:1303,"AAAAAB/v/9Y=",0)</f>
        <v>0</v>
      </c>
      <c r="HH6">
        <f>IF(Hoja1!1304:1304,"AAAAAB/v/9c=",0)</f>
        <v>0</v>
      </c>
      <c r="HI6">
        <f>IF(Hoja1!1305:1305,"AAAAAB/v/9g=",0)</f>
        <v>0</v>
      </c>
      <c r="HJ6">
        <f>IF(Hoja1!1306:1306,"AAAAAB/v/9k=",0)</f>
        <v>0</v>
      </c>
      <c r="HK6">
        <f>IF(Hoja1!1307:1307,"AAAAAB/v/9o=",0)</f>
        <v>0</v>
      </c>
      <c r="HL6">
        <f>IF(Hoja1!1308:1308,"AAAAAB/v/9s=",0)</f>
        <v>0</v>
      </c>
      <c r="HM6">
        <f>IF(Hoja1!1309:1309,"AAAAAB/v/9w=",0)</f>
        <v>0</v>
      </c>
      <c r="HN6">
        <f>IF(Hoja1!1310:1310,"AAAAAB/v/90=",0)</f>
        <v>0</v>
      </c>
      <c r="HO6">
        <f>IF(Hoja1!1311:1311,"AAAAAB/v/94=",0)</f>
        <v>0</v>
      </c>
      <c r="HP6">
        <f>IF(Hoja1!1312:1312,"AAAAAB/v/98=",0)</f>
        <v>0</v>
      </c>
      <c r="HQ6">
        <f>IF(Hoja1!1313:1313,"AAAAAB/v/+A=",0)</f>
        <v>0</v>
      </c>
      <c r="HR6">
        <f>IF(Hoja1!1314:1314,"AAAAAB/v/+E=",0)</f>
        <v>0</v>
      </c>
      <c r="HS6">
        <f>IF(Hoja1!1315:1315,"AAAAAB/v/+I=",0)</f>
        <v>0</v>
      </c>
      <c r="HT6">
        <f>IF(Hoja1!1316:1316,"AAAAAB/v/+M=",0)</f>
        <v>0</v>
      </c>
      <c r="HU6">
        <f>IF(Hoja1!1317:1317,"AAAAAB/v/+Q=",0)</f>
        <v>0</v>
      </c>
      <c r="HV6">
        <f>IF(Hoja1!1318:1318,"AAAAAB/v/+U=",0)</f>
        <v>0</v>
      </c>
      <c r="HW6">
        <f>IF(Hoja1!1319:1319,"AAAAAB/v/+Y=",0)</f>
        <v>0</v>
      </c>
      <c r="HX6">
        <f>IF(Hoja1!1320:1320,"AAAAAB/v/+c=",0)</f>
        <v>0</v>
      </c>
      <c r="HY6">
        <f>IF(Hoja1!1321:1321,"AAAAAB/v/+g=",0)</f>
        <v>0</v>
      </c>
      <c r="HZ6">
        <f>IF(Hoja1!1322:1322,"AAAAAB/v/+k=",0)</f>
        <v>0</v>
      </c>
      <c r="IA6">
        <f>IF(Hoja1!1323:1323,"AAAAAB/v/+o=",0)</f>
        <v>0</v>
      </c>
      <c r="IB6">
        <f>IF(Hoja1!1324:1324,"AAAAAB/v/+s=",0)</f>
        <v>0</v>
      </c>
      <c r="IC6">
        <f>IF(Hoja1!1325:1325,"AAAAAB/v/+w=",0)</f>
        <v>0</v>
      </c>
      <c r="ID6">
        <f>IF(Hoja1!1326:1326,"AAAAAB/v/+0=",0)</f>
        <v>0</v>
      </c>
      <c r="IE6">
        <f>IF(Hoja1!1327:1327,"AAAAAB/v/+4=",0)</f>
        <v>0</v>
      </c>
      <c r="IF6">
        <f>IF(Hoja1!1328:1328,"AAAAAB/v/+8=",0)</f>
        <v>0</v>
      </c>
      <c r="IG6">
        <f>IF(Hoja1!1329:1329,"AAAAAB/v//A=",0)</f>
        <v>0</v>
      </c>
      <c r="IH6">
        <f>IF(Hoja1!1330:1330,"AAAAAB/v//E=",0)</f>
        <v>0</v>
      </c>
      <c r="II6">
        <f>IF(Hoja1!1331:1331,"AAAAAB/v//I=",0)</f>
        <v>0</v>
      </c>
      <c r="IJ6">
        <f>IF(Hoja1!1332:1332,"AAAAAB/v//M=",0)</f>
        <v>0</v>
      </c>
      <c r="IK6">
        <f>IF(Hoja1!1333:1333,"AAAAAB/v//Q=",0)</f>
        <v>0</v>
      </c>
      <c r="IL6">
        <f>IF(Hoja1!1334:1334,"AAAAAB/v//U=",0)</f>
        <v>0</v>
      </c>
      <c r="IM6">
        <f>IF(Hoja1!1335:1335,"AAAAAB/v//Y=",0)</f>
        <v>0</v>
      </c>
      <c r="IN6">
        <f>IF(Hoja1!1336:1336,"AAAAAB/v//c=",0)</f>
        <v>0</v>
      </c>
      <c r="IO6">
        <f>IF(Hoja1!1337:1337,"AAAAAB/v//g=",0)</f>
        <v>0</v>
      </c>
      <c r="IP6">
        <f>IF(Hoja1!1338:1338,"AAAAAB/v//k=",0)</f>
        <v>0</v>
      </c>
      <c r="IQ6">
        <f>IF(Hoja1!1339:1339,"AAAAAB/v//o=",0)</f>
        <v>0</v>
      </c>
      <c r="IR6">
        <f>IF(Hoja1!1340:1340,"AAAAAB/v//s=",0)</f>
        <v>0</v>
      </c>
      <c r="IS6">
        <f>IF(Hoja1!1341:1341,"AAAAAB/v//w=",0)</f>
        <v>0</v>
      </c>
      <c r="IT6">
        <f>IF(Hoja1!1342:1342,"AAAAAB/v//0=",0)</f>
        <v>0</v>
      </c>
      <c r="IU6">
        <f>IF(Hoja1!1343:1343,"AAAAAB/v//4=",0)</f>
        <v>0</v>
      </c>
      <c r="IV6">
        <f>IF(Hoja1!1344:1344,"AAAAAB/v//8=",0)</f>
        <v>0</v>
      </c>
    </row>
    <row r="7" spans="1:256" x14ac:dyDescent="0.2">
      <c r="A7">
        <f>IF(Hoja1!1345:1345,"AAAAAD5l6wA=",0)</f>
        <v>0</v>
      </c>
      <c r="B7">
        <f>IF(Hoja1!1346:1346,"AAAAAD5l6wE=",0)</f>
        <v>0</v>
      </c>
      <c r="C7">
        <f>IF(Hoja1!1347:1347,"AAAAAD5l6wI=",0)</f>
        <v>0</v>
      </c>
      <c r="D7">
        <f>IF(Hoja1!1348:1348,"AAAAAD5l6wM=",0)</f>
        <v>0</v>
      </c>
      <c r="E7">
        <f>IF(Hoja1!1349:1349,"AAAAAD5l6wQ=",0)</f>
        <v>0</v>
      </c>
      <c r="F7">
        <f>IF(Hoja1!1350:1350,"AAAAAD5l6wU=",0)</f>
        <v>0</v>
      </c>
      <c r="G7">
        <f>IF(Hoja1!1351:1351,"AAAAAD5l6wY=",0)</f>
        <v>0</v>
      </c>
      <c r="H7">
        <f>IF(Hoja1!1352:1352,"AAAAAD5l6wc=",0)</f>
        <v>0</v>
      </c>
      <c r="I7">
        <f>IF(Hoja1!1353:1353,"AAAAAD5l6wg=",0)</f>
        <v>0</v>
      </c>
      <c r="J7">
        <f>IF(Hoja1!1354:1354,"AAAAAD5l6wk=",0)</f>
        <v>0</v>
      </c>
      <c r="K7">
        <f>IF(Hoja1!1355:1355,"AAAAAD5l6wo=",0)</f>
        <v>0</v>
      </c>
      <c r="L7">
        <f>IF(Hoja1!1356:1356,"AAAAAD5l6ws=",0)</f>
        <v>0</v>
      </c>
      <c r="M7">
        <f>IF(Hoja1!1357:1357,"AAAAAD5l6ww=",0)</f>
        <v>0</v>
      </c>
      <c r="N7">
        <f>IF(Hoja1!1358:1358,"AAAAAD5l6w0=",0)</f>
        <v>0</v>
      </c>
      <c r="O7">
        <f>IF(Hoja1!1359:1359,"AAAAAD5l6w4=",0)</f>
        <v>0</v>
      </c>
      <c r="P7">
        <f>IF(Hoja1!1360:1360,"AAAAAD5l6w8=",0)</f>
        <v>0</v>
      </c>
      <c r="Q7">
        <f>IF(Hoja1!1361:1361,"AAAAAD5l6xA=",0)</f>
        <v>0</v>
      </c>
      <c r="R7">
        <f>IF(Hoja1!1362:1362,"AAAAAD5l6xE=",0)</f>
        <v>0</v>
      </c>
      <c r="S7">
        <f>IF(Hoja1!1363:1363,"AAAAAD5l6xI=",0)</f>
        <v>0</v>
      </c>
      <c r="T7">
        <f>IF(Hoja1!1364:1364,"AAAAAD5l6xM=",0)</f>
        <v>0</v>
      </c>
      <c r="U7">
        <f>IF(Hoja1!1365:1365,"AAAAAD5l6xQ=",0)</f>
        <v>0</v>
      </c>
      <c r="V7">
        <f>IF(Hoja1!1366:1366,"AAAAAD5l6xU=",0)</f>
        <v>0</v>
      </c>
      <c r="W7">
        <f>IF(Hoja1!1367:1367,"AAAAAD5l6xY=",0)</f>
        <v>0</v>
      </c>
      <c r="X7">
        <f>IF(Hoja1!1368:1368,"AAAAAD5l6xc=",0)</f>
        <v>0</v>
      </c>
      <c r="Y7">
        <f>IF(Hoja1!1369:1369,"AAAAAD5l6xg=",0)</f>
        <v>0</v>
      </c>
      <c r="Z7">
        <f>IF(Hoja1!1370:1370,"AAAAAD5l6xk=",0)</f>
        <v>0</v>
      </c>
      <c r="AA7">
        <f>IF(Hoja1!1371:1371,"AAAAAD5l6xo=",0)</f>
        <v>0</v>
      </c>
      <c r="AB7">
        <f>IF(Hoja1!1372:1372,"AAAAAD5l6xs=",0)</f>
        <v>0</v>
      </c>
      <c r="AC7">
        <f>IF(Hoja1!1373:1373,"AAAAAD5l6xw=",0)</f>
        <v>0</v>
      </c>
      <c r="AD7">
        <f>IF(Hoja1!1374:1374,"AAAAAD5l6x0=",0)</f>
        <v>0</v>
      </c>
      <c r="AE7">
        <f>IF(Hoja1!1375:1375,"AAAAAD5l6x4=",0)</f>
        <v>0</v>
      </c>
      <c r="AF7">
        <f>IF(Hoja1!1376:1376,"AAAAAD5l6x8=",0)</f>
        <v>0</v>
      </c>
      <c r="AG7">
        <f>IF(Hoja1!1377:1377,"AAAAAD5l6yA=",0)</f>
        <v>0</v>
      </c>
      <c r="AH7">
        <f>IF(Hoja1!1378:1378,"AAAAAD5l6yE=",0)</f>
        <v>0</v>
      </c>
      <c r="AI7">
        <f>IF(Hoja1!1379:1379,"AAAAAD5l6yI=",0)</f>
        <v>0</v>
      </c>
      <c r="AJ7">
        <f>IF(Hoja1!1380:1380,"AAAAAD5l6yM=",0)</f>
        <v>0</v>
      </c>
      <c r="AK7">
        <f>IF(Hoja1!1381:1381,"AAAAAD5l6yQ=",0)</f>
        <v>0</v>
      </c>
      <c r="AL7">
        <f>IF(Hoja1!1382:1382,"AAAAAD5l6yU=",0)</f>
        <v>0</v>
      </c>
      <c r="AM7">
        <f>IF(Hoja1!1383:1383,"AAAAAD5l6yY=",0)</f>
        <v>0</v>
      </c>
      <c r="AN7">
        <f>IF(Hoja1!1384:1384,"AAAAAD5l6yc=",0)</f>
        <v>0</v>
      </c>
      <c r="AO7">
        <f>IF(Hoja1!1385:1385,"AAAAAD5l6yg=",0)</f>
        <v>0</v>
      </c>
      <c r="AP7">
        <f>IF(Hoja1!1386:1386,"AAAAAD5l6yk=",0)</f>
        <v>0</v>
      </c>
      <c r="AQ7">
        <f>IF(Hoja1!1387:1387,"AAAAAD5l6yo=",0)</f>
        <v>0</v>
      </c>
      <c r="AR7">
        <f>IF(Hoja1!1388:1388,"AAAAAD5l6ys=",0)</f>
        <v>0</v>
      </c>
      <c r="AS7">
        <f>IF(Hoja1!1389:1389,"AAAAAD5l6yw=",0)</f>
        <v>0</v>
      </c>
      <c r="AT7">
        <f>IF(Hoja1!1390:1390,"AAAAAD5l6y0=",0)</f>
        <v>0</v>
      </c>
      <c r="AU7">
        <f>IF(Hoja1!1391:1391,"AAAAAD5l6y4=",0)</f>
        <v>0</v>
      </c>
      <c r="AV7">
        <f>IF(Hoja1!1392:1392,"AAAAAD5l6y8=",0)</f>
        <v>0</v>
      </c>
      <c r="AW7">
        <f>IF(Hoja1!1393:1393,"AAAAAD5l6zA=",0)</f>
        <v>0</v>
      </c>
      <c r="AX7">
        <f>IF(Hoja1!1394:1394,"AAAAAD5l6zE=",0)</f>
        <v>0</v>
      </c>
      <c r="AY7">
        <f>IF(Hoja1!1395:1395,"AAAAAD5l6zI=",0)</f>
        <v>0</v>
      </c>
      <c r="AZ7">
        <f>IF(Hoja1!1396:1396,"AAAAAD5l6zM=",0)</f>
        <v>0</v>
      </c>
      <c r="BA7">
        <f>IF(Hoja1!1397:1397,"AAAAAD5l6zQ=",0)</f>
        <v>0</v>
      </c>
      <c r="BB7">
        <f>IF(Hoja1!1398:1398,"AAAAAD5l6zU=",0)</f>
        <v>0</v>
      </c>
      <c r="BC7">
        <f>IF(Hoja1!1399:1399,"AAAAAD5l6zY=",0)</f>
        <v>0</v>
      </c>
      <c r="BD7">
        <f>IF(Hoja1!1400:1400,"AAAAAD5l6zc=",0)</f>
        <v>0</v>
      </c>
      <c r="BE7">
        <f>IF(Hoja1!1401:1401,"AAAAAD5l6zg=",0)</f>
        <v>0</v>
      </c>
      <c r="BF7">
        <f>IF(Hoja1!1402:1402,"AAAAAD5l6zk=",0)</f>
        <v>0</v>
      </c>
      <c r="BG7">
        <f>IF(Hoja1!1403:1403,"AAAAAD5l6zo=",0)</f>
        <v>0</v>
      </c>
      <c r="BH7">
        <f>IF(Hoja1!1404:1404,"AAAAAD5l6zs=",0)</f>
        <v>0</v>
      </c>
      <c r="BI7">
        <f>IF(Hoja1!1405:1405,"AAAAAD5l6zw=",0)</f>
        <v>0</v>
      </c>
      <c r="BJ7">
        <f>IF(Hoja1!1406:1406,"AAAAAD5l6z0=",0)</f>
        <v>0</v>
      </c>
      <c r="BK7">
        <f>IF(Hoja1!1407:1407,"AAAAAD5l6z4=",0)</f>
        <v>0</v>
      </c>
      <c r="BL7">
        <f>IF(Hoja1!1408:1408,"AAAAAD5l6z8=",0)</f>
        <v>0</v>
      </c>
      <c r="BM7">
        <f>IF(Hoja1!1409:1409,"AAAAAD5l60A=",0)</f>
        <v>0</v>
      </c>
      <c r="BN7">
        <f>IF(Hoja1!1410:1410,"AAAAAD5l60E=",0)</f>
        <v>0</v>
      </c>
      <c r="BO7">
        <f>IF(Hoja1!1411:1411,"AAAAAD5l60I=",0)</f>
        <v>0</v>
      </c>
      <c r="BP7">
        <f>IF(Hoja1!1412:1412,"AAAAAD5l60M=",0)</f>
        <v>0</v>
      </c>
      <c r="BQ7">
        <f>IF(Hoja1!1413:1413,"AAAAAD5l60Q=",0)</f>
        <v>0</v>
      </c>
      <c r="BR7">
        <f>IF(Hoja1!1414:1414,"AAAAAD5l60U=",0)</f>
        <v>0</v>
      </c>
      <c r="BS7">
        <f>IF(Hoja1!1415:1415,"AAAAAD5l60Y=",0)</f>
        <v>0</v>
      </c>
      <c r="BT7">
        <f>IF(Hoja1!1416:1416,"AAAAAD5l60c=",0)</f>
        <v>0</v>
      </c>
      <c r="BU7">
        <f>IF(Hoja1!1417:1417,"AAAAAD5l60g=",0)</f>
        <v>0</v>
      </c>
      <c r="BV7">
        <f>IF(Hoja1!1418:1418,"AAAAAD5l60k=",0)</f>
        <v>0</v>
      </c>
      <c r="BW7">
        <f>IF(Hoja1!1419:1419,"AAAAAD5l60o=",0)</f>
        <v>0</v>
      </c>
      <c r="BX7">
        <f>IF(Hoja1!1420:1420,"AAAAAD5l60s=",0)</f>
        <v>0</v>
      </c>
      <c r="BY7">
        <f>IF(Hoja1!1421:1421,"AAAAAD5l60w=",0)</f>
        <v>0</v>
      </c>
      <c r="BZ7">
        <f>IF(Hoja1!1422:1422,"AAAAAD5l600=",0)</f>
        <v>0</v>
      </c>
      <c r="CA7">
        <f>IF(Hoja1!1423:1423,"AAAAAD5l604=",0)</f>
        <v>0</v>
      </c>
      <c r="CB7">
        <f>IF(Hoja1!1424:1424,"AAAAAD5l608=",0)</f>
        <v>0</v>
      </c>
      <c r="CC7">
        <f>IF(Hoja1!1425:1425,"AAAAAD5l61A=",0)</f>
        <v>0</v>
      </c>
      <c r="CD7">
        <f>IF(Hoja1!1426:1426,"AAAAAD5l61E=",0)</f>
        <v>0</v>
      </c>
      <c r="CE7">
        <f>IF(Hoja1!1427:1427,"AAAAAD5l61I=",0)</f>
        <v>0</v>
      </c>
      <c r="CF7">
        <f>IF(Hoja1!1428:1428,"AAAAAD5l61M=",0)</f>
        <v>0</v>
      </c>
      <c r="CG7">
        <f>IF(Hoja1!1429:1429,"AAAAAD5l61Q=",0)</f>
        <v>0</v>
      </c>
      <c r="CH7">
        <f>IF(Hoja1!1430:1430,"AAAAAD5l61U=",0)</f>
        <v>0</v>
      </c>
      <c r="CI7">
        <f>IF(Hoja1!1431:1431,"AAAAAD5l61Y=",0)</f>
        <v>0</v>
      </c>
      <c r="CJ7">
        <f>IF(Hoja1!1432:1432,"AAAAAD5l61c=",0)</f>
        <v>0</v>
      </c>
      <c r="CK7">
        <f>IF(Hoja1!1433:1433,"AAAAAD5l61g=",0)</f>
        <v>0</v>
      </c>
      <c r="CL7">
        <f>IF(Hoja1!1434:1434,"AAAAAD5l61k=",0)</f>
        <v>0</v>
      </c>
      <c r="CM7">
        <f>IF(Hoja1!1435:1435,"AAAAAD5l61o=",0)</f>
        <v>0</v>
      </c>
      <c r="CN7">
        <f>IF(Hoja1!1436:1436,"AAAAAD5l61s=",0)</f>
        <v>0</v>
      </c>
      <c r="CO7">
        <f>IF(Hoja1!1437:1437,"AAAAAD5l61w=",0)</f>
        <v>0</v>
      </c>
      <c r="CP7">
        <f>IF(Hoja1!1438:1438,"AAAAAD5l610=",0)</f>
        <v>0</v>
      </c>
      <c r="CQ7">
        <f>IF(Hoja1!1439:1439,"AAAAAD5l614=",0)</f>
        <v>0</v>
      </c>
      <c r="CR7">
        <f>IF(Hoja1!1440:1440,"AAAAAD5l618=",0)</f>
        <v>0</v>
      </c>
      <c r="CS7">
        <f>IF(Hoja1!1441:1441,"AAAAAD5l62A=",0)</f>
        <v>0</v>
      </c>
      <c r="CT7">
        <f>IF(Hoja1!1442:1442,"AAAAAD5l62E=",0)</f>
        <v>0</v>
      </c>
      <c r="CU7">
        <f>IF(Hoja1!1443:1443,"AAAAAD5l62I=",0)</f>
        <v>0</v>
      </c>
      <c r="CV7">
        <f>IF(Hoja1!1444:1444,"AAAAAD5l62M=",0)</f>
        <v>0</v>
      </c>
      <c r="CW7">
        <f>IF(Hoja1!1445:1445,"AAAAAD5l62Q=",0)</f>
        <v>0</v>
      </c>
      <c r="CX7">
        <f>IF(Hoja1!1446:1446,"AAAAAD5l62U=",0)</f>
        <v>0</v>
      </c>
      <c r="CY7">
        <f>IF(Hoja1!1447:1447,"AAAAAD5l62Y=",0)</f>
        <v>0</v>
      </c>
      <c r="CZ7">
        <f>IF(Hoja1!1448:1448,"AAAAAD5l62c=",0)</f>
        <v>0</v>
      </c>
      <c r="DA7">
        <f>IF(Hoja1!1449:1449,"AAAAAD5l62g=",0)</f>
        <v>0</v>
      </c>
      <c r="DB7">
        <f>IF(Hoja1!1450:1450,"AAAAAD5l62k=",0)</f>
        <v>0</v>
      </c>
      <c r="DC7">
        <f>IF(Hoja1!1451:1451,"AAAAAD5l62o=",0)</f>
        <v>0</v>
      </c>
      <c r="DD7">
        <f>IF(Hoja1!1452:1452,"AAAAAD5l62s=",0)</f>
        <v>0</v>
      </c>
      <c r="DE7">
        <f>IF(Hoja1!1453:1453,"AAAAAD5l62w=",0)</f>
        <v>0</v>
      </c>
      <c r="DF7">
        <f>IF(Hoja1!1454:1454,"AAAAAD5l620=",0)</f>
        <v>0</v>
      </c>
      <c r="DG7">
        <f>IF(Hoja1!1455:1455,"AAAAAD5l624=",0)</f>
        <v>0</v>
      </c>
      <c r="DH7">
        <f>IF(Hoja1!1456:1456,"AAAAAD5l628=",0)</f>
        <v>0</v>
      </c>
      <c r="DI7">
        <f>IF(Hoja1!1457:1457,"AAAAAD5l63A=",0)</f>
        <v>0</v>
      </c>
      <c r="DJ7">
        <f>IF(Hoja1!1458:1458,"AAAAAD5l63E=",0)</f>
        <v>0</v>
      </c>
      <c r="DK7">
        <f>IF(Hoja1!1459:1459,"AAAAAD5l63I=",0)</f>
        <v>0</v>
      </c>
      <c r="DL7">
        <f>IF(Hoja1!1460:1460,"AAAAAD5l63M=",0)</f>
        <v>0</v>
      </c>
      <c r="DM7">
        <f>IF(Hoja1!1461:1461,"AAAAAD5l63Q=",0)</f>
        <v>0</v>
      </c>
      <c r="DN7">
        <f>IF(Hoja1!1462:1462,"AAAAAD5l63U=",0)</f>
        <v>0</v>
      </c>
      <c r="DO7">
        <f>IF(Hoja1!1463:1463,"AAAAAD5l63Y=",0)</f>
        <v>0</v>
      </c>
      <c r="DP7">
        <f>IF(Hoja1!1464:1464,"AAAAAD5l63c=",0)</f>
        <v>0</v>
      </c>
      <c r="DQ7">
        <f>IF(Hoja1!1465:1465,"AAAAAD5l63g=",0)</f>
        <v>0</v>
      </c>
      <c r="DR7">
        <f>IF(Hoja1!1466:1466,"AAAAAD5l63k=",0)</f>
        <v>0</v>
      </c>
      <c r="DS7">
        <f>IF(Hoja1!1467:1467,"AAAAAD5l63o=",0)</f>
        <v>0</v>
      </c>
      <c r="DT7">
        <f>IF(Hoja1!1468:1468,"AAAAAD5l63s=",0)</f>
        <v>0</v>
      </c>
      <c r="DU7">
        <f>IF(Hoja1!1469:1469,"AAAAAD5l63w=",0)</f>
        <v>0</v>
      </c>
      <c r="DV7">
        <f>IF(Hoja1!1470:1470,"AAAAAD5l630=",0)</f>
        <v>0</v>
      </c>
      <c r="DW7">
        <f>IF(Hoja1!1471:1471,"AAAAAD5l634=",0)</f>
        <v>0</v>
      </c>
      <c r="DX7">
        <f>IF(Hoja1!1472:1472,"AAAAAD5l638=",0)</f>
        <v>0</v>
      </c>
      <c r="DY7">
        <f>IF(Hoja1!1473:1473,"AAAAAD5l64A=",0)</f>
        <v>0</v>
      </c>
      <c r="DZ7">
        <f>IF(Hoja1!1474:1474,"AAAAAD5l64E=",0)</f>
        <v>0</v>
      </c>
      <c r="EA7">
        <f>IF(Hoja1!1475:1475,"AAAAAD5l64I=",0)</f>
        <v>0</v>
      </c>
      <c r="EB7">
        <f>IF(Hoja1!1476:1476,"AAAAAD5l64M=",0)</f>
        <v>0</v>
      </c>
      <c r="EC7">
        <f>IF(Hoja1!1477:1477,"AAAAAD5l64Q=",0)</f>
        <v>0</v>
      </c>
      <c r="ED7">
        <f>IF(Hoja1!1478:1478,"AAAAAD5l64U=",0)</f>
        <v>0</v>
      </c>
      <c r="EE7">
        <f>IF(Hoja1!1479:1479,"AAAAAD5l64Y=",0)</f>
        <v>0</v>
      </c>
      <c r="EF7">
        <f>IF(Hoja1!1480:1480,"AAAAAD5l64c=",0)</f>
        <v>0</v>
      </c>
      <c r="EG7">
        <f>IF(Hoja1!1481:1481,"AAAAAD5l64g=",0)</f>
        <v>0</v>
      </c>
      <c r="EH7">
        <f>IF(Hoja1!1482:1482,"AAAAAD5l64k=",0)</f>
        <v>0</v>
      </c>
      <c r="EI7">
        <f>IF(Hoja1!1483:1483,"AAAAAD5l64o=",0)</f>
        <v>0</v>
      </c>
      <c r="EJ7">
        <f>IF(Hoja1!1484:1484,"AAAAAD5l64s=",0)</f>
        <v>0</v>
      </c>
      <c r="EK7">
        <f>IF(Hoja1!1485:1485,"AAAAAD5l64w=",0)</f>
        <v>0</v>
      </c>
      <c r="EL7">
        <f>IF(Hoja1!1486:1486,"AAAAAD5l640=",0)</f>
        <v>0</v>
      </c>
      <c r="EM7">
        <f>IF(Hoja1!1487:1487,"AAAAAD5l644=",0)</f>
        <v>0</v>
      </c>
      <c r="EN7">
        <f>IF(Hoja1!1488:1488,"AAAAAD5l648=",0)</f>
        <v>0</v>
      </c>
      <c r="EO7">
        <f>IF(Hoja1!1489:1489,"AAAAAD5l65A=",0)</f>
        <v>0</v>
      </c>
      <c r="EP7">
        <f>IF(Hoja1!1490:1490,"AAAAAD5l65E=",0)</f>
        <v>0</v>
      </c>
      <c r="EQ7">
        <f>IF(Hoja1!1491:1491,"AAAAAD5l65I=",0)</f>
        <v>0</v>
      </c>
      <c r="ER7">
        <f>IF(Hoja1!1492:1492,"AAAAAD5l65M=",0)</f>
        <v>0</v>
      </c>
      <c r="ES7">
        <f>IF(Hoja1!1493:1493,"AAAAAD5l65Q=",0)</f>
        <v>0</v>
      </c>
      <c r="ET7">
        <f>IF(Hoja1!1494:1494,"AAAAAD5l65U=",0)</f>
        <v>0</v>
      </c>
      <c r="EU7">
        <f>IF(Hoja1!1495:1495,"AAAAAD5l65Y=",0)</f>
        <v>0</v>
      </c>
      <c r="EV7">
        <f>IF(Hoja1!1496:1496,"AAAAAD5l65c=",0)</f>
        <v>0</v>
      </c>
      <c r="EW7">
        <f>IF(Hoja1!1497:1497,"AAAAAD5l65g=",0)</f>
        <v>0</v>
      </c>
      <c r="EX7">
        <f>IF(Hoja1!1498:1498,"AAAAAD5l65k=",0)</f>
        <v>0</v>
      </c>
      <c r="EY7">
        <f>IF(Hoja1!1499:1499,"AAAAAD5l65o=",0)</f>
        <v>0</v>
      </c>
      <c r="EZ7">
        <f>IF(Hoja1!1500:1500,"AAAAAD5l65s=",0)</f>
        <v>0</v>
      </c>
      <c r="FA7">
        <f>IF(Hoja1!1501:1501,"AAAAAD5l65w=",0)</f>
        <v>0</v>
      </c>
      <c r="FB7">
        <f>IF(Hoja1!1502:1502,"AAAAAD5l650=",0)</f>
        <v>0</v>
      </c>
      <c r="FC7">
        <f>IF(Hoja1!1503:1503,"AAAAAD5l654=",0)</f>
        <v>0</v>
      </c>
      <c r="FD7">
        <f>IF(Hoja1!1504:1504,"AAAAAD5l658=",0)</f>
        <v>0</v>
      </c>
      <c r="FE7">
        <f>IF(Hoja1!1505:1505,"AAAAAD5l66A=",0)</f>
        <v>0</v>
      </c>
      <c r="FF7">
        <f>IF(Hoja1!1506:1506,"AAAAAD5l66E=",0)</f>
        <v>0</v>
      </c>
      <c r="FG7">
        <f>IF(Hoja1!1507:1507,"AAAAAD5l66I=",0)</f>
        <v>0</v>
      </c>
      <c r="FH7">
        <f>IF(Hoja1!1508:1508,"AAAAAD5l66M=",0)</f>
        <v>0</v>
      </c>
      <c r="FI7">
        <f>IF(Hoja1!1509:1509,"AAAAAD5l66Q=",0)</f>
        <v>0</v>
      </c>
      <c r="FJ7">
        <f>IF(Hoja1!1510:1510,"AAAAAD5l66U=",0)</f>
        <v>0</v>
      </c>
      <c r="FK7">
        <f>IF(Hoja1!1511:1511,"AAAAAD5l66Y=",0)</f>
        <v>0</v>
      </c>
      <c r="FL7">
        <f>IF(Hoja1!1512:1512,"AAAAAD5l66c=",0)</f>
        <v>0</v>
      </c>
      <c r="FM7">
        <f>IF(Hoja1!1513:1513,"AAAAAD5l66g=",0)</f>
        <v>0</v>
      </c>
      <c r="FN7">
        <f>IF(Hoja1!1514:1514,"AAAAAD5l66k=",0)</f>
        <v>0</v>
      </c>
      <c r="FO7">
        <f>IF(Hoja1!1515:1515,"AAAAAD5l66o=",0)</f>
        <v>0</v>
      </c>
      <c r="FP7">
        <f>IF(Hoja1!1516:1516,"AAAAAD5l66s=",0)</f>
        <v>0</v>
      </c>
      <c r="FQ7">
        <f>IF(Hoja1!1517:1517,"AAAAAD5l66w=",0)</f>
        <v>0</v>
      </c>
      <c r="FR7">
        <f>IF(Hoja1!1518:1518,"AAAAAD5l660=",0)</f>
        <v>0</v>
      </c>
      <c r="FS7">
        <f>IF(Hoja1!1519:1519,"AAAAAD5l664=",0)</f>
        <v>0</v>
      </c>
      <c r="FT7">
        <f>IF(Hoja1!1520:1520,"AAAAAD5l668=",0)</f>
        <v>0</v>
      </c>
      <c r="FU7">
        <f>IF(Hoja1!1521:1521,"AAAAAD5l67A=",0)</f>
        <v>0</v>
      </c>
      <c r="FV7">
        <f>IF(Hoja1!1522:1522,"AAAAAD5l67E=",0)</f>
        <v>0</v>
      </c>
      <c r="FW7">
        <f>IF(Hoja1!1523:1523,"AAAAAD5l67I=",0)</f>
        <v>0</v>
      </c>
      <c r="FX7">
        <f>IF(Hoja1!1524:1524,"AAAAAD5l67M=",0)</f>
        <v>0</v>
      </c>
      <c r="FY7">
        <f>IF(Hoja1!1525:1525,"AAAAAD5l67Q=",0)</f>
        <v>0</v>
      </c>
      <c r="FZ7">
        <f>IF(Hoja1!1526:1526,"AAAAAD5l67U=",0)</f>
        <v>0</v>
      </c>
      <c r="GA7">
        <f>IF(Hoja1!1527:1527,"AAAAAD5l67Y=",0)</f>
        <v>0</v>
      </c>
      <c r="GB7">
        <f>IF(Hoja1!1528:1528,"AAAAAD5l67c=",0)</f>
        <v>0</v>
      </c>
      <c r="GC7">
        <f>IF(Hoja1!1529:1529,"AAAAAD5l67g=",0)</f>
        <v>0</v>
      </c>
      <c r="GD7">
        <f>IF(Hoja1!1530:1530,"AAAAAD5l67k=",0)</f>
        <v>0</v>
      </c>
      <c r="GE7">
        <f>IF(Hoja1!1531:1531,"AAAAAD5l67o=",0)</f>
        <v>0</v>
      </c>
      <c r="GF7">
        <f>IF(Hoja1!1532:1532,"AAAAAD5l67s=",0)</f>
        <v>0</v>
      </c>
      <c r="GG7">
        <f>IF(Hoja1!1533:1533,"AAAAAD5l67w=",0)</f>
        <v>0</v>
      </c>
      <c r="GH7">
        <f>IF(Hoja1!1534:1534,"AAAAAD5l670=",0)</f>
        <v>0</v>
      </c>
      <c r="GI7">
        <f>IF(Hoja1!1535:1535,"AAAAAD5l674=",0)</f>
        <v>0</v>
      </c>
      <c r="GJ7">
        <f>IF(Hoja1!1536:1536,"AAAAAD5l678=",0)</f>
        <v>0</v>
      </c>
      <c r="GK7">
        <f>IF(Hoja1!1537:1537,"AAAAAD5l68A=",0)</f>
        <v>0</v>
      </c>
      <c r="GL7">
        <f>IF(Hoja1!1538:1538,"AAAAAD5l68E=",0)</f>
        <v>0</v>
      </c>
      <c r="GM7">
        <f>IF(Hoja1!1539:1539,"AAAAAD5l68I=",0)</f>
        <v>0</v>
      </c>
      <c r="GN7">
        <f>IF(Hoja1!1540:1540,"AAAAAD5l68M=",0)</f>
        <v>0</v>
      </c>
      <c r="GO7">
        <f>IF(Hoja1!1541:1541,"AAAAAD5l68Q=",0)</f>
        <v>0</v>
      </c>
      <c r="GP7">
        <f>IF(Hoja1!1542:1542,"AAAAAD5l68U=",0)</f>
        <v>0</v>
      </c>
      <c r="GQ7">
        <f>IF(Hoja1!1543:1543,"AAAAAD5l68Y=",0)</f>
        <v>0</v>
      </c>
      <c r="GR7">
        <f>IF(Hoja1!1544:1544,"AAAAAD5l68c=",0)</f>
        <v>0</v>
      </c>
      <c r="GS7">
        <f>IF(Hoja1!1545:1545,"AAAAAD5l68g=",0)</f>
        <v>0</v>
      </c>
      <c r="GT7">
        <f>IF(Hoja1!1546:1546,"AAAAAD5l68k=",0)</f>
        <v>0</v>
      </c>
      <c r="GU7">
        <f>IF(Hoja1!1547:1547,"AAAAAD5l68o=",0)</f>
        <v>0</v>
      </c>
      <c r="GV7">
        <f>IF(Hoja1!1548:1548,"AAAAAD5l68s=",0)</f>
        <v>0</v>
      </c>
      <c r="GW7">
        <f>IF(Hoja1!1549:1549,"AAAAAD5l68w=",0)</f>
        <v>0</v>
      </c>
      <c r="GX7">
        <f>IF(Hoja1!1550:1550,"AAAAAD5l680=",0)</f>
        <v>0</v>
      </c>
      <c r="GY7">
        <f>IF(Hoja1!1551:1551,"AAAAAD5l684=",0)</f>
        <v>0</v>
      </c>
      <c r="GZ7">
        <f>IF(Hoja1!1552:1552,"AAAAAD5l688=",0)</f>
        <v>0</v>
      </c>
      <c r="HA7">
        <f>IF(Hoja1!1553:1553,"AAAAAD5l69A=",0)</f>
        <v>0</v>
      </c>
      <c r="HB7">
        <f>IF(Hoja1!1554:1554,"AAAAAD5l69E=",0)</f>
        <v>0</v>
      </c>
      <c r="HC7">
        <f>IF(Hoja1!1555:1555,"AAAAAD5l69I=",0)</f>
        <v>0</v>
      </c>
      <c r="HD7">
        <f>IF(Hoja1!1556:1556,"AAAAAD5l69M=",0)</f>
        <v>0</v>
      </c>
      <c r="HE7">
        <f>IF(Hoja1!1557:1557,"AAAAAD5l69Q=",0)</f>
        <v>0</v>
      </c>
      <c r="HF7">
        <f>IF(Hoja1!1558:1558,"AAAAAD5l69U=",0)</f>
        <v>0</v>
      </c>
      <c r="HG7">
        <f>IF(Hoja1!1559:1559,"AAAAAD5l69Y=",0)</f>
        <v>0</v>
      </c>
      <c r="HH7">
        <f>IF(Hoja1!1560:1560,"AAAAAD5l69c=",0)</f>
        <v>0</v>
      </c>
      <c r="HI7">
        <f>IF(Hoja1!1561:1561,"AAAAAD5l69g=",0)</f>
        <v>0</v>
      </c>
      <c r="HJ7">
        <f>IF(Hoja1!1562:1562,"AAAAAD5l69k=",0)</f>
        <v>0</v>
      </c>
      <c r="HK7">
        <f>IF(Hoja1!1563:1563,"AAAAAD5l69o=",0)</f>
        <v>0</v>
      </c>
      <c r="HL7">
        <f>IF(Hoja1!1564:1564,"AAAAAD5l69s=",0)</f>
        <v>0</v>
      </c>
      <c r="HM7">
        <f>IF(Hoja1!1565:1565,"AAAAAD5l69w=",0)</f>
        <v>0</v>
      </c>
      <c r="HN7">
        <f>IF(Hoja1!1566:1566,"AAAAAD5l690=",0)</f>
        <v>0</v>
      </c>
      <c r="HO7">
        <f>IF(Hoja1!1567:1567,"AAAAAD5l694=",0)</f>
        <v>0</v>
      </c>
      <c r="HP7">
        <f>IF(Hoja1!1568:1568,"AAAAAD5l698=",0)</f>
        <v>0</v>
      </c>
      <c r="HQ7">
        <f>IF(Hoja1!1569:1569,"AAAAAD5l6+A=",0)</f>
        <v>0</v>
      </c>
      <c r="HR7">
        <f>IF(Hoja1!1570:1570,"AAAAAD5l6+E=",0)</f>
        <v>0</v>
      </c>
      <c r="HS7">
        <f>IF(Hoja1!1571:1571,"AAAAAD5l6+I=",0)</f>
        <v>0</v>
      </c>
      <c r="HT7">
        <f>IF(Hoja1!1572:1572,"AAAAAD5l6+M=",0)</f>
        <v>0</v>
      </c>
      <c r="HU7">
        <f>IF(Hoja1!1573:1573,"AAAAAD5l6+Q=",0)</f>
        <v>0</v>
      </c>
      <c r="HV7">
        <f>IF(Hoja1!1574:1574,"AAAAAD5l6+U=",0)</f>
        <v>0</v>
      </c>
      <c r="HW7">
        <f>IF(Hoja1!1575:1575,"AAAAAD5l6+Y=",0)</f>
        <v>0</v>
      </c>
      <c r="HX7">
        <f>IF(Hoja1!1576:1576,"AAAAAD5l6+c=",0)</f>
        <v>0</v>
      </c>
      <c r="HY7">
        <f>IF(Hoja1!1577:1577,"AAAAAD5l6+g=",0)</f>
        <v>0</v>
      </c>
      <c r="HZ7">
        <f>IF(Hoja1!1578:1578,"AAAAAD5l6+k=",0)</f>
        <v>0</v>
      </c>
      <c r="IA7">
        <f>IF(Hoja1!1579:1579,"AAAAAD5l6+o=",0)</f>
        <v>0</v>
      </c>
      <c r="IB7">
        <f>IF(Hoja1!1580:1580,"AAAAAD5l6+s=",0)</f>
        <v>0</v>
      </c>
      <c r="IC7">
        <f>IF(Hoja1!1581:1581,"AAAAAD5l6+w=",0)</f>
        <v>0</v>
      </c>
      <c r="ID7">
        <f>IF(Hoja1!1582:1582,"AAAAAD5l6+0=",0)</f>
        <v>0</v>
      </c>
      <c r="IE7">
        <f>IF(Hoja1!1583:1583,"AAAAAD5l6+4=",0)</f>
        <v>0</v>
      </c>
      <c r="IF7">
        <f>IF(Hoja1!1584:1584,"AAAAAD5l6+8=",0)</f>
        <v>0</v>
      </c>
      <c r="IG7">
        <f>IF(Hoja1!1585:1585,"AAAAAD5l6/A=",0)</f>
        <v>0</v>
      </c>
      <c r="IH7">
        <f>IF(Hoja1!1586:1586,"AAAAAD5l6/E=",0)</f>
        <v>0</v>
      </c>
      <c r="II7">
        <f>IF(Hoja1!1587:1587,"AAAAAD5l6/I=",0)</f>
        <v>0</v>
      </c>
      <c r="IJ7">
        <f>IF(Hoja1!1588:1588,"AAAAAD5l6/M=",0)</f>
        <v>0</v>
      </c>
      <c r="IK7">
        <f>IF(Hoja1!1589:1589,"AAAAAD5l6/Q=",0)</f>
        <v>0</v>
      </c>
      <c r="IL7">
        <f>IF(Hoja1!1590:1590,"AAAAAD5l6/U=",0)</f>
        <v>0</v>
      </c>
      <c r="IM7">
        <f>IF(Hoja1!1591:1591,"AAAAAD5l6/Y=",0)</f>
        <v>0</v>
      </c>
      <c r="IN7">
        <f>IF(Hoja1!1592:1592,"AAAAAD5l6/c=",0)</f>
        <v>0</v>
      </c>
      <c r="IO7">
        <f>IF(Hoja1!1593:1593,"AAAAAD5l6/g=",0)</f>
        <v>0</v>
      </c>
      <c r="IP7">
        <f>IF(Hoja1!1594:1594,"AAAAAD5l6/k=",0)</f>
        <v>0</v>
      </c>
      <c r="IQ7">
        <f>IF(Hoja1!1595:1595,"AAAAAD5l6/o=",0)</f>
        <v>0</v>
      </c>
      <c r="IR7">
        <f>IF(Hoja1!1596:1596,"AAAAAD5l6/s=",0)</f>
        <v>0</v>
      </c>
      <c r="IS7">
        <f>IF(Hoja1!1597:1597,"AAAAAD5l6/w=",0)</f>
        <v>0</v>
      </c>
      <c r="IT7">
        <f>IF(Hoja1!1598:1598,"AAAAAD5l6/0=",0)</f>
        <v>0</v>
      </c>
      <c r="IU7">
        <f>IF(Hoja1!1599:1599,"AAAAAD5l6/4=",0)</f>
        <v>0</v>
      </c>
      <c r="IV7">
        <f>IF(Hoja1!1600:1600,"AAAAAD5l6/8=",0)</f>
        <v>0</v>
      </c>
    </row>
    <row r="8" spans="1:256" x14ac:dyDescent="0.2">
      <c r="A8">
        <f>IF(Hoja1!1601:1601,"AAAAAF//RgA=",0)</f>
        <v>0</v>
      </c>
      <c r="B8">
        <f>IF(Hoja1!1602:1602,"AAAAAF//RgE=",0)</f>
        <v>0</v>
      </c>
      <c r="C8">
        <f>IF(Hoja1!1603:1603,"AAAAAF//RgI=",0)</f>
        <v>0</v>
      </c>
      <c r="D8">
        <f>IF(Hoja1!1604:1604,"AAAAAF//RgM=",0)</f>
        <v>0</v>
      </c>
      <c r="E8">
        <f>IF(Hoja1!1605:1605,"AAAAAF//RgQ=",0)</f>
        <v>0</v>
      </c>
      <c r="F8">
        <f>IF(Hoja1!1606:1606,"AAAAAF//RgU=",0)</f>
        <v>0</v>
      </c>
      <c r="G8">
        <f>IF(Hoja1!1607:1607,"AAAAAF//RgY=",0)</f>
        <v>0</v>
      </c>
      <c r="H8">
        <f>IF(Hoja1!1608:1608,"AAAAAF//Rgc=",0)</f>
        <v>0</v>
      </c>
      <c r="I8">
        <f>IF(Hoja1!1609:1609,"AAAAAF//Rgg=",0)</f>
        <v>0</v>
      </c>
      <c r="J8">
        <f>IF(Hoja1!1610:1610,"AAAAAF//Rgk=",0)</f>
        <v>0</v>
      </c>
      <c r="K8">
        <f>IF(Hoja1!1611:1611,"AAAAAF//Rgo=",0)</f>
        <v>0</v>
      </c>
      <c r="L8">
        <f>IF(Hoja1!1612:1612,"AAAAAF//Rgs=",0)</f>
        <v>0</v>
      </c>
      <c r="M8">
        <f>IF(Hoja1!1613:1613,"AAAAAF//Rgw=",0)</f>
        <v>0</v>
      </c>
      <c r="N8">
        <f>IF(Hoja1!1614:1614,"AAAAAF//Rg0=",0)</f>
        <v>0</v>
      </c>
      <c r="O8">
        <f>IF(Hoja1!1615:1615,"AAAAAF//Rg4=",0)</f>
        <v>0</v>
      </c>
      <c r="P8">
        <f>IF(Hoja1!1616:1616,"AAAAAF//Rg8=",0)</f>
        <v>0</v>
      </c>
      <c r="Q8">
        <f>IF(Hoja1!1617:1617,"AAAAAF//RhA=",0)</f>
        <v>0</v>
      </c>
      <c r="R8">
        <f>IF(Hoja1!1618:1618,"AAAAAF//RhE=",0)</f>
        <v>0</v>
      </c>
      <c r="S8">
        <f>IF(Hoja1!1619:1619,"AAAAAF//RhI=",0)</f>
        <v>0</v>
      </c>
      <c r="T8">
        <f>IF(Hoja1!1620:1620,"AAAAAF//RhM=",0)</f>
        <v>0</v>
      </c>
      <c r="U8">
        <f>IF(Hoja1!1621:1621,"AAAAAF//RhQ=",0)</f>
        <v>0</v>
      </c>
      <c r="V8">
        <f>IF(Hoja1!1622:1622,"AAAAAF//RhU=",0)</f>
        <v>0</v>
      </c>
      <c r="W8">
        <f>IF(Hoja1!1623:1623,"AAAAAF//RhY=",0)</f>
        <v>0</v>
      </c>
      <c r="X8">
        <f>IF(Hoja1!1624:1624,"AAAAAF//Rhc=",0)</f>
        <v>0</v>
      </c>
      <c r="Y8">
        <f>IF(Hoja1!1625:1625,"AAAAAF//Rhg=",0)</f>
        <v>0</v>
      </c>
      <c r="Z8">
        <f>IF(Hoja1!1626:1626,"AAAAAF//Rhk=",0)</f>
        <v>0</v>
      </c>
      <c r="AA8">
        <f>IF(Hoja1!1627:1627,"AAAAAF//Rho=",0)</f>
        <v>0</v>
      </c>
      <c r="AB8">
        <f>IF(Hoja1!1628:1628,"AAAAAF//Rhs=",0)</f>
        <v>0</v>
      </c>
      <c r="AC8">
        <f>IF(Hoja1!1629:1629,"AAAAAF//Rhw=",0)</f>
        <v>0</v>
      </c>
      <c r="AD8">
        <f>IF(Hoja1!1630:1630,"AAAAAF//Rh0=",0)</f>
        <v>0</v>
      </c>
      <c r="AE8">
        <f>IF(Hoja1!1631:1631,"AAAAAF//Rh4=",0)</f>
        <v>0</v>
      </c>
      <c r="AF8">
        <f>IF(Hoja1!1632:1632,"AAAAAF//Rh8=",0)</f>
        <v>0</v>
      </c>
      <c r="AG8">
        <f>IF(Hoja1!1633:1633,"AAAAAF//RiA=",0)</f>
        <v>0</v>
      </c>
      <c r="AH8">
        <f>IF(Hoja1!1634:1634,"AAAAAF//RiE=",0)</f>
        <v>0</v>
      </c>
      <c r="AI8">
        <f>IF(Hoja1!1635:1635,"AAAAAF//RiI=",0)</f>
        <v>0</v>
      </c>
      <c r="AJ8">
        <f>IF(Hoja1!1636:1636,"AAAAAF//RiM=",0)</f>
        <v>0</v>
      </c>
      <c r="AK8">
        <f>IF(Hoja1!1637:1637,"AAAAAF//RiQ=",0)</f>
        <v>0</v>
      </c>
      <c r="AL8">
        <f>IF(Hoja1!1638:1638,"AAAAAF//RiU=",0)</f>
        <v>0</v>
      </c>
      <c r="AM8">
        <f>IF(Hoja1!1639:1639,"AAAAAF//RiY=",0)</f>
        <v>0</v>
      </c>
      <c r="AN8">
        <f>IF(Hoja1!1640:1640,"AAAAAF//Ric=",0)</f>
        <v>0</v>
      </c>
      <c r="AO8">
        <f>IF(Hoja1!1641:1641,"AAAAAF//Rig=",0)</f>
        <v>0</v>
      </c>
      <c r="AP8">
        <f>IF(Hoja1!1642:1642,"AAAAAF//Rik=",0)</f>
        <v>0</v>
      </c>
      <c r="AQ8">
        <f>IF(Hoja1!1643:1643,"AAAAAF//Rio=",0)</f>
        <v>0</v>
      </c>
      <c r="AR8">
        <f>IF(Hoja1!1644:1644,"AAAAAF//Ris=",0)</f>
        <v>0</v>
      </c>
      <c r="AS8">
        <f>IF(Hoja1!1645:1645,"AAAAAF//Riw=",0)</f>
        <v>0</v>
      </c>
      <c r="AT8">
        <f>IF(Hoja1!1646:1646,"AAAAAF//Ri0=",0)</f>
        <v>0</v>
      </c>
      <c r="AU8">
        <f>IF(Hoja1!1647:1647,"AAAAAF//Ri4=",0)</f>
        <v>0</v>
      </c>
      <c r="AV8">
        <f>IF(Hoja1!1648:1648,"AAAAAF//Ri8=",0)</f>
        <v>0</v>
      </c>
      <c r="AW8">
        <f>IF(Hoja1!1649:1649,"AAAAAF//RjA=",0)</f>
        <v>0</v>
      </c>
      <c r="AX8">
        <f>IF(Hoja1!1650:1650,"AAAAAF//RjE=",0)</f>
        <v>0</v>
      </c>
      <c r="AY8">
        <f>IF(Hoja1!1651:1651,"AAAAAF//RjI=",0)</f>
        <v>0</v>
      </c>
      <c r="AZ8">
        <f>IF(Hoja1!1652:1652,"AAAAAF//RjM=",0)</f>
        <v>0</v>
      </c>
      <c r="BA8">
        <f>IF(Hoja1!1653:1653,"AAAAAF//RjQ=",0)</f>
        <v>0</v>
      </c>
      <c r="BB8">
        <f>IF(Hoja1!1654:1654,"AAAAAF//RjU=",0)</f>
        <v>0</v>
      </c>
      <c r="BC8">
        <f>IF(Hoja1!1655:1655,"AAAAAF//RjY=",0)</f>
        <v>0</v>
      </c>
      <c r="BD8">
        <f>IF(Hoja1!1656:1656,"AAAAAF//Rjc=",0)</f>
        <v>0</v>
      </c>
      <c r="BE8">
        <f>IF(Hoja1!1657:1657,"AAAAAF//Rjg=",0)</f>
        <v>0</v>
      </c>
      <c r="BF8">
        <f>IF(Hoja1!1658:1658,"AAAAAF//Rjk=",0)</f>
        <v>0</v>
      </c>
      <c r="BG8">
        <f>IF(Hoja1!1659:1659,"AAAAAF//Rjo=",0)</f>
        <v>0</v>
      </c>
      <c r="BH8">
        <f>IF(Hoja1!1660:1660,"AAAAAF//Rjs=",0)</f>
        <v>0</v>
      </c>
      <c r="BI8">
        <f>IF(Hoja1!1661:1661,"AAAAAF//Rjw=",0)</f>
        <v>0</v>
      </c>
      <c r="BJ8">
        <f>IF(Hoja1!1662:1662,"AAAAAF//Rj0=",0)</f>
        <v>0</v>
      </c>
      <c r="BK8">
        <f>IF(Hoja1!1663:1663,"AAAAAF//Rj4=",0)</f>
        <v>0</v>
      </c>
      <c r="BL8">
        <f>IF(Hoja1!1664:1664,"AAAAAF//Rj8=",0)</f>
        <v>0</v>
      </c>
      <c r="BM8">
        <f>IF(Hoja1!1665:1665,"AAAAAF//RkA=",0)</f>
        <v>0</v>
      </c>
      <c r="BN8">
        <f>IF(Hoja1!1666:1666,"AAAAAF//RkE=",0)</f>
        <v>0</v>
      </c>
      <c r="BO8">
        <f>IF(Hoja1!1667:1667,"AAAAAF//RkI=",0)</f>
        <v>0</v>
      </c>
      <c r="BP8">
        <f>IF(Hoja1!1668:1668,"AAAAAF//RkM=",0)</f>
        <v>0</v>
      </c>
      <c r="BQ8">
        <f>IF(Hoja1!1669:1669,"AAAAAF//RkQ=",0)</f>
        <v>0</v>
      </c>
      <c r="BR8">
        <f>IF(Hoja1!1670:1670,"AAAAAF//RkU=",0)</f>
        <v>0</v>
      </c>
      <c r="BS8">
        <f>IF(Hoja1!1671:1671,"AAAAAF//RkY=",0)</f>
        <v>0</v>
      </c>
      <c r="BT8">
        <f>IF(Hoja1!1672:1672,"AAAAAF//Rkc=",0)</f>
        <v>0</v>
      </c>
      <c r="BU8">
        <f>IF(Hoja1!1673:1673,"AAAAAF//Rkg=",0)</f>
        <v>0</v>
      </c>
      <c r="BV8">
        <f>IF(Hoja1!1674:1674,"AAAAAF//Rkk=",0)</f>
        <v>0</v>
      </c>
      <c r="BW8">
        <f>IF(Hoja1!1675:1675,"AAAAAF//Rko=",0)</f>
        <v>0</v>
      </c>
      <c r="BX8">
        <f>IF(Hoja1!1676:1676,"AAAAAF//Rks=",0)</f>
        <v>0</v>
      </c>
      <c r="BY8">
        <f>IF(Hoja1!1677:1677,"AAAAAF//Rkw=",0)</f>
        <v>0</v>
      </c>
      <c r="BZ8">
        <f>IF(Hoja1!1678:1678,"AAAAAF//Rk0=",0)</f>
        <v>0</v>
      </c>
      <c r="CA8">
        <f>IF(Hoja1!1679:1679,"AAAAAF//Rk4=",0)</f>
        <v>0</v>
      </c>
      <c r="CB8">
        <f>IF(Hoja1!1680:1680,"AAAAAF//Rk8=",0)</f>
        <v>0</v>
      </c>
      <c r="CC8">
        <f>IF(Hoja1!1681:1681,"AAAAAF//RlA=",0)</f>
        <v>0</v>
      </c>
      <c r="CD8">
        <f>IF(Hoja1!1682:1682,"AAAAAF//RlE=",0)</f>
        <v>0</v>
      </c>
      <c r="CE8">
        <f>IF(Hoja1!1683:1683,"AAAAAF//RlI=",0)</f>
        <v>0</v>
      </c>
      <c r="CF8">
        <f>IF(Hoja1!1684:1684,"AAAAAF//RlM=",0)</f>
        <v>0</v>
      </c>
      <c r="CG8">
        <f>IF(Hoja1!1685:1685,"AAAAAF//RlQ=",0)</f>
        <v>0</v>
      </c>
      <c r="CH8">
        <f>IF(Hoja1!1686:1686,"AAAAAF//RlU=",0)</f>
        <v>0</v>
      </c>
      <c r="CI8">
        <f>IF(Hoja1!1687:1687,"AAAAAF//RlY=",0)</f>
        <v>0</v>
      </c>
      <c r="CJ8">
        <f>IF(Hoja1!1688:1688,"AAAAAF//Rlc=",0)</f>
        <v>0</v>
      </c>
      <c r="CK8">
        <f>IF(Hoja1!1689:1689,"AAAAAF//Rlg=",0)</f>
        <v>0</v>
      </c>
      <c r="CL8">
        <f>IF(Hoja1!1690:1690,"AAAAAF//Rlk=",0)</f>
        <v>0</v>
      </c>
      <c r="CM8">
        <f>IF(Hoja1!1691:1691,"AAAAAF//Rlo=",0)</f>
        <v>0</v>
      </c>
      <c r="CN8">
        <f>IF(Hoja1!1692:1692,"AAAAAF//Rls=",0)</f>
        <v>0</v>
      </c>
      <c r="CO8">
        <f>IF(Hoja1!1693:1693,"AAAAAF//Rlw=",0)</f>
        <v>0</v>
      </c>
      <c r="CP8">
        <f>IF(Hoja1!1694:1694,"AAAAAF//Rl0=",0)</f>
        <v>0</v>
      </c>
      <c r="CQ8">
        <f>IF(Hoja1!1695:1695,"AAAAAF//Rl4=",0)</f>
        <v>0</v>
      </c>
      <c r="CR8">
        <f>IF(Hoja1!1696:1696,"AAAAAF//Rl8=",0)</f>
        <v>0</v>
      </c>
      <c r="CS8">
        <f>IF(Hoja1!1697:1697,"AAAAAF//RmA=",0)</f>
        <v>0</v>
      </c>
      <c r="CT8">
        <f>IF(Hoja1!1698:1698,"AAAAAF//RmE=",0)</f>
        <v>0</v>
      </c>
      <c r="CU8">
        <f>IF(Hoja1!1699:1699,"AAAAAF//RmI=",0)</f>
        <v>0</v>
      </c>
      <c r="CV8">
        <f>IF(Hoja1!1700:1700,"AAAAAF//RmM=",0)</f>
        <v>0</v>
      </c>
      <c r="CW8">
        <f>IF(Hoja1!1701:1701,"AAAAAF//RmQ=",0)</f>
        <v>0</v>
      </c>
      <c r="CX8">
        <f>IF(Hoja1!1702:1702,"AAAAAF//RmU=",0)</f>
        <v>0</v>
      </c>
      <c r="CY8">
        <f>IF(Hoja1!1703:1703,"AAAAAF//RmY=",0)</f>
        <v>0</v>
      </c>
      <c r="CZ8">
        <f>IF(Hoja1!1704:1704,"AAAAAF//Rmc=",0)</f>
        <v>0</v>
      </c>
      <c r="DA8">
        <f>IF(Hoja1!1705:1705,"AAAAAF//Rmg=",0)</f>
        <v>0</v>
      </c>
      <c r="DB8">
        <f>IF(Hoja1!1706:1706,"AAAAAF//Rmk=",0)</f>
        <v>0</v>
      </c>
      <c r="DC8">
        <f>IF(Hoja1!1707:1707,"AAAAAF//Rmo=",0)</f>
        <v>0</v>
      </c>
      <c r="DD8">
        <f>IF(Hoja1!1708:1708,"AAAAAF//Rms=",0)</f>
        <v>0</v>
      </c>
      <c r="DE8">
        <f>IF(Hoja1!1709:1709,"AAAAAF//Rmw=",0)</f>
        <v>0</v>
      </c>
      <c r="DF8">
        <f>IF(Hoja1!1710:1710,"AAAAAF//Rm0=",0)</f>
        <v>0</v>
      </c>
      <c r="DG8">
        <f>IF(Hoja1!1711:1711,"AAAAAF//Rm4=",0)</f>
        <v>0</v>
      </c>
      <c r="DH8">
        <f>IF(Hoja1!1712:1712,"AAAAAF//Rm8=",0)</f>
        <v>0</v>
      </c>
      <c r="DI8">
        <f>IF(Hoja1!1713:1713,"AAAAAF//RnA=",0)</f>
        <v>0</v>
      </c>
      <c r="DJ8">
        <f>IF(Hoja1!1714:1714,"AAAAAF//RnE=",0)</f>
        <v>0</v>
      </c>
      <c r="DK8">
        <f>IF(Hoja1!1715:1715,"AAAAAF//RnI=",0)</f>
        <v>0</v>
      </c>
      <c r="DL8">
        <f>IF(Hoja1!1716:1716,"AAAAAF//RnM=",0)</f>
        <v>0</v>
      </c>
      <c r="DM8">
        <f>IF(Hoja1!1717:1717,"AAAAAF//RnQ=",0)</f>
        <v>0</v>
      </c>
      <c r="DN8">
        <f>IF(Hoja1!1718:1718,"AAAAAF//RnU=",0)</f>
        <v>0</v>
      </c>
      <c r="DO8">
        <f>IF(Hoja1!1719:1719,"AAAAAF//RnY=",0)</f>
        <v>0</v>
      </c>
      <c r="DP8">
        <f>IF(Hoja1!1720:1720,"AAAAAF//Rnc=",0)</f>
        <v>0</v>
      </c>
      <c r="DQ8">
        <f>IF(Hoja1!1721:1721,"AAAAAF//Rng=",0)</f>
        <v>0</v>
      </c>
      <c r="DR8">
        <f>IF(Hoja1!1722:1722,"AAAAAF//Rnk=",0)</f>
        <v>0</v>
      </c>
      <c r="DS8">
        <f>IF(Hoja1!1723:1723,"AAAAAF//Rno=",0)</f>
        <v>0</v>
      </c>
      <c r="DT8">
        <f>IF(Hoja1!1724:1724,"AAAAAF//Rns=",0)</f>
        <v>0</v>
      </c>
      <c r="DU8">
        <f>IF(Hoja1!1725:1725,"AAAAAF//Rnw=",0)</f>
        <v>0</v>
      </c>
      <c r="DV8">
        <f>IF(Hoja1!1726:1726,"AAAAAF//Rn0=",0)</f>
        <v>0</v>
      </c>
      <c r="DW8">
        <f>IF(Hoja1!1727:1727,"AAAAAF//Rn4=",0)</f>
        <v>0</v>
      </c>
      <c r="DX8">
        <f>IF(Hoja1!1728:1728,"AAAAAF//Rn8=",0)</f>
        <v>0</v>
      </c>
      <c r="DY8">
        <f>IF(Hoja1!1729:1729,"AAAAAF//RoA=",0)</f>
        <v>0</v>
      </c>
      <c r="DZ8">
        <f>IF(Hoja1!1730:1730,"AAAAAF//RoE=",0)</f>
        <v>0</v>
      </c>
      <c r="EA8">
        <f>IF(Hoja1!1731:1731,"AAAAAF//RoI=",0)</f>
        <v>0</v>
      </c>
      <c r="EB8">
        <f>IF(Hoja1!1732:1732,"AAAAAF//RoM=",0)</f>
        <v>0</v>
      </c>
      <c r="EC8">
        <f>IF(Hoja1!1733:1733,"AAAAAF//RoQ=",0)</f>
        <v>0</v>
      </c>
      <c r="ED8">
        <f>IF(Hoja1!1734:1734,"AAAAAF//RoU=",0)</f>
        <v>0</v>
      </c>
      <c r="EE8">
        <f>IF(Hoja1!1735:1735,"AAAAAF//RoY=",0)</f>
        <v>0</v>
      </c>
      <c r="EF8">
        <f>IF(Hoja1!1736:1736,"AAAAAF//Roc=",0)</f>
        <v>0</v>
      </c>
      <c r="EG8">
        <f>IF(Hoja1!1737:1737,"AAAAAF//Rog=",0)</f>
        <v>0</v>
      </c>
      <c r="EH8">
        <f>IF(Hoja1!1738:1738,"AAAAAF//Rok=",0)</f>
        <v>0</v>
      </c>
      <c r="EI8">
        <f>IF(Hoja1!1739:1739,"AAAAAF//Roo=",0)</f>
        <v>0</v>
      </c>
      <c r="EJ8">
        <f>IF(Hoja1!1740:1740,"AAAAAF//Ros=",0)</f>
        <v>0</v>
      </c>
      <c r="EK8">
        <f>IF(Hoja1!1741:1741,"AAAAAF//Row=",0)</f>
        <v>0</v>
      </c>
      <c r="EL8">
        <f>IF(Hoja1!1742:1742,"AAAAAF//Ro0=",0)</f>
        <v>0</v>
      </c>
      <c r="EM8">
        <f>IF(Hoja1!1743:1743,"AAAAAF//Ro4=",0)</f>
        <v>0</v>
      </c>
      <c r="EN8">
        <f>IF(Hoja1!1744:1744,"AAAAAF//Ro8=",0)</f>
        <v>0</v>
      </c>
      <c r="EO8">
        <f>IF(Hoja1!1745:1745,"AAAAAF//RpA=",0)</f>
        <v>0</v>
      </c>
      <c r="EP8">
        <f>IF(Hoja1!1746:1746,"AAAAAF//RpE=",0)</f>
        <v>0</v>
      </c>
      <c r="EQ8">
        <f>IF(Hoja1!1747:1747,"AAAAAF//RpI=",0)</f>
        <v>0</v>
      </c>
      <c r="ER8">
        <f>IF(Hoja1!1748:1748,"AAAAAF//RpM=",0)</f>
        <v>0</v>
      </c>
      <c r="ES8">
        <f>IF(Hoja1!1749:1749,"AAAAAF//RpQ=",0)</f>
        <v>0</v>
      </c>
      <c r="ET8">
        <f>IF(Hoja1!1750:1750,"AAAAAF//RpU=",0)</f>
        <v>0</v>
      </c>
      <c r="EU8">
        <f>IF(Hoja1!1751:1751,"AAAAAF//RpY=",0)</f>
        <v>0</v>
      </c>
      <c r="EV8">
        <f>IF(Hoja1!1752:1752,"AAAAAF//Rpc=",0)</f>
        <v>0</v>
      </c>
      <c r="EW8">
        <f>IF(Hoja1!1753:1753,"AAAAAF//Rpg=",0)</f>
        <v>0</v>
      </c>
      <c r="EX8">
        <f>IF(Hoja1!1754:1754,"AAAAAF//Rpk=",0)</f>
        <v>0</v>
      </c>
      <c r="EY8">
        <f>IF(Hoja1!1755:1755,"AAAAAF//Rpo=",0)</f>
        <v>0</v>
      </c>
      <c r="EZ8">
        <f>IF(Hoja1!1756:1756,"AAAAAF//Rps=",0)</f>
        <v>0</v>
      </c>
      <c r="FA8">
        <f>IF(Hoja1!1757:1757,"AAAAAF//Rpw=",0)</f>
        <v>0</v>
      </c>
      <c r="FB8">
        <f>IF(Hoja1!1758:1758,"AAAAAF//Rp0=",0)</f>
        <v>0</v>
      </c>
      <c r="FC8">
        <f>IF(Hoja1!1759:1759,"AAAAAF//Rp4=",0)</f>
        <v>0</v>
      </c>
      <c r="FD8">
        <f>IF(Hoja1!1760:1760,"AAAAAF//Rp8=",0)</f>
        <v>0</v>
      </c>
      <c r="FE8">
        <f>IF(Hoja1!1761:1761,"AAAAAF//RqA=",0)</f>
        <v>0</v>
      </c>
      <c r="FF8">
        <f>IF(Hoja1!1762:1762,"AAAAAF//RqE=",0)</f>
        <v>0</v>
      </c>
      <c r="FG8">
        <f>IF(Hoja1!1763:1763,"AAAAAF//RqI=",0)</f>
        <v>0</v>
      </c>
      <c r="FH8">
        <f>IF(Hoja1!1764:1764,"AAAAAF//RqM=",0)</f>
        <v>0</v>
      </c>
      <c r="FI8">
        <f>IF(Hoja1!1765:1765,"AAAAAF//RqQ=",0)</f>
        <v>0</v>
      </c>
      <c r="FJ8">
        <f>IF(Hoja1!1766:1766,"AAAAAF//RqU=",0)</f>
        <v>0</v>
      </c>
      <c r="FK8">
        <f>IF(Hoja1!1767:1767,"AAAAAF//RqY=",0)</f>
        <v>0</v>
      </c>
      <c r="FL8">
        <f>IF(Hoja1!1768:1768,"AAAAAF//Rqc=",0)</f>
        <v>0</v>
      </c>
      <c r="FM8">
        <f>IF(Hoja1!1769:1769,"AAAAAF//Rqg=",0)</f>
        <v>0</v>
      </c>
      <c r="FN8">
        <f>IF(Hoja1!1770:1770,"AAAAAF//Rqk=",0)</f>
        <v>0</v>
      </c>
      <c r="FO8">
        <f>IF(Hoja1!1771:1771,"AAAAAF//Rqo=",0)</f>
        <v>0</v>
      </c>
      <c r="FP8">
        <f>IF(Hoja1!1772:1772,"AAAAAF//Rqs=",0)</f>
        <v>0</v>
      </c>
      <c r="FQ8">
        <f>IF(Hoja1!1773:1773,"AAAAAF//Rqw=",0)</f>
        <v>0</v>
      </c>
      <c r="FR8">
        <f>IF(Hoja1!1774:1774,"AAAAAF//Rq0=",0)</f>
        <v>0</v>
      </c>
      <c r="FS8">
        <f>IF(Hoja1!1775:1775,"AAAAAF//Rq4=",0)</f>
        <v>0</v>
      </c>
      <c r="FT8">
        <f>IF(Hoja1!1776:1776,"AAAAAF//Rq8=",0)</f>
        <v>0</v>
      </c>
      <c r="FU8">
        <f>IF(Hoja1!1777:1777,"AAAAAF//RrA=",0)</f>
        <v>0</v>
      </c>
      <c r="FV8">
        <f>IF(Hoja1!1778:1778,"AAAAAF//RrE=",0)</f>
        <v>0</v>
      </c>
      <c r="FW8">
        <f>IF(Hoja1!1779:1779,"AAAAAF//RrI=",0)</f>
        <v>0</v>
      </c>
      <c r="FX8">
        <f>IF(Hoja1!1780:1780,"AAAAAF//RrM=",0)</f>
        <v>0</v>
      </c>
      <c r="FY8">
        <f>IF(Hoja1!1781:1781,"AAAAAF//RrQ=",0)</f>
        <v>0</v>
      </c>
      <c r="FZ8">
        <f>IF(Hoja1!1782:1782,"AAAAAF//RrU=",0)</f>
        <v>0</v>
      </c>
      <c r="GA8">
        <f>IF(Hoja1!1783:1783,"AAAAAF//RrY=",0)</f>
        <v>0</v>
      </c>
      <c r="GB8">
        <f>IF(Hoja1!1784:1784,"AAAAAF//Rrc=",0)</f>
        <v>0</v>
      </c>
      <c r="GC8">
        <f>IF(Hoja1!1785:1785,"AAAAAF//Rrg=",0)</f>
        <v>0</v>
      </c>
      <c r="GD8">
        <f>IF(Hoja1!1786:1786,"AAAAAF//Rrk=",0)</f>
        <v>0</v>
      </c>
      <c r="GE8">
        <f>IF(Hoja1!1787:1787,"AAAAAF//Rro=",0)</f>
        <v>0</v>
      </c>
      <c r="GF8">
        <f>IF(Hoja1!1788:1788,"AAAAAF//Rrs=",0)</f>
        <v>0</v>
      </c>
      <c r="GG8">
        <f>IF(Hoja1!1789:1789,"AAAAAF//Rrw=",0)</f>
        <v>0</v>
      </c>
      <c r="GH8">
        <f>IF(Hoja1!1790:1790,"AAAAAF//Rr0=",0)</f>
        <v>0</v>
      </c>
      <c r="GI8">
        <f>IF(Hoja1!1791:1791,"AAAAAF//Rr4=",0)</f>
        <v>0</v>
      </c>
      <c r="GJ8">
        <f>IF(Hoja1!1792:1792,"AAAAAF//Rr8=",0)</f>
        <v>0</v>
      </c>
      <c r="GK8">
        <f>IF(Hoja1!1793:1793,"AAAAAF//RsA=",0)</f>
        <v>0</v>
      </c>
      <c r="GL8">
        <f>IF(Hoja1!1794:1794,"AAAAAF//RsE=",0)</f>
        <v>0</v>
      </c>
      <c r="GM8">
        <f>IF(Hoja1!1795:1795,"AAAAAF//RsI=",0)</f>
        <v>0</v>
      </c>
      <c r="GN8">
        <f>IF(Hoja1!1796:1796,"AAAAAF//RsM=",0)</f>
        <v>0</v>
      </c>
      <c r="GO8">
        <f>IF(Hoja1!1797:1797,"AAAAAF//RsQ=",0)</f>
        <v>0</v>
      </c>
      <c r="GP8">
        <f>IF(Hoja1!1798:1798,"AAAAAF//RsU=",0)</f>
        <v>0</v>
      </c>
      <c r="GQ8">
        <f>IF(Hoja1!1799:1799,"AAAAAF//RsY=",0)</f>
        <v>0</v>
      </c>
      <c r="GR8">
        <f>IF(Hoja1!1800:1800,"AAAAAF//Rsc=",0)</f>
        <v>0</v>
      </c>
      <c r="GS8">
        <f>IF(Hoja1!1801:1801,"AAAAAF//Rsg=",0)</f>
        <v>0</v>
      </c>
      <c r="GT8">
        <f>IF(Hoja1!1802:1802,"AAAAAF//Rsk=",0)</f>
        <v>0</v>
      </c>
      <c r="GU8">
        <f>IF(Hoja1!1803:1803,"AAAAAF//Rso=",0)</f>
        <v>0</v>
      </c>
      <c r="GV8">
        <f>IF(Hoja1!1804:1804,"AAAAAF//Rss=",0)</f>
        <v>0</v>
      </c>
      <c r="GW8">
        <f>IF(Hoja1!1805:1805,"AAAAAF//Rsw=",0)</f>
        <v>0</v>
      </c>
      <c r="GX8">
        <f>IF(Hoja1!1806:1806,"AAAAAF//Rs0=",0)</f>
        <v>0</v>
      </c>
      <c r="GY8">
        <f>IF(Hoja1!1807:1807,"AAAAAF//Rs4=",0)</f>
        <v>0</v>
      </c>
      <c r="GZ8">
        <f>IF(Hoja1!1808:1808,"AAAAAF//Rs8=",0)</f>
        <v>0</v>
      </c>
      <c r="HA8">
        <f>IF(Hoja1!1809:1809,"AAAAAF//RtA=",0)</f>
        <v>0</v>
      </c>
      <c r="HB8">
        <f>IF(Hoja1!1810:1810,"AAAAAF//RtE=",0)</f>
        <v>0</v>
      </c>
      <c r="HC8">
        <f>IF(Hoja1!1811:1811,"AAAAAF//RtI=",0)</f>
        <v>0</v>
      </c>
      <c r="HD8">
        <f>IF(Hoja1!1812:1812,"AAAAAF//RtM=",0)</f>
        <v>0</v>
      </c>
      <c r="HE8">
        <f>IF(Hoja1!1813:1813,"AAAAAF//RtQ=",0)</f>
        <v>0</v>
      </c>
      <c r="HF8">
        <f>IF(Hoja1!1814:1814,"AAAAAF//RtU=",0)</f>
        <v>0</v>
      </c>
      <c r="HG8">
        <f>IF(Hoja1!1815:1815,"AAAAAF//RtY=",0)</f>
        <v>0</v>
      </c>
      <c r="HH8">
        <f>IF(Hoja1!1816:1816,"AAAAAF//Rtc=",0)</f>
        <v>0</v>
      </c>
      <c r="HI8">
        <f>IF(Hoja1!1817:1817,"AAAAAF//Rtg=",0)</f>
        <v>0</v>
      </c>
      <c r="HJ8">
        <f>IF(Hoja1!1818:1818,"AAAAAF//Rtk=",0)</f>
        <v>0</v>
      </c>
      <c r="HK8">
        <f>IF(Hoja1!1819:1819,"AAAAAF//Rto=",0)</f>
        <v>0</v>
      </c>
      <c r="HL8">
        <f>IF(Hoja1!1820:1820,"AAAAAF//Rts=",0)</f>
        <v>0</v>
      </c>
      <c r="HM8">
        <f>IF(Hoja1!1821:1821,"AAAAAF//Rtw=",0)</f>
        <v>0</v>
      </c>
      <c r="HN8">
        <f>IF(Hoja1!1822:1822,"AAAAAF//Rt0=",0)</f>
        <v>0</v>
      </c>
      <c r="HO8">
        <f>IF(Hoja1!1823:1823,"AAAAAF//Rt4=",0)</f>
        <v>0</v>
      </c>
      <c r="HP8">
        <f>IF(Hoja1!1824:1824,"AAAAAF//Rt8=",0)</f>
        <v>0</v>
      </c>
      <c r="HQ8">
        <f>IF(Hoja1!1825:1825,"AAAAAF//RuA=",0)</f>
        <v>0</v>
      </c>
      <c r="HR8">
        <f>IF(Hoja1!1826:1826,"AAAAAF//RuE=",0)</f>
        <v>0</v>
      </c>
      <c r="HS8">
        <f>IF(Hoja1!1827:1827,"AAAAAF//RuI=",0)</f>
        <v>0</v>
      </c>
      <c r="HT8">
        <f>IF(Hoja1!1828:1828,"AAAAAF//RuM=",0)</f>
        <v>0</v>
      </c>
      <c r="HU8">
        <f>IF(Hoja1!1829:1829,"AAAAAF//RuQ=",0)</f>
        <v>0</v>
      </c>
      <c r="HV8">
        <f>IF(Hoja1!1830:1830,"AAAAAF//RuU=",0)</f>
        <v>0</v>
      </c>
      <c r="HW8">
        <f>IF(Hoja1!1831:1831,"AAAAAF//RuY=",0)</f>
        <v>0</v>
      </c>
      <c r="HX8">
        <f>IF(Hoja1!1832:1832,"AAAAAF//Ruc=",0)</f>
        <v>0</v>
      </c>
      <c r="HY8">
        <f>IF(Hoja1!1833:1833,"AAAAAF//Rug=",0)</f>
        <v>0</v>
      </c>
      <c r="HZ8">
        <f>IF(Hoja1!1834:1834,"AAAAAF//Ruk=",0)</f>
        <v>0</v>
      </c>
      <c r="IA8">
        <f>IF(Hoja1!1835:1835,"AAAAAF//Ruo=",0)</f>
        <v>0</v>
      </c>
      <c r="IB8">
        <f>IF(Hoja1!1836:1836,"AAAAAF//Rus=",0)</f>
        <v>0</v>
      </c>
      <c r="IC8">
        <f>IF(Hoja1!1837:1837,"AAAAAF//Ruw=",0)</f>
        <v>0</v>
      </c>
      <c r="ID8">
        <f>IF(Hoja1!1838:1838,"AAAAAF//Ru0=",0)</f>
        <v>0</v>
      </c>
      <c r="IE8">
        <f>IF(Hoja1!1839:1839,"AAAAAF//Ru4=",0)</f>
        <v>0</v>
      </c>
      <c r="IF8">
        <f>IF(Hoja1!1840:1840,"AAAAAF//Ru8=",0)</f>
        <v>0</v>
      </c>
      <c r="IG8">
        <f>IF(Hoja1!1841:1841,"AAAAAF//RvA=",0)</f>
        <v>0</v>
      </c>
      <c r="IH8">
        <f>IF(Hoja1!1842:1842,"AAAAAF//RvE=",0)</f>
        <v>0</v>
      </c>
      <c r="II8">
        <f>IF(Hoja1!1843:1843,"AAAAAF//RvI=",0)</f>
        <v>0</v>
      </c>
      <c r="IJ8">
        <f>IF(Hoja1!1844:1844,"AAAAAF//RvM=",0)</f>
        <v>0</v>
      </c>
      <c r="IK8">
        <f>IF(Hoja1!1845:1845,"AAAAAF//RvQ=",0)</f>
        <v>0</v>
      </c>
      <c r="IL8">
        <f>IF(Hoja1!1846:1846,"AAAAAF//RvU=",0)</f>
        <v>0</v>
      </c>
      <c r="IM8">
        <f>IF(Hoja1!1847:1847,"AAAAAF//RvY=",0)</f>
        <v>0</v>
      </c>
      <c r="IN8">
        <f>IF(Hoja1!1848:1848,"AAAAAF//Rvc=",0)</f>
        <v>0</v>
      </c>
      <c r="IO8">
        <f>IF(Hoja1!1849:1849,"AAAAAF//Rvg=",0)</f>
        <v>0</v>
      </c>
      <c r="IP8">
        <f>IF(Hoja1!1850:1850,"AAAAAF//Rvk=",0)</f>
        <v>0</v>
      </c>
      <c r="IQ8">
        <f>IF(Hoja1!1851:1851,"AAAAAF//Rvo=",0)</f>
        <v>0</v>
      </c>
      <c r="IR8">
        <f>IF(Hoja1!1852:1852,"AAAAAF//Rvs=",0)</f>
        <v>0</v>
      </c>
      <c r="IS8">
        <f>IF(Hoja1!1853:1853,"AAAAAF//Rvw=",0)</f>
        <v>0</v>
      </c>
      <c r="IT8">
        <f>IF(Hoja1!1854:1854,"AAAAAF//Rv0=",0)</f>
        <v>0</v>
      </c>
      <c r="IU8">
        <f>IF(Hoja1!1855:1855,"AAAAAF//Rv4=",0)</f>
        <v>0</v>
      </c>
      <c r="IV8">
        <f>IF(Hoja1!1856:1856,"AAAAAF//Rv8=",0)</f>
        <v>0</v>
      </c>
    </row>
    <row r="9" spans="1:256" x14ac:dyDescent="0.2">
      <c r="A9">
        <f>IF(Hoja1!1857:1857,"AAAAAH8FPwA=",0)</f>
        <v>0</v>
      </c>
      <c r="B9">
        <f>IF(Hoja1!1858:1858,"AAAAAH8FPwE=",0)</f>
        <v>0</v>
      </c>
      <c r="C9">
        <f>IF(Hoja1!1859:1859,"AAAAAH8FPwI=",0)</f>
        <v>0</v>
      </c>
      <c r="D9">
        <f>IF(Hoja1!1860:1860,"AAAAAH8FPwM=",0)</f>
        <v>0</v>
      </c>
      <c r="E9">
        <f>IF(Hoja1!1861:1861,"AAAAAH8FPwQ=",0)</f>
        <v>0</v>
      </c>
      <c r="F9">
        <f>IF(Hoja1!1862:1862,"AAAAAH8FPwU=",0)</f>
        <v>0</v>
      </c>
      <c r="G9">
        <f>IF(Hoja1!1863:1863,"AAAAAH8FPwY=",0)</f>
        <v>0</v>
      </c>
      <c r="H9">
        <f>IF(Hoja1!1864:1864,"AAAAAH8FPwc=",0)</f>
        <v>0</v>
      </c>
      <c r="I9">
        <f>IF(Hoja1!1865:1865,"AAAAAH8FPwg=",0)</f>
        <v>0</v>
      </c>
      <c r="J9">
        <f>IF(Hoja1!1866:1866,"AAAAAH8FPwk=",0)</f>
        <v>0</v>
      </c>
      <c r="K9">
        <f>IF(Hoja1!1867:1867,"AAAAAH8FPwo=",0)</f>
        <v>0</v>
      </c>
      <c r="L9">
        <f>IF(Hoja1!1868:1868,"AAAAAH8FPws=",0)</f>
        <v>0</v>
      </c>
      <c r="M9">
        <f>IF(Hoja1!1869:1869,"AAAAAH8FPww=",0)</f>
        <v>0</v>
      </c>
      <c r="N9">
        <f>IF(Hoja1!1870:1870,"AAAAAH8FPw0=",0)</f>
        <v>0</v>
      </c>
      <c r="O9">
        <f>IF(Hoja1!1871:1871,"AAAAAH8FPw4=",0)</f>
        <v>0</v>
      </c>
      <c r="P9">
        <f>IF(Hoja1!1872:1872,"AAAAAH8FPw8=",0)</f>
        <v>0</v>
      </c>
      <c r="Q9">
        <f>IF(Hoja1!1873:1873,"AAAAAH8FPxA=",0)</f>
        <v>0</v>
      </c>
      <c r="R9">
        <f>IF(Hoja1!1874:1874,"AAAAAH8FPxE=",0)</f>
        <v>0</v>
      </c>
      <c r="S9">
        <f>IF(Hoja1!1875:1875,"AAAAAH8FPxI=",0)</f>
        <v>0</v>
      </c>
      <c r="T9">
        <f>IF(Hoja1!1876:1876,"AAAAAH8FPxM=",0)</f>
        <v>0</v>
      </c>
      <c r="U9">
        <f>IF(Hoja1!1877:1877,"AAAAAH8FPxQ=",0)</f>
        <v>0</v>
      </c>
      <c r="V9">
        <f>IF(Hoja1!1878:1878,"AAAAAH8FPxU=",0)</f>
        <v>0</v>
      </c>
      <c r="W9">
        <f>IF(Hoja1!1879:1879,"AAAAAH8FPxY=",0)</f>
        <v>0</v>
      </c>
      <c r="X9">
        <f>IF(Hoja1!1880:1880,"AAAAAH8FPxc=",0)</f>
        <v>0</v>
      </c>
      <c r="Y9">
        <f>IF(Hoja1!1881:1881,"AAAAAH8FPxg=",0)</f>
        <v>0</v>
      </c>
      <c r="Z9">
        <f>IF(Hoja1!1882:1882,"AAAAAH8FPxk=",0)</f>
        <v>0</v>
      </c>
      <c r="AA9">
        <f>IF(Hoja1!1883:1883,"AAAAAH8FPxo=",0)</f>
        <v>0</v>
      </c>
      <c r="AB9">
        <f>IF(Hoja1!1884:1884,"AAAAAH8FPxs=",0)</f>
        <v>0</v>
      </c>
      <c r="AC9">
        <f>IF(Hoja1!1885:1885,"AAAAAH8FPxw=",0)</f>
        <v>0</v>
      </c>
      <c r="AD9">
        <f>IF(Hoja1!1886:1886,"AAAAAH8FPx0=",0)</f>
        <v>0</v>
      </c>
      <c r="AE9">
        <f>IF(Hoja1!1887:1887,"AAAAAH8FPx4=",0)</f>
        <v>0</v>
      </c>
      <c r="AF9">
        <f>IF(Hoja1!1888:1888,"AAAAAH8FPx8=",0)</f>
        <v>0</v>
      </c>
      <c r="AG9">
        <f>IF(Hoja1!1889:1889,"AAAAAH8FPyA=",0)</f>
        <v>0</v>
      </c>
      <c r="AH9">
        <f>IF(Hoja1!1890:1890,"AAAAAH8FPyE=",0)</f>
        <v>0</v>
      </c>
      <c r="AI9">
        <f>IF(Hoja1!1891:1891,"AAAAAH8FPyI=",0)</f>
        <v>0</v>
      </c>
      <c r="AJ9">
        <f>IF(Hoja1!1892:1892,"AAAAAH8FPyM=",0)</f>
        <v>0</v>
      </c>
      <c r="AK9">
        <f>IF(Hoja1!1893:1893,"AAAAAH8FPyQ=",0)</f>
        <v>0</v>
      </c>
      <c r="AL9">
        <f>IF(Hoja1!1894:1894,"AAAAAH8FPyU=",0)</f>
        <v>0</v>
      </c>
      <c r="AM9">
        <f>IF(Hoja1!1895:1895,"AAAAAH8FPyY=",0)</f>
        <v>0</v>
      </c>
      <c r="AN9">
        <f>IF(Hoja1!1896:1896,"AAAAAH8FPyc=",0)</f>
        <v>0</v>
      </c>
      <c r="AO9">
        <f>IF(Hoja1!1897:1897,"AAAAAH8FPyg=",0)</f>
        <v>0</v>
      </c>
      <c r="AP9">
        <f>IF(Hoja1!1898:1898,"AAAAAH8FPyk=",0)</f>
        <v>0</v>
      </c>
      <c r="AQ9">
        <f>IF(Hoja1!1899:1899,"AAAAAH8FPyo=",0)</f>
        <v>0</v>
      </c>
      <c r="AR9">
        <f>IF(Hoja1!1900:1900,"AAAAAH8FPys=",0)</f>
        <v>0</v>
      </c>
      <c r="AS9">
        <f>IF(Hoja1!1901:1901,"AAAAAH8FPyw=",0)</f>
        <v>0</v>
      </c>
      <c r="AT9">
        <f>IF(Hoja1!A:A,"AAAAAH8FPy0=",0)</f>
        <v>0</v>
      </c>
      <c r="AU9">
        <f>IF(Hoja1!B:B,"AAAAAH8FPy4=",0)</f>
        <v>0</v>
      </c>
      <c r="AV9">
        <f>IF(Hoja1!C:C,"AAAAAH8FPy8=",0)</f>
        <v>0</v>
      </c>
      <c r="AW9">
        <f>IF(Hoja1!D:D,"AAAAAH8FPzA=",0)</f>
        <v>0</v>
      </c>
      <c r="AX9">
        <f>IF(Hoja1!E:E,"AAAAAH8FPzE=",0)</f>
        <v>0</v>
      </c>
      <c r="AY9">
        <f>IF(Hoja1!F:F,"AAAAAH8FPzI=",0)</f>
        <v>0</v>
      </c>
      <c r="AZ9">
        <f>IF(Hoja1!G:G,"AAAAAH8FPzM=",0)</f>
        <v>0</v>
      </c>
      <c r="BA9">
        <f>IF(Hoja1!H:H,"AAAAAH8FPzQ=",0)</f>
        <v>0</v>
      </c>
      <c r="BB9">
        <f>IF(Hoja1!I:I,"AAAAAH8FPzU=",0)</f>
        <v>0</v>
      </c>
      <c r="BC9">
        <f>IF(Hoja1!J:J,"AAAAAH8FPzY=",0)</f>
        <v>0</v>
      </c>
      <c r="BD9">
        <f>IF(Hoja1!K:K,"AAAAAH8FPzc=",0)</f>
        <v>0</v>
      </c>
      <c r="BE9">
        <f>IF(Hoja1!L:L,"AAAAAH8FPzg=",0)</f>
        <v>0</v>
      </c>
      <c r="BF9">
        <f>IF(Hoja1!M:M,"AAAAAH8FPzk=",0)</f>
        <v>0</v>
      </c>
      <c r="BG9">
        <f>IF(Hoja1!N:N,"AAAAAH8FPzo=",0)</f>
        <v>0</v>
      </c>
      <c r="BH9">
        <f>IF(Hoja1!O:O,"AAAAAH8FPzs=",0)</f>
        <v>0</v>
      </c>
      <c r="BI9">
        <f>IF(Hoja1!P:P,"AAAAAH8FPzw=",0)</f>
        <v>0</v>
      </c>
      <c r="BJ9">
        <f>IF(Hoja1!Q:Q,"AAAAAH8FPz0=",0)</f>
        <v>0</v>
      </c>
      <c r="BK9">
        <f>IF(Hoja1!R:R,"AAAAAH8FPz4=",0)</f>
        <v>0</v>
      </c>
      <c r="BL9">
        <f>IF(Hoja1!S:S,"AAAAAH8FPz8=",0)</f>
        <v>0</v>
      </c>
      <c r="BM9">
        <f>IF(Hoja1!T:T,"AAAAAH8FP0A=",0)</f>
        <v>0</v>
      </c>
      <c r="BN9">
        <f>IF(Hoja1!U:U,"AAAAAH8FP0E=",0)</f>
        <v>0</v>
      </c>
      <c r="BO9">
        <f>IF(Hoja1!V:V,"AAAAAH8FP0I=",0)</f>
        <v>0</v>
      </c>
      <c r="BP9">
        <f>IF(Hoja1!W:W,"AAAAAH8FP0M=",0)</f>
        <v>0</v>
      </c>
      <c r="BQ9">
        <f>IF(Hoja1!X:X,"AAAAAH8FP0Q=",0)</f>
        <v>0</v>
      </c>
      <c r="BR9" t="s">
        <v>26</v>
      </c>
      <c r="BS9" t="e">
        <f>IF("N",Influenza,"AAAAAH8FP0Y=")</f>
        <v>#VALUE!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CarlosF</cp:lastModifiedBy>
  <dcterms:created xsi:type="dcterms:W3CDTF">2010-09-26T07:47:58Z</dcterms:created>
  <dcterms:modified xsi:type="dcterms:W3CDTF">2018-12-09T02:25:54Z</dcterms:modified>
</cp:coreProperties>
</file>