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4.xml" ContentType="application/vnd.openxmlformats-officedocument.drawing+xml"/>
  <Override PartName="/xl/ctrlProps/ctrlProp9.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02"/>
  <workbookPr codeName="ThisWorkbook"/>
  <mc:AlternateContent xmlns:mc="http://schemas.openxmlformats.org/markup-compatibility/2006">
    <mc:Choice Requires="x15">
      <x15ac:absPath xmlns:x15ac="http://schemas.microsoft.com/office/spreadsheetml/2010/11/ac" url="https://d.docs.live.net/27ebe5ee1b734cba/Documents/Muhendisrehberi/Excel ile tablo/"/>
    </mc:Choice>
  </mc:AlternateContent>
  <xr:revisionPtr revIDLastSave="7" documentId="11_5AE5D195E61AD1E4266865EC7400EBE9642F3BF1" xr6:coauthVersionLast="45" xr6:coauthVersionMax="45" xr10:uidLastSave="{7189D4E7-9F7E-46BF-B323-01048738E362}"/>
  <bookViews>
    <workbookView xWindow="-120" yWindow="-120" windowWidth="29040" windowHeight="15990" tabRatio="950" firstSheet="18" activeTab="26" xr2:uid="{00000000-000D-0000-FFFF-FFFF00000000}"/>
  </bookViews>
  <sheets>
    <sheet name="Cover" sheetId="177" r:id="rId1"/>
    <sheet name="Contents" sheetId="176" r:id="rId2"/>
    <sheet name="Overview_SC" sheetId="123" r:id="rId3"/>
    <sheet name="Notes_SSC" sheetId="124" r:id="rId4"/>
    <sheet name="Notes_BO" sheetId="122" r:id="rId5"/>
    <sheet name="Standards_MS" sheetId="204" r:id="rId6"/>
    <sheet name="Keys_SSC" sheetId="127" r:id="rId7"/>
    <sheet name="Keys_BO" sheetId="128" r:id="rId8"/>
    <sheet name="Assumptions_SC" sheetId="132" r:id="rId9"/>
    <sheet name="TS_Ass_SSC" sheetId="183" r:id="rId10"/>
    <sheet name="TS_BA" sheetId="131" r:id="rId11"/>
    <sheet name="Hist_Ass_SSC" sheetId="189" r:id="rId12"/>
    <sheet name="IS_Hist_TA" sheetId="190" r:id="rId13"/>
    <sheet name="BS_Hist_TA" sheetId="191" r:id="rId14"/>
    <sheet name="CFS_Hist_TA" sheetId="192" r:id="rId15"/>
    <sheet name="Fcast_Ass_SSC" sheetId="184" r:id="rId16"/>
    <sheet name="Fcast_TA" sheetId="193" r:id="rId17"/>
    <sheet name="Outputs_SC" sheetId="137" r:id="rId18"/>
    <sheet name="Hist_OP_SSC" sheetId="194" r:id="rId19"/>
    <sheet name="IS_Hist_TO" sheetId="195" r:id="rId20"/>
    <sheet name="BS_Hist_TO" sheetId="196" r:id="rId21"/>
    <sheet name="CFS_Hist_TO" sheetId="197" r:id="rId22"/>
    <sheet name="Fcast_OP_SSC" sheetId="186" r:id="rId23"/>
    <sheet name="Fcast_OP_TO" sheetId="199" r:id="rId24"/>
    <sheet name="IS_Fcast_TO" sheetId="161" r:id="rId25"/>
    <sheet name="BS_Fcast_TO" sheetId="162" r:id="rId26"/>
    <sheet name="CFS_Fcast_TO" sheetId="163" r:id="rId27"/>
    <sheet name="All_Pers_OP_SSC" sheetId="187" r:id="rId28"/>
    <sheet name="IS_All_TO" sheetId="201" r:id="rId29"/>
    <sheet name="BS_All_TO" sheetId="202" r:id="rId30"/>
    <sheet name="CFS_All_TO" sheetId="203" r:id="rId31"/>
    <sheet name="BS_Sum_P_MS" sheetId="180" r:id="rId32"/>
    <sheet name="Dashboards_SSC" sheetId="188" r:id="rId33"/>
    <sheet name="Appendices_SC" sheetId="168" r:id="rId34"/>
    <sheet name="Checks_SSC" sheetId="134" r:id="rId35"/>
    <sheet name="Checks_BO" sheetId="135" r:id="rId36"/>
    <sheet name="LU_SSC" sheetId="169" r:id="rId37"/>
    <sheet name="TS_LU" sheetId="130" r:id="rId38"/>
    <sheet name="Capital_LU" sheetId="174" r:id="rId39"/>
    <sheet name="Dashboards_LU" sheetId="182" r:id="rId40"/>
  </sheets>
  <definedNames>
    <definedName name="_xlnm._FilterDatabase" localSheetId="5" hidden="1">Standards_MS!$C$8:$BE$408</definedName>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Keys_BO!$100:$133</definedName>
    <definedName name="BA_Sens_Chks" hidden="1">Checks_BO!$30:$45</definedName>
    <definedName name="BA_Sheet_Naming" hidden="1">Keys_BO!$52:$99</definedName>
    <definedName name="BA_TS_Ass" hidden="1">TS_BA!$5:$65</definedName>
    <definedName name="Billion">TS_LU!$D$105</definedName>
    <definedName name="Billions">TS_LU!$D$63</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ert_Check_Example">BS_All_TO!$H$74</definedName>
    <definedName name="HL_Alert_Checks_Summary_Example">Checks_BO!$B$48:$M$66</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Assumption_Cell_Content_Example">Fcast_TA!$J$18:$Q$22</definedName>
    <definedName name="HL_Assumption_cell_Example">TS_BA!$J$14</definedName>
    <definedName name="HL_Assumption_sheet_Example">Fcast_TA!$A$1</definedName>
    <definedName name="HL_Blank_sheet_Example">TS_BA!$A$1</definedName>
    <definedName name="HL_Cell_Classification_Example">TS_BA!$D$11:$K$59</definedName>
    <definedName name="HL_Cell_Content_Example">Fcast_TA!$C$18:$I$26</definedName>
    <definedName name="HL_Check_Cell_Formatting_Example">BS_Hist_TA!$H$69</definedName>
    <definedName name="HL_Check_Indicator_Flag_Example">Standards_MS!$F$4:$K$4</definedName>
    <definedName name="HL_Checks_Classification_Example">Checks_BO!$A$1</definedName>
    <definedName name="HL_Circular_References_Example">Standards_MS!$AF$198</definedName>
    <definedName name="HL_Consistent_Formulae_Example">CFS_All_TO!$J$43:$Q$48</definedName>
    <definedName name="HL_Contents_sheet_Example">Contents!$A$1</definedName>
    <definedName name="HL_Control_Cell_Link_Placement_Example">TS_BA!$J$40</definedName>
    <definedName name="HL_Cover_sheet_Example">Cover!$A$1</definedName>
    <definedName name="HL_Dedicated_Checks_Summaries_Example">Checks_BO!$A$1</definedName>
    <definedName name="HL_Denomination_Identification_Example">Fcast_TA!$J$65:$Q$66</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Error_Check_Example">BS_All_TO!$H$72</definedName>
    <definedName name="HL_Error_Checks_Summary_Example">Checks_BO!$B$7:$M$29</definedName>
    <definedName name="HL_Formats_and_Styles_Key_Example">Keys_BO!$A$1</definedName>
    <definedName name="HL_Go_to_Worksheet_Data_Alignment_Example_B">BS_All_TO!$J:$J</definedName>
    <definedName name="HL_Grouping_Rows_or_Columns_Example">IS_Hist_TA!$7:$14</definedName>
    <definedName name="HL_Home">Contents!$B$1</definedName>
    <definedName name="HL_Hyperlink_Consistency_Example">Standards_MS!$AF$136</definedName>
    <definedName name="HL_In_Cell_Drop_Down_Lists_Example">Fcast_TA!$J$94:$Q$94</definedName>
    <definedName name="HL_Lookup_sheet_Example">TS_LU!$A$1</definedName>
    <definedName name="HL_No_Assumption_Repetition_Example">TS_BA!$J$14</definedName>
    <definedName name="HL_Output_cell_Example">IS_All_TO!$J$18</definedName>
    <definedName name="HL_Output_sheet_Example">Fcast_OP_TO!$A$1</definedName>
    <definedName name="HL_Presentation_Sheets_Example">BS_Sum_P_MS!$A$1</definedName>
    <definedName name="HL_Range_Naming_Example">TS_BA!$J$12</definedName>
    <definedName name="HL_Section_cover_sheet_Example">Overview_SC!$A$1</definedName>
    <definedName name="HL_Segregation_of_Outputs_Example">Contents!$17:$53</definedName>
    <definedName name="HL_Sens_Chk">Checks_BO!$B$32</definedName>
    <definedName name="HL_Sheet_Classification_Example">TS_BA!$A$1</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4" hidden="1">Standards_MS!$A$1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Sheet_Naming_Example">Keys_BO!$M$58:$N$94</definedName>
    <definedName name="HL_Sheet_Page_Numbers_Example">Contents!$Q$6:$Q$65</definedName>
    <definedName name="HL_Sheet_Titles_Example">Fcast_TA!$B$1</definedName>
    <definedName name="HL_Sheet_Type_Consistency_Example_A">IS_Hist_TA!$A$1</definedName>
    <definedName name="HL_Sheet_Type_Consistency_Example_C">IS_All_TO!$A$1</definedName>
    <definedName name="HL_Standardised_Naming_Prefixes_Example">Keys_BO!$M$106:$N$132</definedName>
    <definedName name="HL_Table_of_Contents_Page_Numbers_Example">Contents!$Q$6:$Q$65</definedName>
    <definedName name="HL_Time_Series_Assumptions_Example">TS_BA!$J$11:$K$42</definedName>
    <definedName name="HL_Time_Series_Number_of_Periods_Example">TS_BA!$J$15</definedName>
    <definedName name="HL_Time_Series_Period_End_Dates_Example">IS_All_TO!$7:$7</definedName>
    <definedName name="HL_Time_Series_Period_Labels_Example">IS_Hist_TA!$7:$14</definedName>
    <definedName name="HL_Time_Series_Periodicity_Identification_Example">CFS_All_TO!$7:$7</definedName>
    <definedName name="HL_Time_Series_Sheet_Consistency_Example">BS_All_TO!$J:$J</definedName>
    <definedName name="HL_Time_series_sheet_Example">IS_Hist_TA!$A$1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Keys_BO!$B$102</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L_Work_in_Progress_Example">Keys_BO!$M$30</definedName>
    <definedName name="HL_Workbook_Denomination_Example">TS_BA!$D$26:$K$26</definedName>
    <definedName name="HL_Workbook_Navigation_Example">BS_All_TO!$B$3:$F$4</definedName>
    <definedName name="HL_Workbook_Purpose_Example">Cover!$D$23</definedName>
    <definedName name="HL_Worksheet_Data_Alignment_Example_A">IS_Hist_TA!$J:$J</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7" hidden="1">"|B|SSC|B|"</definedName>
    <definedName name="TBXBST" localSheetId="33" hidden="1">"|B|SC|B|"</definedName>
    <definedName name="TBXBST" localSheetId="8" hidden="1">"|B|SC|B|"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1" hidden="1">"|B|MS|B||P|"</definedName>
    <definedName name="TBXBST" localSheetId="38" hidden="1">"|B|LU|B|"</definedName>
    <definedName name="TBXBST" localSheetId="30" hidden="1">"|B|TO|B||T|All|T||N|1|N||FTSCN|10|FTSCN||TSP|8|TSP|"</definedName>
    <definedName name="TBXBST" localSheetId="26" hidden="1">"|B|TO|B||T|Proj|T||N|1|N||FTSCN|10|FTSCN||TSP|10|TSP|"</definedName>
    <definedName name="TBXBST" localSheetId="14" hidden="1">"|B|TA|B||T|Data|T||N|1|N||FTSCN|10|FTSCN||TSP|10|TSP|"</definedName>
    <definedName name="TBXBST" localSheetId="21" hidden="1">"|B|TO|B||T|Data|T||N|1|N||FTSCN|10|FTSCN||TSP|8|TSP|"</definedName>
    <definedName name="TBXBST" localSheetId="35" hidden="1">"|B|BO|B|"</definedName>
    <definedName name="TBXBST" localSheetId="34" hidden="1">"|B|SSC|B|"</definedName>
    <definedName name="TBXBST" localSheetId="1" hidden="1">"|B|Contents|B|"</definedName>
    <definedName name="TBXBST" localSheetId="0" hidden="1">"|B|Cover|B|"</definedName>
    <definedName name="TBXBST" localSheetId="39" hidden="1">"|B|LU|B|"</definedName>
    <definedName name="TBXBST" localSheetId="32" hidden="1">"|B|SSC|B|"</definedName>
    <definedName name="TBXBST" localSheetId="15" hidden="1">"|B|SSC|B|"</definedName>
    <definedName name="TBXBST" localSheetId="22" hidden="1">"|B|SSC|B|"</definedName>
    <definedName name="TBXBST" localSheetId="23" hidden="1">"|B|TO|B||T|Proj|T||N|1|N||FTSCN|10|FTSCN||TSP|8|TSP|"</definedName>
    <definedName name="TBXBST" localSheetId="16" hidden="1">"|B|TA|B||T|Proj|T||N|1|N||FTSCN|10|FTSCN||TSP|8|TSP|"</definedName>
    <definedName name="TBXBST" localSheetId="11" hidden="1">"|B|SSC|B|"</definedName>
    <definedName name="TBXBST" localSheetId="18" hidden="1">"|B|SSC|B|"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7" hidden="1">"|B|BO|B|"</definedName>
    <definedName name="TBXBST" localSheetId="6" hidden="1">"|B|SSC|B|"</definedName>
    <definedName name="TBXBST" localSheetId="36" hidden="1">"|B|SSC|B|"</definedName>
    <definedName name="TBXBST" localSheetId="4" hidden="1">"|B|BO|B|"</definedName>
    <definedName name="TBXBST" localSheetId="3" hidden="1">"|B|SSC|B|"</definedName>
    <definedName name="TBXBST" localSheetId="17" hidden="1">"|B|SC|B|"</definedName>
    <definedName name="TBXBST" localSheetId="2" hidden="1">"|B|SC|B|"</definedName>
    <definedName name="TBXBST" localSheetId="5" hidden="1">"|B|MS|B|"</definedName>
    <definedName name="TBXBST" localSheetId="9" hidden="1">"|B|SSC|B|"</definedName>
    <definedName name="TBXBST" localSheetId="10" hidden="1">"|B|BA|B|"</definedName>
    <definedName name="TBXBST" localSheetId="37"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Keys_BO!$B$102</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_xlnm.Print_Area" localSheetId="27">All_Pers_OP_SSC!$B$1:$N$30</definedName>
    <definedName name="_xlnm.Print_Area" localSheetId="33">Appendices_SC!$B$1:$N$30</definedName>
    <definedName name="_xlnm.Print_Area" localSheetId="8">Assumptions_SC!$B$1:$N$30</definedName>
    <definedName name="_xlnm.Print_Area" localSheetId="29">BS_All_TO!$B$1:$Q$77</definedName>
    <definedName name="_xlnm.Print_Area" localSheetId="25">BS_Fcast_TO!$B$1:$Q$78</definedName>
    <definedName name="_xlnm.Print_Area" localSheetId="13">BS_Hist_TA!$B$1:$Q$77</definedName>
    <definedName name="_xlnm.Print_Area" localSheetId="20">BS_Hist_TO!$B$1:$Q$77</definedName>
    <definedName name="_xlnm.Print_Area" localSheetId="31">BS_Sum_P_MS!$B$1:$AN$64</definedName>
    <definedName name="_xlnm.Print_Area" localSheetId="38">Capital_LU!$B$1:$G$13</definedName>
    <definedName name="_xlnm.Print_Area" localSheetId="30">CFS_All_TO!$B$1:$Q$58</definedName>
    <definedName name="_xlnm.Print_Area" localSheetId="26">CFS_Fcast_TO!$B$1:$Q$120</definedName>
    <definedName name="_xlnm.Print_Area" localSheetId="14">CFS_Hist_TA!$B$1:$Q$55</definedName>
    <definedName name="_xlnm.Print_Area" localSheetId="21">CFS_Hist_TO!$B$1:$Q$54</definedName>
    <definedName name="_xlnm.Print_Area" localSheetId="35">Checks_BO!$B$1:$M$66</definedName>
    <definedName name="_xlnm.Print_Area" localSheetId="34">Checks_SSC!$B$1:$N$30</definedName>
    <definedName name="_xlnm.Print_Area" localSheetId="1">Contents!$B$1:$Q$65</definedName>
    <definedName name="_xlnm.Print_Area" localSheetId="0">Cover!$B$1:$N$31</definedName>
    <definedName name="_xlnm.Print_Area" localSheetId="39">Dashboards_LU!$B$1:$G$19</definedName>
    <definedName name="_xlnm.Print_Area" localSheetId="32">Dashboards_SSC!$B$1:$N$30</definedName>
    <definedName name="_xlnm.Print_Area" localSheetId="15">Fcast_Ass_SSC!$B$1:$N$30</definedName>
    <definedName name="_xlnm.Print_Area" localSheetId="22">Fcast_OP_SSC!$B$1:$N$30</definedName>
    <definedName name="_xlnm.Print_Area" localSheetId="23">Fcast_OP_TO!$B$1:$Q$214</definedName>
    <definedName name="_xlnm.Print_Area" localSheetId="16">Fcast_TA!$B$1:$Q$146</definedName>
    <definedName name="_xlnm.Print_Area" localSheetId="11">Hist_Ass_SSC!$B$1:$N$30</definedName>
    <definedName name="_xlnm.Print_Area" localSheetId="18">Hist_OP_SSC!$B$1:$N$30</definedName>
    <definedName name="_xlnm.Print_Area" localSheetId="28">IS_All_TO!$B$1:$Q$43</definedName>
    <definedName name="_xlnm.Print_Area" localSheetId="24">IS_Fcast_TO!$B$1:$Q$47</definedName>
    <definedName name="_xlnm.Print_Area" localSheetId="12">IS_Hist_TA!$B$1:$Q$44</definedName>
    <definedName name="_xlnm.Print_Area" localSheetId="19">IS_Hist_TO!$B$1:$Q$43</definedName>
    <definedName name="_xlnm.Print_Area" localSheetId="7">Keys_BO!$B$1:$N$133</definedName>
    <definedName name="_xlnm.Print_Area" localSheetId="6">Keys_SSC!$B$1:$N$30</definedName>
    <definedName name="_xlnm.Print_Area" localSheetId="36">LU_SSC!$B$1:$N$30</definedName>
    <definedName name="_xlnm.Print_Area" localSheetId="4">Notes_BO!$B$1:$M$42</definedName>
    <definedName name="_xlnm.Print_Area" localSheetId="3">Notes_SSC!$B$1:$N$30</definedName>
    <definedName name="_xlnm.Print_Area" localSheetId="17">Outputs_SC!$B$1:$N$30</definedName>
    <definedName name="_xlnm.Print_Area" localSheetId="2">Overview_SC!$B$1:$N$30</definedName>
    <definedName name="_xlnm.Print_Area" localSheetId="5">Standards_MS!$B$1:$BY$338</definedName>
    <definedName name="_xlnm.Print_Area" localSheetId="9">TS_Ass_SSC!$B$1:$N$30</definedName>
    <definedName name="_xlnm.Print_Area" localSheetId="10">TS_BA!$B$1:$N$66</definedName>
    <definedName name="_xlnm.Print_Area" localSheetId="37">TS_LU!$B$1:$G$105</definedName>
    <definedName name="_xlnm.Print_Titles" localSheetId="29">BS_All_TO!$1:$15</definedName>
    <definedName name="_xlnm.Print_Titles" localSheetId="25">BS_Fcast_TO!$1:$15</definedName>
    <definedName name="_xlnm.Print_Titles" localSheetId="13">BS_Hist_TA!$1:$15</definedName>
    <definedName name="_xlnm.Print_Titles" localSheetId="20">BS_Hist_TO!$1:$15</definedName>
    <definedName name="_xlnm.Print_Titles" localSheetId="30">CFS_All_TO!$1:$15</definedName>
    <definedName name="_xlnm.Print_Titles" localSheetId="26">CFS_Fcast_TO!$1:$15</definedName>
    <definedName name="_xlnm.Print_Titles" localSheetId="14">CFS_Hist_TA!$1:$15</definedName>
    <definedName name="_xlnm.Print_Titles" localSheetId="21">CFS_Hist_TO!$1:$15</definedName>
    <definedName name="_xlnm.Print_Titles" localSheetId="35">Checks_BO!$1:$6</definedName>
    <definedName name="_xlnm.Print_Titles" localSheetId="1">Contents!$1:$7</definedName>
    <definedName name="_xlnm.Print_Titles" localSheetId="23">Fcast_OP_TO!$1:$5</definedName>
    <definedName name="_xlnm.Print_Titles" localSheetId="16">Fcast_TA!$1:$5</definedName>
    <definedName name="_xlnm.Print_Titles" localSheetId="28">IS_All_TO!$1:$15</definedName>
    <definedName name="_xlnm.Print_Titles" localSheetId="24">IS_Fcast_TO!$1:$15</definedName>
    <definedName name="_xlnm.Print_Titles" localSheetId="12">IS_Hist_TA!$1:$15</definedName>
    <definedName name="_xlnm.Print_Titles" localSheetId="19">IS_Hist_TO!$1:$15</definedName>
    <definedName name="_xlnm.Print_Titles" localSheetId="7">Keys_BO!$1:$6</definedName>
    <definedName name="_xlnm.Print_Titles" localSheetId="4">Notes_BO!$1:$6</definedName>
    <definedName name="_xlnm.Print_Titles" localSheetId="5">Standards_MS!$1:$6</definedName>
    <definedName name="_xlnm.Print_Titles" localSheetId="10">TS_BA!$1:$6</definedName>
    <definedName name="_xlnm.Print_Titles" localSheetId="37">TS_LU!$1:$8</definedName>
    <definedName name="Yr_Name">TS_LU!$D$85</definedName>
    <definedName name="Yrs_In_Yr">TS_LU!$D$93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190" l="1"/>
  <c r="J25" i="190" s="1"/>
  <c r="J29" i="190"/>
  <c r="H63" i="176"/>
  <c r="H62" i="176"/>
  <c r="H61" i="176"/>
  <c r="F60" i="176"/>
  <c r="I59" i="176"/>
  <c r="I58" i="176"/>
  <c r="I57" i="176"/>
  <c r="H56" i="176"/>
  <c r="F55" i="176"/>
  <c r="D54" i="176"/>
  <c r="H53" i="176"/>
  <c r="F52" i="176"/>
  <c r="H51" i="176"/>
  <c r="H50" i="176"/>
  <c r="H49" i="176"/>
  <c r="F48" i="176"/>
  <c r="H47" i="176"/>
  <c r="H46" i="176"/>
  <c r="H45" i="176"/>
  <c r="I44" i="176"/>
  <c r="I43" i="176"/>
  <c r="I42" i="176"/>
  <c r="I41" i="176"/>
  <c r="I40" i="176"/>
  <c r="I39" i="176"/>
  <c r="H38" i="176"/>
  <c r="F37" i="176"/>
  <c r="H36" i="176"/>
  <c r="H35" i="176"/>
  <c r="H34" i="176"/>
  <c r="F33" i="176"/>
  <c r="D32" i="176"/>
  <c r="I31" i="176"/>
  <c r="I30" i="176"/>
  <c r="I29" i="176"/>
  <c r="I28" i="176"/>
  <c r="I27" i="176"/>
  <c r="I26" i="176"/>
  <c r="H25" i="176"/>
  <c r="F24" i="176"/>
  <c r="H23" i="176"/>
  <c r="H22" i="176"/>
  <c r="H21" i="176"/>
  <c r="F20" i="176"/>
  <c r="H19" i="176"/>
  <c r="F18" i="176"/>
  <c r="D17" i="176"/>
  <c r="H11" i="176"/>
  <c r="I16" i="176"/>
  <c r="I15" i="176"/>
  <c r="I14" i="176"/>
  <c r="H13" i="176"/>
  <c r="F12" i="176"/>
  <c r="H10" i="176"/>
  <c r="F9" i="176"/>
  <c r="D8" i="176"/>
  <c r="J12" i="131"/>
  <c r="D35" i="199" s="1"/>
  <c r="D64" i="135"/>
  <c r="D63" i="135"/>
  <c r="D62" i="135"/>
  <c r="D61" i="135"/>
  <c r="D27" i="135"/>
  <c r="D26" i="135"/>
  <c r="D25" i="135"/>
  <c r="D24" i="135"/>
  <c r="J31" i="190" l="1"/>
  <c r="J35" i="190" s="1"/>
  <c r="J39" i="190" s="1"/>
  <c r="D52" i="199"/>
  <c r="E106" i="199"/>
  <c r="C70" i="196"/>
  <c r="D69" i="196"/>
  <c r="D68" i="196"/>
  <c r="I60" i="196"/>
  <c r="I59" i="196"/>
  <c r="I50" i="196"/>
  <c r="I49" i="196"/>
  <c r="I48" i="196"/>
  <c r="I43" i="196"/>
  <c r="I42" i="196"/>
  <c r="I41" i="196"/>
  <c r="I40" i="196"/>
  <c r="I39" i="196"/>
  <c r="I32" i="196"/>
  <c r="I31" i="196"/>
  <c r="I30" i="196"/>
  <c r="I29" i="196"/>
  <c r="I24" i="196"/>
  <c r="I23" i="196"/>
  <c r="I22" i="196"/>
  <c r="E21" i="196"/>
  <c r="E20" i="196"/>
  <c r="Q20" i="191"/>
  <c r="Q21" i="191" s="1"/>
  <c r="P20" i="191"/>
  <c r="P21" i="191" s="1"/>
  <c r="O20" i="191"/>
  <c r="O21" i="191" s="1"/>
  <c r="N20" i="191"/>
  <c r="N21" i="191" s="1"/>
  <c r="M20" i="191"/>
  <c r="M21" i="191" s="1"/>
  <c r="L20" i="191"/>
  <c r="L21" i="191" s="1"/>
  <c r="K20" i="191"/>
  <c r="K21" i="191" s="1"/>
  <c r="J20" i="191"/>
  <c r="J21" i="191" s="1"/>
  <c r="Q51" i="191"/>
  <c r="P51" i="191"/>
  <c r="O51" i="191"/>
  <c r="N51" i="191"/>
  <c r="M51" i="191"/>
  <c r="L51" i="191"/>
  <c r="K51" i="191"/>
  <c r="J51" i="191"/>
  <c r="I51" i="191"/>
  <c r="Q44" i="191"/>
  <c r="P44" i="191"/>
  <c r="O44" i="191"/>
  <c r="N44" i="191"/>
  <c r="M44" i="191"/>
  <c r="L44" i="191"/>
  <c r="K44" i="191"/>
  <c r="J44" i="191"/>
  <c r="I44" i="191"/>
  <c r="Q33" i="191"/>
  <c r="P33" i="191"/>
  <c r="O33" i="191"/>
  <c r="N33" i="191"/>
  <c r="M33" i="191"/>
  <c r="L33" i="191"/>
  <c r="K33" i="191"/>
  <c r="J33" i="191"/>
  <c r="I33" i="191"/>
  <c r="Q25" i="191"/>
  <c r="P25" i="191"/>
  <c r="O25" i="191"/>
  <c r="N25" i="191"/>
  <c r="M25" i="191"/>
  <c r="L25" i="191"/>
  <c r="K25" i="191"/>
  <c r="J25" i="191"/>
  <c r="I25" i="191"/>
  <c r="I71" i="191"/>
  <c r="D48" i="197"/>
  <c r="Q49" i="192"/>
  <c r="P49" i="192"/>
  <c r="O49" i="192"/>
  <c r="N49" i="192"/>
  <c r="M49" i="192"/>
  <c r="L49" i="192"/>
  <c r="K49" i="192"/>
  <c r="J49" i="192"/>
  <c r="D60" i="202"/>
  <c r="B39" i="180" s="1"/>
  <c r="D100" i="163"/>
  <c r="D85" i="163"/>
  <c r="D139" i="193"/>
  <c r="C210" i="199" s="1"/>
  <c r="E63" i="196"/>
  <c r="D60" i="196"/>
  <c r="D58" i="203"/>
  <c r="D49" i="203"/>
  <c r="D47" i="203"/>
  <c r="D39" i="203"/>
  <c r="D31" i="203"/>
  <c r="D28" i="203"/>
  <c r="D27" i="203"/>
  <c r="D77" i="202"/>
  <c r="C77" i="202"/>
  <c r="C76" i="202"/>
  <c r="D66" i="202"/>
  <c r="B40" i="180" s="1"/>
  <c r="D59" i="202"/>
  <c r="B38" i="180" s="1"/>
  <c r="C57" i="202"/>
  <c r="C55" i="202"/>
  <c r="C53" i="202"/>
  <c r="D50" i="202"/>
  <c r="D49" i="202"/>
  <c r="D48" i="202"/>
  <c r="C46" i="202"/>
  <c r="D43" i="202"/>
  <c r="D42" i="202"/>
  <c r="D41" i="202"/>
  <c r="D40" i="202"/>
  <c r="D39" i="202"/>
  <c r="C37" i="202"/>
  <c r="C35" i="202"/>
  <c r="D32" i="202"/>
  <c r="D31" i="202"/>
  <c r="D30" i="202"/>
  <c r="D29" i="202"/>
  <c r="C27" i="202"/>
  <c r="D24" i="202"/>
  <c r="D23" i="202"/>
  <c r="D22" i="202"/>
  <c r="C18" i="202"/>
  <c r="I17" i="202"/>
  <c r="B16" i="202"/>
  <c r="C43" i="201"/>
  <c r="D42" i="201"/>
  <c r="C42" i="201"/>
  <c r="C41" i="201"/>
  <c r="C39" i="201"/>
  <c r="B21" i="180" s="1"/>
  <c r="D37" i="201"/>
  <c r="B20" i="180" s="1"/>
  <c r="C35" i="201"/>
  <c r="B19" i="180" s="1"/>
  <c r="D33" i="201"/>
  <c r="B18" i="180" s="1"/>
  <c r="C31" i="201"/>
  <c r="B17" i="180" s="1"/>
  <c r="D29" i="201"/>
  <c r="B16" i="180" s="1"/>
  <c r="Q28" i="201"/>
  <c r="P28" i="201"/>
  <c r="O28" i="201"/>
  <c r="N28" i="201"/>
  <c r="M28" i="201"/>
  <c r="L28" i="201"/>
  <c r="K28" i="201"/>
  <c r="J28" i="201"/>
  <c r="E28" i="201"/>
  <c r="Q27" i="201"/>
  <c r="P27" i="201"/>
  <c r="O27" i="201"/>
  <c r="N27" i="201"/>
  <c r="M27" i="201"/>
  <c r="L27" i="201"/>
  <c r="K27" i="201"/>
  <c r="J27" i="201"/>
  <c r="E27" i="201"/>
  <c r="C25" i="201"/>
  <c r="B15" i="180" s="1"/>
  <c r="D23" i="201"/>
  <c r="B14" i="180" s="1"/>
  <c r="C21" i="201"/>
  <c r="B13" i="180" s="1"/>
  <c r="D19" i="201"/>
  <c r="B12" i="180" s="1"/>
  <c r="D18" i="201"/>
  <c r="B11" i="180" s="1"/>
  <c r="B16" i="201"/>
  <c r="Q12" i="203"/>
  <c r="P12" i="203"/>
  <c r="O12" i="203"/>
  <c r="N12" i="203"/>
  <c r="M12" i="203"/>
  <c r="L12" i="203"/>
  <c r="K12" i="203"/>
  <c r="J12" i="203"/>
  <c r="Q12" i="202"/>
  <c r="P12" i="202"/>
  <c r="O12" i="202"/>
  <c r="N12" i="202"/>
  <c r="M12" i="202"/>
  <c r="L12" i="202"/>
  <c r="K12" i="202"/>
  <c r="J12" i="202"/>
  <c r="J8" i="202" s="1"/>
  <c r="Q12" i="201"/>
  <c r="P12" i="201"/>
  <c r="O12" i="201"/>
  <c r="N12" i="201"/>
  <c r="M12" i="201"/>
  <c r="L12" i="201"/>
  <c r="K12" i="201"/>
  <c r="J12" i="201"/>
  <c r="J8" i="201" s="1"/>
  <c r="D75" i="162"/>
  <c r="D44" i="161"/>
  <c r="D138" i="193"/>
  <c r="D137" i="193"/>
  <c r="D136" i="193"/>
  <c r="D135" i="193"/>
  <c r="E73" i="193"/>
  <c r="E90" i="193"/>
  <c r="E142" i="193"/>
  <c r="C108" i="193"/>
  <c r="D110" i="193"/>
  <c r="C79" i="193"/>
  <c r="C60" i="193"/>
  <c r="C52" i="193"/>
  <c r="C47" i="193"/>
  <c r="C36" i="193"/>
  <c r="C31" i="193"/>
  <c r="C22" i="193"/>
  <c r="C21" i="193"/>
  <c r="C20" i="193"/>
  <c r="C19" i="193"/>
  <c r="C18" i="193"/>
  <c r="I17" i="196"/>
  <c r="I17" i="191"/>
  <c r="I35" i="191" l="1"/>
  <c r="M35" i="191"/>
  <c r="Q35" i="191"/>
  <c r="K53" i="191"/>
  <c r="K35" i="191"/>
  <c r="O35" i="191"/>
  <c r="I53" i="191"/>
  <c r="M53" i="191"/>
  <c r="O53" i="191"/>
  <c r="Q53" i="191"/>
  <c r="P53" i="191"/>
  <c r="I33" i="196"/>
  <c r="I44" i="196"/>
  <c r="I25" i="196"/>
  <c r="I51" i="196"/>
  <c r="J35" i="191"/>
  <c r="L35" i="191"/>
  <c r="N35" i="191"/>
  <c r="P35" i="191"/>
  <c r="J53" i="191"/>
  <c r="L53" i="191"/>
  <c r="N53" i="191"/>
  <c r="J8" i="203"/>
  <c r="P55" i="191" l="1"/>
  <c r="P62" i="191" s="1"/>
  <c r="P63" i="191" s="1"/>
  <c r="P65" i="191" s="1"/>
  <c r="P67" i="191" s="1"/>
  <c r="O55" i="191"/>
  <c r="Q55" i="191"/>
  <c r="M55" i="191"/>
  <c r="M62" i="191" s="1"/>
  <c r="M63" i="191" s="1"/>
  <c r="M65" i="191" s="1"/>
  <c r="I35" i="196"/>
  <c r="I55" i="191"/>
  <c r="I62" i="191" s="1"/>
  <c r="I63" i="191" s="1"/>
  <c r="K55" i="191"/>
  <c r="K62" i="191" s="1"/>
  <c r="K63" i="191" s="1"/>
  <c r="K65" i="191" s="1"/>
  <c r="I53" i="196"/>
  <c r="Q62" i="191"/>
  <c r="Q63" i="191" s="1"/>
  <c r="Q65" i="191" s="1"/>
  <c r="Q67" i="191" s="1"/>
  <c r="Q68" i="191" s="1"/>
  <c r="Q69" i="191" s="1"/>
  <c r="O62" i="191"/>
  <c r="O63" i="191" s="1"/>
  <c r="O65" i="191" s="1"/>
  <c r="O67" i="191" s="1"/>
  <c r="O68" i="191" s="1"/>
  <c r="O69" i="191" s="1"/>
  <c r="L55" i="191"/>
  <c r="L62" i="191" s="1"/>
  <c r="L63" i="191" s="1"/>
  <c r="L65" i="191" s="1"/>
  <c r="L67" i="191" s="1"/>
  <c r="N55" i="191"/>
  <c r="J55" i="191"/>
  <c r="J62" i="191" s="1"/>
  <c r="J63" i="191" s="1"/>
  <c r="J65" i="191" s="1"/>
  <c r="P68" i="191"/>
  <c r="P69" i="191" s="1"/>
  <c r="M67" i="191"/>
  <c r="K67" i="191"/>
  <c r="I65" i="191" l="1"/>
  <c r="I67" i="191" s="1"/>
  <c r="I64" i="196"/>
  <c r="I66" i="196" s="1"/>
  <c r="I72" i="191"/>
  <c r="I73" i="191" s="1"/>
  <c r="I55" i="196"/>
  <c r="N62" i="191"/>
  <c r="N63" i="191" s="1"/>
  <c r="N65" i="191" s="1"/>
  <c r="N67" i="191" s="1"/>
  <c r="J67" i="191"/>
  <c r="J68" i="191" s="1"/>
  <c r="J69" i="191" s="1"/>
  <c r="I68" i="191"/>
  <c r="I69" i="191" s="1"/>
  <c r="K68" i="191"/>
  <c r="K69" i="191" s="1"/>
  <c r="M68" i="191"/>
  <c r="M69" i="191" s="1"/>
  <c r="L68" i="191"/>
  <c r="L69" i="191" s="1"/>
  <c r="I68" i="196" l="1"/>
  <c r="I69" i="196" s="1"/>
  <c r="N68" i="191"/>
  <c r="N69" i="191" s="1"/>
  <c r="I22" i="202"/>
  <c r="C18" i="199"/>
  <c r="E20" i="203" s="1"/>
  <c r="C19" i="199"/>
  <c r="C20" i="199"/>
  <c r="E24" i="203" s="1"/>
  <c r="C21" i="199"/>
  <c r="C22" i="199"/>
  <c r="C27" i="199"/>
  <c r="D20" i="135" s="1"/>
  <c r="C44" i="199"/>
  <c r="D21" i="135" s="1"/>
  <c r="C64" i="199"/>
  <c r="D22" i="135" s="1"/>
  <c r="C76" i="199"/>
  <c r="D23" i="135" s="1"/>
  <c r="E95" i="199"/>
  <c r="E96" i="199"/>
  <c r="D43" i="203" s="1"/>
  <c r="E97" i="199"/>
  <c r="D44" i="203" s="1"/>
  <c r="E98" i="199"/>
  <c r="D100" i="199"/>
  <c r="E102" i="199"/>
  <c r="E103" i="199"/>
  <c r="E104" i="199"/>
  <c r="E108" i="199"/>
  <c r="E112" i="199"/>
  <c r="E113" i="199"/>
  <c r="E121" i="199"/>
  <c r="E122" i="199"/>
  <c r="D45" i="203" s="1"/>
  <c r="E123" i="199"/>
  <c r="D46" i="203" s="1"/>
  <c r="E124" i="199"/>
  <c r="D126" i="199"/>
  <c r="E142" i="199"/>
  <c r="I142" i="199"/>
  <c r="E144" i="199"/>
  <c r="C160" i="199"/>
  <c r="D164" i="199"/>
  <c r="D165" i="199"/>
  <c r="D166" i="199"/>
  <c r="D167" i="199"/>
  <c r="D172" i="199"/>
  <c r="D179" i="199"/>
  <c r="C186" i="199"/>
  <c r="C192" i="199"/>
  <c r="C198" i="199"/>
  <c r="C204" i="199"/>
  <c r="D25" i="193"/>
  <c r="D62" i="193"/>
  <c r="D93" i="199" s="1"/>
  <c r="D81" i="193"/>
  <c r="D119" i="199" s="1"/>
  <c r="E95" i="193"/>
  <c r="E152" i="199" s="1"/>
  <c r="E96" i="193"/>
  <c r="E153" i="199" s="1"/>
  <c r="D162" i="199" l="1"/>
  <c r="D30" i="199"/>
  <c r="D67" i="199"/>
  <c r="D35" i="203"/>
  <c r="D163" i="199"/>
  <c r="E23" i="203"/>
  <c r="D79" i="199"/>
  <c r="D36" i="203"/>
  <c r="J20" i="202"/>
  <c r="I74" i="202"/>
  <c r="D47" i="197" l="1"/>
  <c r="D46" i="197"/>
  <c r="D45" i="197"/>
  <c r="D44" i="197"/>
  <c r="D43" i="197"/>
  <c r="C41" i="197"/>
  <c r="D38" i="197"/>
  <c r="D37" i="197"/>
  <c r="D36" i="197"/>
  <c r="D35" i="197"/>
  <c r="C33" i="197"/>
  <c r="D30" i="197"/>
  <c r="D29" i="197"/>
  <c r="D28" i="197"/>
  <c r="D27" i="197"/>
  <c r="D26" i="197"/>
  <c r="E25" i="197"/>
  <c r="E24" i="197"/>
  <c r="E23" i="197"/>
  <c r="D22" i="197"/>
  <c r="E21" i="197"/>
  <c r="E20" i="197"/>
  <c r="C18" i="197"/>
  <c r="B16" i="197"/>
  <c r="D54" i="197"/>
  <c r="C54" i="197"/>
  <c r="C53" i="197"/>
  <c r="C51" i="197"/>
  <c r="D77" i="196"/>
  <c r="D42" i="195"/>
  <c r="C77" i="196"/>
  <c r="C76" i="196"/>
  <c r="C74" i="196"/>
  <c r="D73" i="196"/>
  <c r="D72" i="196"/>
  <c r="D64" i="196"/>
  <c r="D59" i="196"/>
  <c r="C57" i="196"/>
  <c r="C55" i="196"/>
  <c r="C53" i="196"/>
  <c r="D50" i="196"/>
  <c r="D49" i="196"/>
  <c r="D48" i="196"/>
  <c r="C46" i="196"/>
  <c r="D43" i="196"/>
  <c r="D42" i="196"/>
  <c r="D41" i="196"/>
  <c r="D40" i="196"/>
  <c r="D39" i="196"/>
  <c r="C37" i="196"/>
  <c r="C35" i="196"/>
  <c r="D32" i="196"/>
  <c r="D31" i="196"/>
  <c r="D30" i="196"/>
  <c r="D29" i="196"/>
  <c r="C27" i="196"/>
  <c r="D24" i="196"/>
  <c r="D23" i="196"/>
  <c r="D22" i="196"/>
  <c r="C18" i="196"/>
  <c r="B16" i="196"/>
  <c r="I72" i="196"/>
  <c r="Q28" i="195"/>
  <c r="P28" i="195"/>
  <c r="O28" i="195"/>
  <c r="N28" i="195"/>
  <c r="M28" i="195"/>
  <c r="L28" i="195"/>
  <c r="K28" i="195"/>
  <c r="J28" i="195"/>
  <c r="Q27" i="195"/>
  <c r="P27" i="195"/>
  <c r="O27" i="195"/>
  <c r="N27" i="195"/>
  <c r="M27" i="195"/>
  <c r="L27" i="195"/>
  <c r="K27" i="195"/>
  <c r="J27" i="195"/>
  <c r="C43" i="195"/>
  <c r="C42" i="195"/>
  <c r="C41" i="195"/>
  <c r="C39" i="195"/>
  <c r="D37" i="195"/>
  <c r="C35" i="195"/>
  <c r="D33" i="195"/>
  <c r="C31" i="195"/>
  <c r="D29" i="195"/>
  <c r="E28" i="195"/>
  <c r="E27" i="195"/>
  <c r="C25" i="195"/>
  <c r="D23" i="195"/>
  <c r="C21" i="195"/>
  <c r="D19" i="195"/>
  <c r="D18" i="195"/>
  <c r="B16" i="195"/>
  <c r="D54" i="192"/>
  <c r="D76" i="191"/>
  <c r="D42" i="190"/>
  <c r="Q39" i="192" l="1"/>
  <c r="P39" i="192"/>
  <c r="O39" i="192"/>
  <c r="N39" i="192"/>
  <c r="M39" i="192"/>
  <c r="L39" i="192"/>
  <c r="K39" i="192"/>
  <c r="J39" i="192"/>
  <c r="Q26" i="192"/>
  <c r="P26" i="192"/>
  <c r="O26" i="192"/>
  <c r="N26" i="192"/>
  <c r="M26" i="192"/>
  <c r="L26" i="192"/>
  <c r="K26" i="192"/>
  <c r="J26" i="192"/>
  <c r="Q22" i="192"/>
  <c r="Q31" i="192" s="1"/>
  <c r="Q51" i="192" s="1"/>
  <c r="P22" i="192"/>
  <c r="P31" i="192" s="1"/>
  <c r="P51" i="192" s="1"/>
  <c r="O22" i="192"/>
  <c r="O31" i="192" s="1"/>
  <c r="O51" i="192" s="1"/>
  <c r="N22" i="192"/>
  <c r="N31" i="192" s="1"/>
  <c r="N51" i="192" s="1"/>
  <c r="M22" i="192"/>
  <c r="M31" i="192" s="1"/>
  <c r="M51" i="192" s="1"/>
  <c r="L22" i="192"/>
  <c r="L31" i="192" s="1"/>
  <c r="L51" i="192" s="1"/>
  <c r="K22" i="192"/>
  <c r="K31" i="192" s="1"/>
  <c r="K51" i="192" s="1"/>
  <c r="J22" i="192"/>
  <c r="J31" i="192" s="1"/>
  <c r="J51" i="192" s="1"/>
  <c r="D49" i="192"/>
  <c r="D49" i="197" s="1"/>
  <c r="D39" i="192"/>
  <c r="D39" i="197" s="1"/>
  <c r="D31" i="192"/>
  <c r="D31" i="197" s="1"/>
  <c r="C65" i="191" l="1"/>
  <c r="D51" i="191"/>
  <c r="D44" i="191"/>
  <c r="D33" i="191"/>
  <c r="D25" i="191"/>
  <c r="Q29" i="190"/>
  <c r="P29" i="190"/>
  <c r="O29" i="190"/>
  <c r="N29" i="190"/>
  <c r="M29" i="190"/>
  <c r="L29" i="190"/>
  <c r="K29" i="190"/>
  <c r="Q21" i="190"/>
  <c r="Q25" i="190" s="1"/>
  <c r="Q31" i="190" s="1"/>
  <c r="Q35" i="190" s="1"/>
  <c r="Q39" i="190" s="1"/>
  <c r="P21" i="190"/>
  <c r="P25" i="190" s="1"/>
  <c r="O21" i="190"/>
  <c r="O25" i="190" s="1"/>
  <c r="N21" i="190"/>
  <c r="N25" i="190" s="1"/>
  <c r="M21" i="190"/>
  <c r="M25" i="190" s="1"/>
  <c r="M31" i="190" s="1"/>
  <c r="M35" i="190" s="1"/>
  <c r="M39" i="190" s="1"/>
  <c r="L21" i="190"/>
  <c r="L25" i="190" s="1"/>
  <c r="K21" i="190"/>
  <c r="K25" i="190" s="1"/>
  <c r="N31" i="190" l="1"/>
  <c r="N35" i="190" s="1"/>
  <c r="N39" i="190" s="1"/>
  <c r="K31" i="190"/>
  <c r="K35" i="190" s="1"/>
  <c r="K39" i="190" s="1"/>
  <c r="O31" i="190"/>
  <c r="O35" i="190" s="1"/>
  <c r="O39" i="190" s="1"/>
  <c r="L31" i="190"/>
  <c r="L35" i="190" s="1"/>
  <c r="L39" i="190" s="1"/>
  <c r="P31" i="190"/>
  <c r="P35" i="190" s="1"/>
  <c r="P39" i="190" s="1"/>
  <c r="D25" i="196"/>
  <c r="D25" i="202"/>
  <c r="C66" i="196"/>
  <c r="C68" i="202"/>
  <c r="D33" i="196"/>
  <c r="D33" i="202"/>
  <c r="D51" i="196"/>
  <c r="D51" i="202"/>
  <c r="D44" i="196"/>
  <c r="D44" i="202"/>
  <c r="I73" i="196"/>
  <c r="I74" i="196" s="1"/>
  <c r="AQ51" i="180"/>
  <c r="D75" i="163"/>
  <c r="D74" i="163"/>
  <c r="D67" i="163"/>
  <c r="D66" i="163"/>
  <c r="D50" i="162"/>
  <c r="D43" i="162"/>
  <c r="D32" i="162"/>
  <c r="D24" i="162"/>
  <c r="C66" i="162"/>
  <c r="D51" i="162"/>
  <c r="D44" i="162"/>
  <c r="D33" i="162"/>
  <c r="D25" i="162"/>
  <c r="D47" i="163"/>
  <c r="D84" i="163" s="1"/>
  <c r="D28" i="163"/>
  <c r="D27" i="163"/>
  <c r="D37" i="161"/>
  <c r="D33" i="161"/>
  <c r="D46" i="163"/>
  <c r="D83" i="163" s="1"/>
  <c r="D45" i="163"/>
  <c r="D82" i="163" s="1"/>
  <c r="D43" i="163"/>
  <c r="D80" i="163" s="1"/>
  <c r="D44" i="163"/>
  <c r="D81" i="163" s="1"/>
  <c r="E28" i="161"/>
  <c r="E27" i="161"/>
  <c r="D98" i="163" l="1"/>
  <c r="D102" i="163"/>
  <c r="D99" i="163"/>
  <c r="D103" i="163"/>
  <c r="D36" i="163"/>
  <c r="D73" i="163" s="1"/>
  <c r="I66" i="202" l="1"/>
  <c r="I70" i="196"/>
  <c r="H69" i="191"/>
  <c r="D117" i="163"/>
  <c r="C120" i="163"/>
  <c r="C119" i="163"/>
  <c r="C78" i="162"/>
  <c r="C77" i="162"/>
  <c r="C47" i="161"/>
  <c r="H27" i="177"/>
  <c r="B7" i="174"/>
  <c r="D106" i="163"/>
  <c r="D105" i="163"/>
  <c r="D97" i="163"/>
  <c r="D95" i="163"/>
  <c r="C88" i="163"/>
  <c r="C78" i="163"/>
  <c r="C70" i="163"/>
  <c r="D65" i="163"/>
  <c r="D64" i="163"/>
  <c r="D63" i="163"/>
  <c r="D62" i="163"/>
  <c r="C56" i="163"/>
  <c r="D49" i="163"/>
  <c r="D86" i="163" s="1"/>
  <c r="D39" i="163"/>
  <c r="D76" i="163" s="1"/>
  <c r="D31" i="163"/>
  <c r="D93" i="163" s="1"/>
  <c r="D54" i="135"/>
  <c r="D38" i="135"/>
  <c r="D13" i="135"/>
  <c r="J27" i="131"/>
  <c r="J18" i="131"/>
  <c r="D13" i="130"/>
  <c r="D14" i="130" s="1"/>
  <c r="D15" i="130" s="1"/>
  <c r="D16" i="130" s="1"/>
  <c r="D17" i="130" s="1"/>
  <c r="D18" i="130" s="1"/>
  <c r="D19" i="130" s="1"/>
  <c r="D20" i="130" s="1"/>
  <c r="D21" i="130" s="1"/>
  <c r="D22" i="130" s="1"/>
  <c r="D23" i="130" s="1"/>
  <c r="D24" i="130" s="1"/>
  <c r="D25" i="130" s="1"/>
  <c r="D26" i="130" s="1"/>
  <c r="D27" i="130" s="1"/>
  <c r="D28" i="130" s="1"/>
  <c r="D29" i="130" s="1"/>
  <c r="D30" i="130" s="1"/>
  <c r="D31" i="130" s="1"/>
  <c r="D32" i="130" s="1"/>
  <c r="D33" i="130" s="1"/>
  <c r="D34" i="130" s="1"/>
  <c r="D35" i="130" s="1"/>
  <c r="D36" i="130" s="1"/>
  <c r="D37" i="130" s="1"/>
  <c r="D38" i="130" s="1"/>
  <c r="D39" i="130" s="1"/>
  <c r="D40" i="130" s="1"/>
  <c r="D41" i="130" s="1"/>
  <c r="D42" i="130" s="1"/>
  <c r="J61" i="202" l="1"/>
  <c r="AU18" i="180"/>
  <c r="AU11" i="180"/>
  <c r="E24" i="163"/>
  <c r="AU25" i="180"/>
  <c r="E23" i="163"/>
  <c r="D35" i="163"/>
  <c r="D72" i="163" s="1"/>
  <c r="E20" i="163"/>
  <c r="D23" i="161"/>
  <c r="D19" i="161"/>
  <c r="D18" i="161"/>
  <c r="J21" i="131"/>
  <c r="D68" i="163"/>
  <c r="D94" i="163"/>
  <c r="J16" i="131"/>
  <c r="J20" i="131"/>
  <c r="J17" i="131"/>
  <c r="J22" i="131" l="1"/>
  <c r="B6" i="203"/>
  <c r="B6" i="201"/>
  <c r="B6" i="202"/>
  <c r="AQ27" i="180"/>
  <c r="AQ47" i="180" s="1"/>
  <c r="AQ28" i="180"/>
  <c r="AQ50" i="180" s="1"/>
  <c r="AQ20" i="180"/>
  <c r="AQ46" i="180" s="1"/>
  <c r="AQ21" i="180"/>
  <c r="AQ49" i="180" s="1"/>
  <c r="AQ13" i="180"/>
  <c r="AQ45" i="180" s="1"/>
  <c r="AQ14" i="180"/>
  <c r="AQ48" i="180" s="1"/>
  <c r="J19" i="131"/>
  <c r="J23" i="131" s="1"/>
  <c r="P10" i="203" s="1"/>
  <c r="K11" i="201" l="1"/>
  <c r="O11" i="201"/>
  <c r="N11" i="202"/>
  <c r="N11" i="203"/>
  <c r="N11" i="201"/>
  <c r="J11" i="202"/>
  <c r="M11" i="202"/>
  <c r="Q11" i="202"/>
  <c r="K11" i="203"/>
  <c r="O11" i="203"/>
  <c r="J11" i="201"/>
  <c r="M11" i="201"/>
  <c r="Q11" i="201"/>
  <c r="L11" i="202"/>
  <c r="P11" i="202"/>
  <c r="L11" i="203"/>
  <c r="P11" i="203"/>
  <c r="L11" i="201"/>
  <c r="P11" i="201"/>
  <c r="K11" i="202"/>
  <c r="O11" i="202"/>
  <c r="J11" i="203"/>
  <c r="M11" i="203"/>
  <c r="Q11" i="203"/>
  <c r="P13" i="203"/>
  <c r="P7" i="203"/>
  <c r="N10" i="201"/>
  <c r="J10" i="202"/>
  <c r="M10" i="202"/>
  <c r="Q10" i="202"/>
  <c r="K10" i="203"/>
  <c r="O10" i="203"/>
  <c r="J10" i="201"/>
  <c r="M10" i="201"/>
  <c r="Q10" i="201"/>
  <c r="N10" i="202"/>
  <c r="L10" i="203"/>
  <c r="L9" i="203"/>
  <c r="L9" i="202"/>
  <c r="N9" i="201"/>
  <c r="N9" i="203"/>
  <c r="Q9" i="201"/>
  <c r="Q6" i="201" s="1"/>
  <c r="M9" i="201"/>
  <c r="K9" i="203"/>
  <c r="M9" i="202"/>
  <c r="Q9" i="203"/>
  <c r="Q6" i="203" s="1"/>
  <c r="O9" i="202"/>
  <c r="P9" i="203"/>
  <c r="P9" i="202"/>
  <c r="P9" i="201"/>
  <c r="L9" i="201"/>
  <c r="N9" i="202"/>
  <c r="O9" i="201"/>
  <c r="K9" i="201"/>
  <c r="O9" i="203"/>
  <c r="M9" i="203"/>
  <c r="K9" i="202"/>
  <c r="Q9" i="202"/>
  <c r="Q6" i="202" s="1"/>
  <c r="L10" i="201"/>
  <c r="P10" i="201"/>
  <c r="K10" i="202"/>
  <c r="O10" i="202"/>
  <c r="J10" i="203"/>
  <c r="M10" i="203"/>
  <c r="Q10" i="203"/>
  <c r="K10" i="201"/>
  <c r="O10" i="201"/>
  <c r="L10" i="202"/>
  <c r="P10" i="202"/>
  <c r="N10" i="203"/>
  <c r="J53" i="131"/>
  <c r="J25" i="131"/>
  <c r="J24" i="131"/>
  <c r="M45" i="135"/>
  <c r="I39" i="135" s="1"/>
  <c r="L8" i="202" l="1"/>
  <c r="K6" i="202"/>
  <c r="P8" i="203"/>
  <c r="O6" i="203"/>
  <c r="P8" i="201"/>
  <c r="O6" i="201"/>
  <c r="M8" i="201"/>
  <c r="L6" i="201"/>
  <c r="Q8" i="202"/>
  <c r="P6" i="202"/>
  <c r="P8" i="202"/>
  <c r="O6" i="202"/>
  <c r="N8" i="202"/>
  <c r="M6" i="202"/>
  <c r="N8" i="201"/>
  <c r="M6" i="201"/>
  <c r="O8" i="203"/>
  <c r="N6" i="203"/>
  <c r="M8" i="202"/>
  <c r="L6" i="202"/>
  <c r="N8" i="203"/>
  <c r="M6" i="203"/>
  <c r="L8" i="201"/>
  <c r="K6" i="201"/>
  <c r="O8" i="202"/>
  <c r="N6" i="202"/>
  <c r="Q8" i="201"/>
  <c r="P6" i="201"/>
  <c r="Q8" i="203"/>
  <c r="P6" i="203"/>
  <c r="L8" i="203"/>
  <c r="K6" i="203"/>
  <c r="O8" i="201"/>
  <c r="N6" i="201"/>
  <c r="M8" i="203"/>
  <c r="L6" i="203"/>
  <c r="P13" i="202"/>
  <c r="P7" i="202"/>
  <c r="O13" i="201"/>
  <c r="O7" i="201"/>
  <c r="Q13" i="203"/>
  <c r="Q7" i="203"/>
  <c r="J13" i="203"/>
  <c r="J7" i="203"/>
  <c r="K13" i="202"/>
  <c r="K7" i="202"/>
  <c r="L13" i="201"/>
  <c r="L7" i="201"/>
  <c r="L13" i="203"/>
  <c r="L7" i="203"/>
  <c r="Q13" i="201"/>
  <c r="Q7" i="201"/>
  <c r="J13" i="201"/>
  <c r="J7" i="201"/>
  <c r="K13" i="203"/>
  <c r="K7" i="203"/>
  <c r="M13" i="202"/>
  <c r="M7" i="202"/>
  <c r="N13" i="201"/>
  <c r="N7" i="201"/>
  <c r="J9" i="201"/>
  <c r="J9" i="203"/>
  <c r="J9" i="202"/>
  <c r="B7" i="202"/>
  <c r="B7" i="203"/>
  <c r="B7" i="201"/>
  <c r="N13" i="203"/>
  <c r="N7" i="203"/>
  <c r="L13" i="202"/>
  <c r="L7" i="202"/>
  <c r="K13" i="201"/>
  <c r="K7" i="201"/>
  <c r="M13" i="203"/>
  <c r="M7" i="203"/>
  <c r="O13" i="202"/>
  <c r="O7" i="202"/>
  <c r="P13" i="201"/>
  <c r="P7" i="201"/>
  <c r="N13" i="202"/>
  <c r="N7" i="202"/>
  <c r="M13" i="201"/>
  <c r="M7" i="201"/>
  <c r="O13" i="203"/>
  <c r="O7" i="203"/>
  <c r="Q13" i="202"/>
  <c r="Q7" i="202"/>
  <c r="J13" i="202"/>
  <c r="J7" i="202"/>
  <c r="J55" i="131"/>
  <c r="J54" i="131" s="1"/>
  <c r="J56" i="131" s="1"/>
  <c r="J58" i="131" s="1"/>
  <c r="I134" i="193"/>
  <c r="I89" i="193"/>
  <c r="I63" i="193"/>
  <c r="I48" i="193"/>
  <c r="I109" i="193"/>
  <c r="I82" i="193"/>
  <c r="I72" i="193"/>
  <c r="I53" i="193"/>
  <c r="I37" i="193"/>
  <c r="I32" i="193"/>
  <c r="J46" i="131"/>
  <c r="J47" i="131" s="1"/>
  <c r="J12" i="190" s="1"/>
  <c r="I38" i="135"/>
  <c r="J11" i="190" l="1"/>
  <c r="J10" i="190"/>
  <c r="J7" i="190" s="1"/>
  <c r="J8" i="190"/>
  <c r="J9" i="190" s="1"/>
  <c r="K12" i="190" s="1"/>
  <c r="K8" i="203"/>
  <c r="J6" i="203"/>
  <c r="K8" i="202"/>
  <c r="J6" i="202"/>
  <c r="K8" i="201"/>
  <c r="J6" i="201"/>
  <c r="D12" i="182" s="1"/>
  <c r="AU32" i="180" s="1"/>
  <c r="D15" i="182"/>
  <c r="BA7" i="180"/>
  <c r="D18" i="182"/>
  <c r="BD7" i="180"/>
  <c r="D13" i="182"/>
  <c r="AY7" i="180"/>
  <c r="D16" i="182"/>
  <c r="BB7" i="180"/>
  <c r="AX7" i="180"/>
  <c r="D19" i="182"/>
  <c r="BE7" i="180"/>
  <c r="D14" i="182"/>
  <c r="AZ7" i="180"/>
  <c r="D17" i="182"/>
  <c r="BC7" i="180"/>
  <c r="Q46" i="180"/>
  <c r="Q26" i="180"/>
  <c r="Q9" i="180"/>
  <c r="O46" i="180"/>
  <c r="O26" i="180"/>
  <c r="O9" i="180"/>
  <c r="B46" i="180"/>
  <c r="B9" i="180"/>
  <c r="B26" i="180"/>
  <c r="R26" i="180"/>
  <c r="R9" i="180"/>
  <c r="R46" i="180"/>
  <c r="N26" i="180"/>
  <c r="N9" i="180"/>
  <c r="N46" i="180"/>
  <c r="P46" i="180"/>
  <c r="P26" i="180"/>
  <c r="P9" i="180"/>
  <c r="S46" i="180"/>
  <c r="S26" i="180"/>
  <c r="S9" i="180"/>
  <c r="J48" i="131"/>
  <c r="J12" i="197"/>
  <c r="J48" i="197" s="1"/>
  <c r="J12" i="195"/>
  <c r="J12" i="196"/>
  <c r="J49" i="131"/>
  <c r="J6" i="190" s="1"/>
  <c r="J57" i="131"/>
  <c r="J12" i="192"/>
  <c r="J10" i="192" s="1"/>
  <c r="J12" i="191"/>
  <c r="J13" i="190" l="1"/>
  <c r="J8" i="192"/>
  <c r="J9" i="192" s="1"/>
  <c r="K12" i="192" s="1"/>
  <c r="K8" i="192" s="1"/>
  <c r="K9" i="192" s="1"/>
  <c r="L12" i="192" s="1"/>
  <c r="J11" i="192"/>
  <c r="B7" i="192"/>
  <c r="B6" i="163"/>
  <c r="B6" i="162"/>
  <c r="B6" i="161"/>
  <c r="B7" i="163"/>
  <c r="B7" i="162"/>
  <c r="B7" i="161"/>
  <c r="P12" i="163"/>
  <c r="N12" i="163"/>
  <c r="L12" i="163"/>
  <c r="L7" i="163" s="1"/>
  <c r="J12" i="163"/>
  <c r="J7" i="163" s="1"/>
  <c r="P12" i="162"/>
  <c r="N12" i="162"/>
  <c r="L12" i="162"/>
  <c r="J12" i="162"/>
  <c r="J20" i="162" s="1"/>
  <c r="J149" i="199" s="1"/>
  <c r="P12" i="161"/>
  <c r="N12" i="161"/>
  <c r="L12" i="161"/>
  <c r="L7" i="161" s="1"/>
  <c r="J12" i="161"/>
  <c r="J7" i="161" s="1"/>
  <c r="Q12" i="163"/>
  <c r="O12" i="163"/>
  <c r="M12" i="163"/>
  <c r="K12" i="163"/>
  <c r="K7" i="163" s="1"/>
  <c r="Q12" i="162"/>
  <c r="O12" i="162"/>
  <c r="M12" i="162"/>
  <c r="K12" i="162"/>
  <c r="Q12" i="161"/>
  <c r="O12" i="161"/>
  <c r="M12" i="161"/>
  <c r="K12" i="161"/>
  <c r="K7" i="161" s="1"/>
  <c r="I60" i="202"/>
  <c r="I50" i="202"/>
  <c r="I48" i="202"/>
  <c r="I42" i="202"/>
  <c r="I40" i="202"/>
  <c r="I32" i="202"/>
  <c r="I30" i="202"/>
  <c r="I24" i="202"/>
  <c r="I49" i="202"/>
  <c r="I43" i="202"/>
  <c r="I41" i="202"/>
  <c r="I39" i="202"/>
  <c r="I31" i="202"/>
  <c r="I29" i="202"/>
  <c r="I23" i="202"/>
  <c r="I59" i="202"/>
  <c r="J71" i="191"/>
  <c r="J72" i="191"/>
  <c r="J63" i="196"/>
  <c r="J59" i="196"/>
  <c r="J49" i="196"/>
  <c r="J43" i="196"/>
  <c r="J43" i="202" s="1"/>
  <c r="J41" i="196"/>
  <c r="J39" i="196"/>
  <c r="J39" i="202" s="1"/>
  <c r="J31" i="196"/>
  <c r="J31" i="202" s="1"/>
  <c r="J29" i="196"/>
  <c r="J29" i="202" s="1"/>
  <c r="J23" i="196"/>
  <c r="J20" i="196"/>
  <c r="J61" i="196"/>
  <c r="J60" i="196"/>
  <c r="J60" i="202" s="1"/>
  <c r="N39" i="180" s="1"/>
  <c r="J50" i="196"/>
  <c r="J48" i="196"/>
  <c r="J48" i="202" s="1"/>
  <c r="J42" i="196"/>
  <c r="J42" i="202" s="1"/>
  <c r="J40" i="196"/>
  <c r="J40" i="202" s="1"/>
  <c r="J32" i="196"/>
  <c r="J30" i="196"/>
  <c r="J30" i="202" s="1"/>
  <c r="J24" i="196"/>
  <c r="J24" i="202" s="1"/>
  <c r="J22" i="196"/>
  <c r="J72" i="196" s="1"/>
  <c r="J63" i="202"/>
  <c r="B7" i="190"/>
  <c r="J6" i="192"/>
  <c r="B7" i="191"/>
  <c r="B7" i="199"/>
  <c r="B6" i="193"/>
  <c r="B6" i="199"/>
  <c r="B7" i="193"/>
  <c r="B6" i="197"/>
  <c r="B7" i="196"/>
  <c r="B6" i="195"/>
  <c r="B7" i="197"/>
  <c r="B6" i="196"/>
  <c r="B7" i="195"/>
  <c r="J49" i="202"/>
  <c r="J41" i="202"/>
  <c r="J50" i="202"/>
  <c r="J32" i="202"/>
  <c r="J10" i="196"/>
  <c r="J11" i="196"/>
  <c r="J23" i="202"/>
  <c r="J8" i="196"/>
  <c r="J9" i="196" s="1"/>
  <c r="K12" i="196" s="1"/>
  <c r="J73" i="196"/>
  <c r="J10" i="197"/>
  <c r="J47" i="197"/>
  <c r="J46" i="197"/>
  <c r="J45" i="197"/>
  <c r="J44" i="197"/>
  <c r="J43" i="197"/>
  <c r="J38" i="197"/>
  <c r="J37" i="197"/>
  <c r="J36" i="197"/>
  <c r="J35" i="197"/>
  <c r="J30" i="197"/>
  <c r="J29" i="197"/>
  <c r="J28" i="197"/>
  <c r="J27" i="197"/>
  <c r="J25" i="197"/>
  <c r="J24" i="197"/>
  <c r="J23" i="197"/>
  <c r="J21" i="197"/>
  <c r="J20" i="197"/>
  <c r="J8" i="197"/>
  <c r="J9" i="197" s="1"/>
  <c r="K12" i="197" s="1"/>
  <c r="K48" i="197" s="1"/>
  <c r="J11" i="197"/>
  <c r="Q12" i="199"/>
  <c r="O12" i="199"/>
  <c r="M12" i="199"/>
  <c r="K12" i="199"/>
  <c r="K107" i="199" s="1"/>
  <c r="Q12" i="193"/>
  <c r="O12" i="193"/>
  <c r="M12" i="193"/>
  <c r="K12" i="193"/>
  <c r="P12" i="199"/>
  <c r="N12" i="199"/>
  <c r="L12" i="199"/>
  <c r="L107" i="199" s="1"/>
  <c r="J12" i="199"/>
  <c r="J107" i="199" s="1"/>
  <c r="P12" i="193"/>
  <c r="N12" i="193"/>
  <c r="L12" i="193"/>
  <c r="J12" i="193"/>
  <c r="J37" i="195"/>
  <c r="J33" i="195"/>
  <c r="J29" i="195"/>
  <c r="J23" i="195"/>
  <c r="AX27" i="180" s="1"/>
  <c r="AX47" i="180" s="1"/>
  <c r="J19" i="195"/>
  <c r="AX20" i="180" s="1"/>
  <c r="AX46" i="180" s="1"/>
  <c r="J18" i="195"/>
  <c r="AX13" i="180" s="1"/>
  <c r="AX45" i="180" s="1"/>
  <c r="J10" i="195"/>
  <c r="J11" i="195"/>
  <c r="J8" i="195"/>
  <c r="J9" i="195" s="1"/>
  <c r="K12" i="195" s="1"/>
  <c r="J13" i="192"/>
  <c r="J7" i="192"/>
  <c r="B6" i="190"/>
  <c r="B6" i="192"/>
  <c r="B6" i="191"/>
  <c r="J8" i="191"/>
  <c r="J9" i="191" s="1"/>
  <c r="K12" i="191" s="1"/>
  <c r="K11" i="191" s="1"/>
  <c r="J11" i="191"/>
  <c r="J6" i="191"/>
  <c r="J10" i="191"/>
  <c r="J7" i="191" s="1"/>
  <c r="K11" i="190"/>
  <c r="K10" i="190"/>
  <c r="K8" i="190"/>
  <c r="K9" i="190" s="1"/>
  <c r="L12" i="190" s="1"/>
  <c r="K10" i="191"/>
  <c r="K10" i="192" l="1"/>
  <c r="K6" i="192"/>
  <c r="K11" i="192"/>
  <c r="K8" i="191"/>
  <c r="K9" i="191" s="1"/>
  <c r="L12" i="191" s="1"/>
  <c r="L72" i="191" s="1"/>
  <c r="I68" i="202"/>
  <c r="L7" i="162"/>
  <c r="L49" i="162"/>
  <c r="L31" i="162"/>
  <c r="K7" i="162"/>
  <c r="K49" i="162"/>
  <c r="K31" i="162"/>
  <c r="J7" i="162"/>
  <c r="J49" i="162"/>
  <c r="J31" i="162"/>
  <c r="J61" i="162"/>
  <c r="J146" i="199" s="1"/>
  <c r="N106" i="199"/>
  <c r="N107" i="199" s="1"/>
  <c r="O106" i="199"/>
  <c r="O107" i="199" s="1"/>
  <c r="P106" i="199"/>
  <c r="P107" i="199" s="1"/>
  <c r="M106" i="199"/>
  <c r="M107" i="199" s="1"/>
  <c r="Q106" i="199"/>
  <c r="Q107" i="199" s="1"/>
  <c r="L7" i="199"/>
  <c r="L106" i="199"/>
  <c r="K7" i="191"/>
  <c r="K7" i="190"/>
  <c r="J7" i="195"/>
  <c r="AP7" i="180"/>
  <c r="J7" i="199"/>
  <c r="J106" i="199"/>
  <c r="K7" i="199"/>
  <c r="K106" i="199"/>
  <c r="J7" i="197"/>
  <c r="J7" i="196"/>
  <c r="L77" i="193"/>
  <c r="L7" i="193"/>
  <c r="P77" i="193"/>
  <c r="M77" i="193"/>
  <c r="Q77" i="193"/>
  <c r="J77" i="193"/>
  <c r="J7" i="193"/>
  <c r="N77" i="193"/>
  <c r="K77" i="193"/>
  <c r="K7" i="193"/>
  <c r="O77" i="193"/>
  <c r="K13" i="161"/>
  <c r="K6" i="161"/>
  <c r="K11" i="161"/>
  <c r="K10" i="161"/>
  <c r="K9" i="161"/>
  <c r="K8" i="161"/>
  <c r="O11" i="161"/>
  <c r="O10" i="161"/>
  <c r="O9" i="161"/>
  <c r="P8" i="161" s="1"/>
  <c r="K13" i="162"/>
  <c r="K6" i="162"/>
  <c r="K11" i="162"/>
  <c r="K10" i="162"/>
  <c r="K9" i="162"/>
  <c r="K8" i="162"/>
  <c r="O11" i="162"/>
  <c r="O10" i="162"/>
  <c r="O9" i="162"/>
  <c r="O6" i="162" s="1"/>
  <c r="K13" i="163"/>
  <c r="K6" i="163"/>
  <c r="K11" i="163"/>
  <c r="K10" i="163"/>
  <c r="K9" i="163"/>
  <c r="K8" i="163"/>
  <c r="O11" i="163"/>
  <c r="O10" i="163"/>
  <c r="O9" i="163"/>
  <c r="P8" i="163" s="1"/>
  <c r="J13" i="161"/>
  <c r="J11" i="161"/>
  <c r="J10" i="161"/>
  <c r="J9" i="161"/>
  <c r="J8" i="161"/>
  <c r="J6" i="161"/>
  <c r="N11" i="161"/>
  <c r="N10" i="161"/>
  <c r="N9" i="161"/>
  <c r="O8" i="161" s="1"/>
  <c r="N6" i="161"/>
  <c r="J13" i="162"/>
  <c r="J11" i="162"/>
  <c r="J10" i="162"/>
  <c r="J9" i="162"/>
  <c r="J8" i="162"/>
  <c r="J6" i="162"/>
  <c r="N11" i="162"/>
  <c r="N10" i="162"/>
  <c r="N9" i="162"/>
  <c r="O8" i="162" s="1"/>
  <c r="N6" i="162"/>
  <c r="J13" i="163"/>
  <c r="J11" i="163"/>
  <c r="J10" i="163"/>
  <c r="J9" i="163"/>
  <c r="J8" i="163"/>
  <c r="J6" i="163"/>
  <c r="N11" i="163"/>
  <c r="N10" i="163"/>
  <c r="N9" i="163"/>
  <c r="O8" i="163" s="1"/>
  <c r="N6" i="163"/>
  <c r="M11" i="161"/>
  <c r="M10" i="161"/>
  <c r="M9" i="161"/>
  <c r="N8" i="161" s="1"/>
  <c r="M8" i="161"/>
  <c r="Q6" i="161"/>
  <c r="Q11" i="161"/>
  <c r="Q10" i="161"/>
  <c r="Q7" i="161" s="1"/>
  <c r="Q9" i="161"/>
  <c r="M6" i="162"/>
  <c r="M11" i="162"/>
  <c r="M10" i="162"/>
  <c r="M9" i="162"/>
  <c r="N8" i="162" s="1"/>
  <c r="M8" i="162"/>
  <c r="Q11" i="162"/>
  <c r="Q10" i="162"/>
  <c r="Q9" i="162"/>
  <c r="Q6" i="162" s="1"/>
  <c r="M11" i="163"/>
  <c r="M10" i="163"/>
  <c r="M9" i="163"/>
  <c r="N8" i="163" s="1"/>
  <c r="M8" i="163"/>
  <c r="Q6" i="163"/>
  <c r="Q11" i="163"/>
  <c r="Q10" i="163"/>
  <c r="Q7" i="163" s="1"/>
  <c r="Q9" i="163"/>
  <c r="L13" i="161"/>
  <c r="L11" i="161"/>
  <c r="L10" i="161"/>
  <c r="L9" i="161"/>
  <c r="L8" i="161"/>
  <c r="L6" i="161"/>
  <c r="P11" i="161"/>
  <c r="P10" i="161"/>
  <c r="P9" i="161"/>
  <c r="Q8" i="161" s="1"/>
  <c r="L13" i="162"/>
  <c r="L11" i="162"/>
  <c r="L10" i="162"/>
  <c r="L9" i="162"/>
  <c r="L8" i="162"/>
  <c r="L6" i="162"/>
  <c r="P11" i="162"/>
  <c r="P10" i="162"/>
  <c r="P9" i="162"/>
  <c r="Q8" i="162" s="1"/>
  <c r="P8" i="162"/>
  <c r="P6" i="162"/>
  <c r="L13" i="163"/>
  <c r="L11" i="163"/>
  <c r="L10" i="163"/>
  <c r="L9" i="163"/>
  <c r="L8" i="163"/>
  <c r="L6" i="163"/>
  <c r="P11" i="163"/>
  <c r="P10" i="163"/>
  <c r="P9" i="163"/>
  <c r="Q8" i="163" s="1"/>
  <c r="P6" i="163"/>
  <c r="J144" i="199"/>
  <c r="J53" i="199"/>
  <c r="J36" i="199"/>
  <c r="N144" i="199"/>
  <c r="N53" i="199"/>
  <c r="N36" i="199"/>
  <c r="K52" i="199"/>
  <c r="K36" i="199"/>
  <c r="K144" i="199"/>
  <c r="K53" i="199"/>
  <c r="K35" i="199"/>
  <c r="O36" i="199"/>
  <c r="O144" i="199"/>
  <c r="O53" i="199"/>
  <c r="L144" i="199"/>
  <c r="L53" i="199"/>
  <c r="L35" i="199"/>
  <c r="L52" i="199"/>
  <c r="L36" i="199"/>
  <c r="P144" i="199"/>
  <c r="P53" i="199"/>
  <c r="P36" i="199"/>
  <c r="M214" i="199"/>
  <c r="M60" i="162" s="1"/>
  <c r="M36" i="199"/>
  <c r="M144" i="199"/>
  <c r="M53" i="199"/>
  <c r="Q36" i="199"/>
  <c r="Q144" i="199"/>
  <c r="Q53" i="199"/>
  <c r="J51" i="202"/>
  <c r="N33" i="180" s="1"/>
  <c r="I25" i="202"/>
  <c r="K71" i="191"/>
  <c r="K72" i="191"/>
  <c r="J180" i="199"/>
  <c r="J28" i="163" s="1"/>
  <c r="J214" i="199"/>
  <c r="J60" i="162" s="1"/>
  <c r="J213" i="199"/>
  <c r="J48" i="163" s="1"/>
  <c r="J212" i="199"/>
  <c r="N214" i="199"/>
  <c r="N60" i="162" s="1"/>
  <c r="K214" i="199"/>
  <c r="K60" i="162" s="1"/>
  <c r="K213" i="199"/>
  <c r="K48" i="163" s="1"/>
  <c r="K48" i="203" s="1"/>
  <c r="O60" i="180" s="1"/>
  <c r="K212" i="199"/>
  <c r="O214" i="199"/>
  <c r="O60" i="162" s="1"/>
  <c r="K60" i="196"/>
  <c r="K60" i="202" s="1"/>
  <c r="O39" i="180" s="1"/>
  <c r="K50" i="196"/>
  <c r="K50" i="202" s="1"/>
  <c r="K48" i="196"/>
  <c r="K48" i="202" s="1"/>
  <c r="K42" i="196"/>
  <c r="K42" i="202" s="1"/>
  <c r="K40" i="196"/>
  <c r="K40" i="202" s="1"/>
  <c r="K32" i="196"/>
  <c r="K32" i="202" s="1"/>
  <c r="K30" i="196"/>
  <c r="K30" i="202" s="1"/>
  <c r="K24" i="196"/>
  <c r="K22" i="196"/>
  <c r="K63" i="196"/>
  <c r="K63" i="202" s="1"/>
  <c r="K59" i="196"/>
  <c r="K49" i="196"/>
  <c r="K49" i="202" s="1"/>
  <c r="K43" i="196"/>
  <c r="K43" i="202" s="1"/>
  <c r="K41" i="196"/>
  <c r="K41" i="202" s="1"/>
  <c r="K39" i="196"/>
  <c r="K39" i="202" s="1"/>
  <c r="K31" i="196"/>
  <c r="K31" i="202" s="1"/>
  <c r="K29" i="196"/>
  <c r="K23" i="196"/>
  <c r="K23" i="202" s="1"/>
  <c r="K20" i="196"/>
  <c r="K21" i="196" s="1"/>
  <c r="J25" i="196"/>
  <c r="J51" i="196"/>
  <c r="J21" i="196"/>
  <c r="J33" i="196"/>
  <c r="J44" i="196"/>
  <c r="J73" i="191"/>
  <c r="I33" i="202"/>
  <c r="I44" i="202"/>
  <c r="L71" i="191"/>
  <c r="L214" i="199"/>
  <c r="L60" i="162" s="1"/>
  <c r="L213" i="199"/>
  <c r="L48" i="163" s="1"/>
  <c r="L212" i="199"/>
  <c r="P214" i="199"/>
  <c r="P60" i="162" s="1"/>
  <c r="Q214" i="199"/>
  <c r="Q60" i="162" s="1"/>
  <c r="J49" i="197"/>
  <c r="J62" i="196"/>
  <c r="I51" i="202"/>
  <c r="J6" i="196"/>
  <c r="J59" i="202"/>
  <c r="N38" i="180" s="1"/>
  <c r="J44" i="202"/>
  <c r="J33" i="202"/>
  <c r="N29" i="180" s="1"/>
  <c r="J200" i="199"/>
  <c r="J188" i="199"/>
  <c r="J128" i="199"/>
  <c r="J112" i="199"/>
  <c r="J78" i="199"/>
  <c r="J46" i="199"/>
  <c r="J206" i="199"/>
  <c r="J194" i="199"/>
  <c r="J178" i="199"/>
  <c r="J121" i="199"/>
  <c r="J83" i="193" s="1"/>
  <c r="J95" i="199"/>
  <c r="J64" i="193" s="1"/>
  <c r="J66" i="199"/>
  <c r="J29" i="199"/>
  <c r="K206" i="199"/>
  <c r="K194" i="199"/>
  <c r="K178" i="199"/>
  <c r="K112" i="199"/>
  <c r="K121" i="199"/>
  <c r="K83" i="193" s="1"/>
  <c r="K95" i="199"/>
  <c r="K64" i="193" s="1"/>
  <c r="K66" i="199"/>
  <c r="K29" i="199"/>
  <c r="K200" i="199"/>
  <c r="K188" i="199"/>
  <c r="K128" i="199"/>
  <c r="K78" i="199"/>
  <c r="K46" i="199"/>
  <c r="J13" i="195"/>
  <c r="J22" i="197"/>
  <c r="J26" i="197"/>
  <c r="L200" i="199"/>
  <c r="L188" i="199"/>
  <c r="L128" i="199"/>
  <c r="L78" i="199"/>
  <c r="L46" i="199"/>
  <c r="L206" i="199"/>
  <c r="L194" i="199"/>
  <c r="L178" i="199"/>
  <c r="L112" i="199"/>
  <c r="L121" i="199"/>
  <c r="L83" i="193" s="1"/>
  <c r="L95" i="199"/>
  <c r="L64" i="193" s="1"/>
  <c r="L66" i="199"/>
  <c r="L29" i="199"/>
  <c r="K6" i="191"/>
  <c r="J6" i="195"/>
  <c r="K6" i="190"/>
  <c r="J6" i="197"/>
  <c r="K47" i="197"/>
  <c r="K46" i="197"/>
  <c r="K45" i="197"/>
  <c r="K44" i="197"/>
  <c r="K43" i="197"/>
  <c r="K38" i="197"/>
  <c r="K37" i="197"/>
  <c r="K36" i="197"/>
  <c r="K35" i="197"/>
  <c r="K30" i="197"/>
  <c r="K29" i="197"/>
  <c r="K28" i="197"/>
  <c r="K27" i="197"/>
  <c r="K25" i="197"/>
  <c r="K24" i="197"/>
  <c r="K23" i="197"/>
  <c r="K21" i="197"/>
  <c r="K20" i="197"/>
  <c r="K8" i="197"/>
  <c r="K9" i="197" s="1"/>
  <c r="L12" i="197" s="1"/>
  <c r="L48" i="197" s="1"/>
  <c r="K10" i="197"/>
  <c r="K11" i="197"/>
  <c r="J13" i="193"/>
  <c r="J8" i="193"/>
  <c r="J11" i="193"/>
  <c r="J10" i="193"/>
  <c r="J9" i="193"/>
  <c r="J6" i="193"/>
  <c r="N11" i="193"/>
  <c r="N10" i="193"/>
  <c r="N9" i="193"/>
  <c r="N6" i="193" s="1"/>
  <c r="J6" i="199"/>
  <c r="J202" i="199"/>
  <c r="J43" i="162" s="1"/>
  <c r="J190" i="199"/>
  <c r="J122" i="199"/>
  <c r="J45" i="163" s="1"/>
  <c r="J45" i="203" s="1"/>
  <c r="J108" i="199"/>
  <c r="J102" i="199"/>
  <c r="J96" i="199"/>
  <c r="J43" i="163" s="1"/>
  <c r="J43" i="203" s="1"/>
  <c r="J80" i="199"/>
  <c r="J68" i="199"/>
  <c r="J208" i="199"/>
  <c r="J50" i="162" s="1"/>
  <c r="J196" i="199"/>
  <c r="J32" i="162" s="1"/>
  <c r="J207" i="199"/>
  <c r="J38" i="163" s="1"/>
  <c r="J38" i="203" s="1"/>
  <c r="J172" i="199"/>
  <c r="J123" i="199"/>
  <c r="J46" i="163" s="1"/>
  <c r="J46" i="203" s="1"/>
  <c r="J103" i="199"/>
  <c r="J97" i="199"/>
  <c r="J44" i="163" s="1"/>
  <c r="J44" i="203" s="1"/>
  <c r="J22" i="199"/>
  <c r="J21" i="199"/>
  <c r="J20" i="199"/>
  <c r="AX28" i="180" s="1"/>
  <c r="AX50" i="180" s="1"/>
  <c r="J19" i="199"/>
  <c r="AX21" i="180" s="1"/>
  <c r="AX49" i="180" s="1"/>
  <c r="J18" i="199"/>
  <c r="AX14" i="180" s="1"/>
  <c r="AX48" i="180" s="1"/>
  <c r="J11" i="199"/>
  <c r="J10" i="199"/>
  <c r="J9" i="199"/>
  <c r="J8" i="199"/>
  <c r="J13" i="199"/>
  <c r="N208" i="199"/>
  <c r="N50" i="162" s="1"/>
  <c r="N196" i="199"/>
  <c r="N32" i="162" s="1"/>
  <c r="N123" i="199"/>
  <c r="N46" i="163" s="1"/>
  <c r="N103" i="199"/>
  <c r="N97" i="199"/>
  <c r="N44" i="163" s="1"/>
  <c r="N80" i="199"/>
  <c r="N68" i="199"/>
  <c r="N202" i="199"/>
  <c r="N43" i="162" s="1"/>
  <c r="N190" i="199"/>
  <c r="N24" i="162" s="1"/>
  <c r="N172" i="199"/>
  <c r="N122" i="199"/>
  <c r="N45" i="163" s="1"/>
  <c r="N108" i="199"/>
  <c r="N102" i="199"/>
  <c r="N96" i="199"/>
  <c r="N43" i="163" s="1"/>
  <c r="N22" i="199"/>
  <c r="N21" i="199"/>
  <c r="N20" i="199"/>
  <c r="BB28" i="180" s="1"/>
  <c r="BB50" i="180" s="1"/>
  <c r="N19" i="199"/>
  <c r="BB21" i="180" s="1"/>
  <c r="BB49" i="180" s="1"/>
  <c r="N18" i="199"/>
  <c r="BB14" i="180" s="1"/>
  <c r="BB48" i="180" s="1"/>
  <c r="N11" i="199"/>
  <c r="N10" i="199"/>
  <c r="N9" i="199"/>
  <c r="O8" i="199" s="1"/>
  <c r="K13" i="193"/>
  <c r="K11" i="193"/>
  <c r="K10" i="193"/>
  <c r="K9" i="193"/>
  <c r="K8" i="193"/>
  <c r="K6" i="193"/>
  <c r="O11" i="193"/>
  <c r="O10" i="193"/>
  <c r="O7" i="193" s="1"/>
  <c r="O9" i="193"/>
  <c r="O6" i="193" s="1"/>
  <c r="K13" i="199"/>
  <c r="K202" i="199"/>
  <c r="K43" i="162" s="1"/>
  <c r="K190" i="199"/>
  <c r="K24" i="162" s="1"/>
  <c r="K172" i="199"/>
  <c r="K122" i="199"/>
  <c r="K45" i="163" s="1"/>
  <c r="K108" i="199"/>
  <c r="K102" i="199"/>
  <c r="K96" i="199"/>
  <c r="K43" i="163" s="1"/>
  <c r="K208" i="199"/>
  <c r="K50" i="162" s="1"/>
  <c r="K207" i="199"/>
  <c r="K38" i="163" s="1"/>
  <c r="K196" i="199"/>
  <c r="K32" i="162" s="1"/>
  <c r="K123" i="199"/>
  <c r="K46" i="163" s="1"/>
  <c r="K103" i="199"/>
  <c r="K97" i="199"/>
  <c r="K44" i="163" s="1"/>
  <c r="K80" i="199"/>
  <c r="K68" i="199"/>
  <c r="K22" i="199"/>
  <c r="K21" i="199"/>
  <c r="K20" i="199"/>
  <c r="AY28" i="180" s="1"/>
  <c r="AY50" i="180" s="1"/>
  <c r="K19" i="199"/>
  <c r="AY21" i="180" s="1"/>
  <c r="AY49" i="180" s="1"/>
  <c r="K18" i="199"/>
  <c r="AY14" i="180" s="1"/>
  <c r="AY48" i="180" s="1"/>
  <c r="K11" i="199"/>
  <c r="K10" i="199"/>
  <c r="K9" i="199"/>
  <c r="K8" i="199"/>
  <c r="K6" i="199"/>
  <c r="O202" i="199"/>
  <c r="O43" i="162" s="1"/>
  <c r="O190" i="199"/>
  <c r="O24" i="162" s="1"/>
  <c r="O172" i="199"/>
  <c r="O122" i="199"/>
  <c r="O45" i="163" s="1"/>
  <c r="O108" i="199"/>
  <c r="O102" i="199"/>
  <c r="O96" i="199"/>
  <c r="O43" i="163" s="1"/>
  <c r="O208" i="199"/>
  <c r="O50" i="162" s="1"/>
  <c r="O196" i="199"/>
  <c r="O32" i="162" s="1"/>
  <c r="O123" i="199"/>
  <c r="O46" i="163" s="1"/>
  <c r="O103" i="199"/>
  <c r="O97" i="199"/>
  <c r="O44" i="163" s="1"/>
  <c r="O80" i="199"/>
  <c r="O68" i="199"/>
  <c r="O22" i="199"/>
  <c r="O79" i="199" s="1"/>
  <c r="O21" i="199"/>
  <c r="O20" i="199"/>
  <c r="BC28" i="180" s="1"/>
  <c r="BC50" i="180" s="1"/>
  <c r="O19" i="199"/>
  <c r="BC21" i="180" s="1"/>
  <c r="BC49" i="180" s="1"/>
  <c r="O18" i="199"/>
  <c r="BC14" i="180" s="1"/>
  <c r="BC48" i="180" s="1"/>
  <c r="O11" i="199"/>
  <c r="O10" i="199"/>
  <c r="O9" i="199"/>
  <c r="O6" i="199" s="1"/>
  <c r="K29" i="202"/>
  <c r="K10" i="196"/>
  <c r="K24" i="202"/>
  <c r="K8" i="196"/>
  <c r="K9" i="196" s="1"/>
  <c r="L12" i="196" s="1"/>
  <c r="K11" i="196"/>
  <c r="K6" i="196"/>
  <c r="J21" i="195"/>
  <c r="J25" i="195" s="1"/>
  <c r="J13" i="197"/>
  <c r="J39" i="197"/>
  <c r="J74" i="196"/>
  <c r="J13" i="196"/>
  <c r="K37" i="195"/>
  <c r="K33" i="195"/>
  <c r="K29" i="195"/>
  <c r="K23" i="195"/>
  <c r="AY27" i="180" s="1"/>
  <c r="AY47" i="180" s="1"/>
  <c r="K19" i="195"/>
  <c r="AY20" i="180" s="1"/>
  <c r="AY46" i="180" s="1"/>
  <c r="K18" i="195"/>
  <c r="AY13" i="180" s="1"/>
  <c r="AY45" i="180" s="1"/>
  <c r="K10" i="195"/>
  <c r="K8" i="195"/>
  <c r="K9" i="195" s="1"/>
  <c r="L12" i="195" s="1"/>
  <c r="K11" i="195"/>
  <c r="L13" i="193"/>
  <c r="L11" i="193"/>
  <c r="L10" i="193"/>
  <c r="L9" i="193"/>
  <c r="L8" i="193"/>
  <c r="L6" i="193"/>
  <c r="P11" i="193"/>
  <c r="P10" i="193"/>
  <c r="P7" i="193" s="1"/>
  <c r="P9" i="193"/>
  <c r="P6" i="193" s="1"/>
  <c r="L6" i="199"/>
  <c r="L208" i="199"/>
  <c r="L50" i="162" s="1"/>
  <c r="L207" i="199"/>
  <c r="L38" i="163" s="1"/>
  <c r="L196" i="199"/>
  <c r="L32" i="162" s="1"/>
  <c r="L123" i="199"/>
  <c r="L46" i="163" s="1"/>
  <c r="L103" i="199"/>
  <c r="L97" i="199"/>
  <c r="L44" i="163" s="1"/>
  <c r="L80" i="199"/>
  <c r="L68" i="199"/>
  <c r="L202" i="199"/>
  <c r="L43" i="162" s="1"/>
  <c r="L190" i="199"/>
  <c r="L24" i="162" s="1"/>
  <c r="L172" i="199"/>
  <c r="L122" i="199"/>
  <c r="L45" i="163" s="1"/>
  <c r="L108" i="199"/>
  <c r="L102" i="199"/>
  <c r="L96" i="199"/>
  <c r="L43" i="163" s="1"/>
  <c r="L22" i="199"/>
  <c r="L21" i="199"/>
  <c r="L20" i="199"/>
  <c r="AZ28" i="180" s="1"/>
  <c r="AZ50" i="180" s="1"/>
  <c r="L19" i="199"/>
  <c r="AZ21" i="180" s="1"/>
  <c r="AZ49" i="180" s="1"/>
  <c r="L18" i="199"/>
  <c r="AZ14" i="180" s="1"/>
  <c r="AZ48" i="180" s="1"/>
  <c r="L11" i="199"/>
  <c r="L10" i="199"/>
  <c r="L9" i="199"/>
  <c r="L8" i="199"/>
  <c r="L13" i="199"/>
  <c r="P208" i="199"/>
  <c r="P50" i="162" s="1"/>
  <c r="P196" i="199"/>
  <c r="P32" i="162" s="1"/>
  <c r="P123" i="199"/>
  <c r="P46" i="163" s="1"/>
  <c r="P103" i="199"/>
  <c r="P97" i="199"/>
  <c r="P44" i="163" s="1"/>
  <c r="P80" i="199"/>
  <c r="P68" i="199"/>
  <c r="P202" i="199"/>
  <c r="P43" i="162" s="1"/>
  <c r="P190" i="199"/>
  <c r="P24" i="162" s="1"/>
  <c r="P172" i="199"/>
  <c r="P122" i="199"/>
  <c r="P45" i="163" s="1"/>
  <c r="P108" i="199"/>
  <c r="P102" i="199"/>
  <c r="P96" i="199"/>
  <c r="P43" i="163" s="1"/>
  <c r="P8" i="199"/>
  <c r="P22" i="199"/>
  <c r="P79" i="199" s="1"/>
  <c r="P21" i="199"/>
  <c r="P67" i="199" s="1"/>
  <c r="P20" i="199"/>
  <c r="P19" i="199"/>
  <c r="BD21" i="180" s="1"/>
  <c r="BD49" i="180" s="1"/>
  <c r="P18" i="199"/>
  <c r="BD14" i="180" s="1"/>
  <c r="BD48" i="180" s="1"/>
  <c r="P11" i="199"/>
  <c r="P10" i="199"/>
  <c r="P7" i="199" s="1"/>
  <c r="P9" i="199"/>
  <c r="Q8" i="199" s="1"/>
  <c r="M11" i="193"/>
  <c r="M10" i="193"/>
  <c r="M9" i="193"/>
  <c r="N8" i="193" s="1"/>
  <c r="M8" i="193"/>
  <c r="Q11" i="193"/>
  <c r="Q10" i="193"/>
  <c r="Q9" i="193"/>
  <c r="Q6" i="193" s="1"/>
  <c r="M202" i="199"/>
  <c r="M43" i="162" s="1"/>
  <c r="M190" i="199"/>
  <c r="M24" i="162" s="1"/>
  <c r="M172" i="199"/>
  <c r="M122" i="199"/>
  <c r="M45" i="163" s="1"/>
  <c r="M108" i="199"/>
  <c r="M102" i="199"/>
  <c r="M96" i="199"/>
  <c r="M43" i="163" s="1"/>
  <c r="M208" i="199"/>
  <c r="M50" i="162" s="1"/>
  <c r="M196" i="199"/>
  <c r="M32" i="162" s="1"/>
  <c r="M123" i="199"/>
  <c r="M46" i="163" s="1"/>
  <c r="M103" i="199"/>
  <c r="M97" i="199"/>
  <c r="M44" i="163" s="1"/>
  <c r="M80" i="199"/>
  <c r="M68" i="199"/>
  <c r="M22" i="199"/>
  <c r="M21" i="199"/>
  <c r="M20" i="199"/>
  <c r="BA28" i="180" s="1"/>
  <c r="BA50" i="180" s="1"/>
  <c r="M19" i="199"/>
  <c r="BA21" i="180" s="1"/>
  <c r="BA49" i="180" s="1"/>
  <c r="M18" i="199"/>
  <c r="BA14" i="180" s="1"/>
  <c r="BA48" i="180" s="1"/>
  <c r="M11" i="199"/>
  <c r="M10" i="199"/>
  <c r="M9" i="199"/>
  <c r="N8" i="199" s="1"/>
  <c r="M8" i="199"/>
  <c r="M6" i="199"/>
  <c r="Q202" i="199"/>
  <c r="Q43" i="162" s="1"/>
  <c r="Q190" i="199"/>
  <c r="Q24" i="162" s="1"/>
  <c r="Q172" i="199"/>
  <c r="Q122" i="199"/>
  <c r="Q45" i="163" s="1"/>
  <c r="Q108" i="199"/>
  <c r="Q102" i="199"/>
  <c r="Q96" i="199"/>
  <c r="Q43" i="163" s="1"/>
  <c r="Q208" i="199"/>
  <c r="Q50" i="162" s="1"/>
  <c r="Q196" i="199"/>
  <c r="Q32" i="162" s="1"/>
  <c r="Q123" i="199"/>
  <c r="Q46" i="163" s="1"/>
  <c r="Q103" i="199"/>
  <c r="Q97" i="199"/>
  <c r="Q44" i="163" s="1"/>
  <c r="Q80" i="199"/>
  <c r="Q68" i="199"/>
  <c r="Q22" i="199"/>
  <c r="Q79" i="199" s="1"/>
  <c r="Q21" i="199"/>
  <c r="Q67" i="199" s="1"/>
  <c r="Q20" i="199"/>
  <c r="Q19" i="199"/>
  <c r="BE21" i="180" s="1"/>
  <c r="BE49" i="180" s="1"/>
  <c r="Q18" i="199"/>
  <c r="BE14" i="180" s="1"/>
  <c r="BE48" i="180" s="1"/>
  <c r="Q11" i="199"/>
  <c r="Q10" i="199"/>
  <c r="Q7" i="199" s="1"/>
  <c r="Q9" i="199"/>
  <c r="Q6" i="199"/>
  <c r="J13" i="191"/>
  <c r="K13" i="190"/>
  <c r="K13" i="191"/>
  <c r="L11" i="190"/>
  <c r="L8" i="190"/>
  <c r="L9" i="190" s="1"/>
  <c r="M12" i="190" s="1"/>
  <c r="L10" i="190"/>
  <c r="L7" i="190" s="1"/>
  <c r="L8" i="192"/>
  <c r="L9" i="192" s="1"/>
  <c r="M12" i="192" s="1"/>
  <c r="L11" i="192"/>
  <c r="L10" i="192"/>
  <c r="L11" i="191"/>
  <c r="L10" i="191"/>
  <c r="P24" i="163"/>
  <c r="K7" i="192" l="1"/>
  <c r="P81" i="199"/>
  <c r="P166" i="199" s="1"/>
  <c r="Q212" i="199"/>
  <c r="O23" i="163"/>
  <c r="K13" i="197"/>
  <c r="O8" i="193"/>
  <c r="P212" i="199"/>
  <c r="P213" i="199" s="1"/>
  <c r="P48" i="163" s="1"/>
  <c r="P85" i="163" s="1"/>
  <c r="L8" i="191"/>
  <c r="L9" i="191" s="1"/>
  <c r="M12" i="191" s="1"/>
  <c r="M71" i="191" s="1"/>
  <c r="O20" i="163"/>
  <c r="P69" i="199"/>
  <c r="P165" i="199" s="1"/>
  <c r="K13" i="192"/>
  <c r="Q8" i="193"/>
  <c r="K7" i="195"/>
  <c r="Q81" i="199"/>
  <c r="Q166" i="199" s="1"/>
  <c r="L13" i="191"/>
  <c r="Q69" i="199"/>
  <c r="Q165" i="199" s="1"/>
  <c r="O81" i="199"/>
  <c r="O166" i="199" s="1"/>
  <c r="O36" i="163"/>
  <c r="P8" i="193"/>
  <c r="K38" i="203"/>
  <c r="L48" i="203"/>
  <c r="P60" i="180" s="1"/>
  <c r="L104" i="199"/>
  <c r="M7" i="199"/>
  <c r="Q7" i="193"/>
  <c r="M7" i="193"/>
  <c r="K6" i="195"/>
  <c r="O7" i="199"/>
  <c r="N7" i="199"/>
  <c r="N7" i="193"/>
  <c r="P6" i="161"/>
  <c r="M6" i="163"/>
  <c r="Q7" i="162"/>
  <c r="M6" i="161"/>
  <c r="O7" i="163"/>
  <c r="O6" i="163"/>
  <c r="O7" i="162"/>
  <c r="O6" i="161"/>
  <c r="K7" i="196"/>
  <c r="K7" i="197"/>
  <c r="O13" i="163"/>
  <c r="O13" i="162"/>
  <c r="N13" i="199"/>
  <c r="Q13" i="161"/>
  <c r="M13" i="161"/>
  <c r="O13" i="161"/>
  <c r="P13" i="163"/>
  <c r="P13" i="161"/>
  <c r="Q13" i="162"/>
  <c r="M13" i="162"/>
  <c r="I35" i="202"/>
  <c r="P13" i="162"/>
  <c r="Q13" i="163"/>
  <c r="M13" i="163"/>
  <c r="N13" i="163"/>
  <c r="N13" i="162"/>
  <c r="N13" i="161"/>
  <c r="P7" i="162"/>
  <c r="N7" i="163"/>
  <c r="N7" i="161"/>
  <c r="P7" i="163"/>
  <c r="P7" i="161"/>
  <c r="M7" i="163"/>
  <c r="M7" i="162"/>
  <c r="M7" i="161"/>
  <c r="N7" i="162"/>
  <c r="O7" i="161"/>
  <c r="L152" i="199"/>
  <c r="L153" i="199"/>
  <c r="Q152" i="199"/>
  <c r="Q153" i="199"/>
  <c r="M152" i="199"/>
  <c r="M153" i="199"/>
  <c r="P152" i="199"/>
  <c r="P153" i="199"/>
  <c r="O152" i="199"/>
  <c r="O153" i="199"/>
  <c r="K152" i="199"/>
  <c r="K153" i="199"/>
  <c r="N152" i="199"/>
  <c r="N153" i="199"/>
  <c r="P35" i="163"/>
  <c r="J152" i="199"/>
  <c r="J153" i="199"/>
  <c r="J64" i="196"/>
  <c r="K61" i="196" s="1"/>
  <c r="P23" i="161"/>
  <c r="BD28" i="180"/>
  <c r="BD50" i="180" s="1"/>
  <c r="J53" i="202"/>
  <c r="N32" i="180"/>
  <c r="O13" i="193"/>
  <c r="Q164" i="199"/>
  <c r="BE28" i="180"/>
  <c r="BE50" i="180" s="1"/>
  <c r="J31" i="195"/>
  <c r="J35" i="195" s="1"/>
  <c r="J39" i="195" s="1"/>
  <c r="N57" i="180"/>
  <c r="N58" i="180"/>
  <c r="J62" i="202"/>
  <c r="K33" i="196"/>
  <c r="K44" i="196"/>
  <c r="K25" i="196"/>
  <c r="K51" i="196"/>
  <c r="K73" i="191"/>
  <c r="N104" i="199"/>
  <c r="L63" i="196"/>
  <c r="L63" i="202" s="1"/>
  <c r="L59" i="196"/>
  <c r="L49" i="196"/>
  <c r="L43" i="196"/>
  <c r="L43" i="202" s="1"/>
  <c r="L41" i="196"/>
  <c r="L39" i="196"/>
  <c r="L31" i="196"/>
  <c r="L29" i="196"/>
  <c r="L29" i="202" s="1"/>
  <c r="L23" i="196"/>
  <c r="L23" i="202" s="1"/>
  <c r="L20" i="196"/>
  <c r="L60" i="196"/>
  <c r="L60" i="202" s="1"/>
  <c r="P39" i="180" s="1"/>
  <c r="L50" i="196"/>
  <c r="L50" i="202" s="1"/>
  <c r="L48" i="196"/>
  <c r="L48" i="202" s="1"/>
  <c r="L42" i="196"/>
  <c r="L40" i="196"/>
  <c r="L40" i="202" s="1"/>
  <c r="L32" i="196"/>
  <c r="L32" i="202" s="1"/>
  <c r="L30" i="196"/>
  <c r="L30" i="202" s="1"/>
  <c r="L24" i="196"/>
  <c r="L24" i="202" s="1"/>
  <c r="L22" i="196"/>
  <c r="L72" i="196" s="1"/>
  <c r="K43" i="203"/>
  <c r="K49" i="197"/>
  <c r="L85" i="163"/>
  <c r="L100" i="163"/>
  <c r="J85" i="163"/>
  <c r="J100" i="163"/>
  <c r="J48" i="203"/>
  <c r="N60" i="180" s="1"/>
  <c r="K45" i="203"/>
  <c r="Q213" i="199"/>
  <c r="Q48" i="163" s="1"/>
  <c r="L73" i="191"/>
  <c r="I53" i="202"/>
  <c r="I55" i="202" s="1"/>
  <c r="I70" i="202" s="1"/>
  <c r="I71" i="202" s="1"/>
  <c r="I72" i="202" s="1"/>
  <c r="J53" i="196"/>
  <c r="J35" i="196"/>
  <c r="K85" i="163"/>
  <c r="K100" i="163"/>
  <c r="K44" i="203"/>
  <c r="K46" i="203"/>
  <c r="K72" i="196"/>
  <c r="J65" i="163"/>
  <c r="J28" i="203"/>
  <c r="K59" i="202"/>
  <c r="O38" i="180" s="1"/>
  <c r="M6" i="193"/>
  <c r="O73" i="163"/>
  <c r="K73" i="196"/>
  <c r="K75" i="163"/>
  <c r="K33" i="202"/>
  <c r="O29" i="180" s="1"/>
  <c r="L75" i="163"/>
  <c r="J75" i="163"/>
  <c r="K44" i="202"/>
  <c r="O32" i="180" s="1"/>
  <c r="K51" i="202"/>
  <c r="O33" i="180" s="1"/>
  <c r="O13" i="199"/>
  <c r="L13" i="190"/>
  <c r="J31" i="197"/>
  <c r="L6" i="190"/>
  <c r="L7" i="191"/>
  <c r="L6" i="192"/>
  <c r="O19" i="161"/>
  <c r="N13" i="193"/>
  <c r="J201" i="199"/>
  <c r="J30" i="163" s="1"/>
  <c r="M13" i="193"/>
  <c r="O18" i="161"/>
  <c r="Q13" i="199"/>
  <c r="Q13" i="193"/>
  <c r="P13" i="193"/>
  <c r="Q194" i="199"/>
  <c r="Q200" i="199"/>
  <c r="Q201" i="199" s="1"/>
  <c r="Q30" i="163" s="1"/>
  <c r="P188" i="199"/>
  <c r="P189" i="199" s="1"/>
  <c r="P29" i="163" s="1"/>
  <c r="P206" i="199"/>
  <c r="P207" i="199" s="1"/>
  <c r="P38" i="163" s="1"/>
  <c r="Q206" i="199"/>
  <c r="Q207" i="199" s="1"/>
  <c r="Q38" i="163" s="1"/>
  <c r="Q188" i="199"/>
  <c r="Q189" i="199" s="1"/>
  <c r="Q29" i="163" s="1"/>
  <c r="P200" i="199"/>
  <c r="P201" i="199" s="1"/>
  <c r="P30" i="163" s="1"/>
  <c r="P194" i="199"/>
  <c r="P195" i="199" s="1"/>
  <c r="P37" i="163" s="1"/>
  <c r="K13" i="195"/>
  <c r="M13" i="199"/>
  <c r="P13" i="199"/>
  <c r="L189" i="199"/>
  <c r="L29" i="163" s="1"/>
  <c r="L201" i="199"/>
  <c r="L30" i="163" s="1"/>
  <c r="L195" i="199"/>
  <c r="L37" i="163" s="1"/>
  <c r="L74" i="163" s="1"/>
  <c r="K21" i="195"/>
  <c r="K25" i="195" s="1"/>
  <c r="K13" i="196"/>
  <c r="K189" i="199"/>
  <c r="K29" i="163" s="1"/>
  <c r="K201" i="199"/>
  <c r="K6" i="197"/>
  <c r="K39" i="197"/>
  <c r="L6" i="191"/>
  <c r="P6" i="199"/>
  <c r="N6" i="199"/>
  <c r="Q163" i="199"/>
  <c r="Q47" i="199"/>
  <c r="Q81" i="163"/>
  <c r="Q99" i="163"/>
  <c r="Q80" i="163"/>
  <c r="Q98" i="163"/>
  <c r="M30" i="199"/>
  <c r="M162" i="199"/>
  <c r="M18" i="161"/>
  <c r="M20" i="163"/>
  <c r="M164" i="199"/>
  <c r="M23" i="161"/>
  <c r="M24" i="163"/>
  <c r="M79" i="199"/>
  <c r="M81" i="199" s="1"/>
  <c r="M36" i="163"/>
  <c r="M83" i="163"/>
  <c r="M103" i="163"/>
  <c r="M82" i="163"/>
  <c r="M102" i="163"/>
  <c r="P163" i="199"/>
  <c r="P47" i="199"/>
  <c r="P82" i="163"/>
  <c r="P102" i="163"/>
  <c r="P81" i="163"/>
  <c r="P99" i="163"/>
  <c r="L163" i="199"/>
  <c r="L47" i="199"/>
  <c r="L23" i="163"/>
  <c r="L19" i="161"/>
  <c r="L67" i="199"/>
  <c r="L69" i="199" s="1"/>
  <c r="L35" i="163"/>
  <c r="L98" i="199"/>
  <c r="L67" i="193" s="1"/>
  <c r="L82" i="163"/>
  <c r="L102" i="163"/>
  <c r="L39" i="202"/>
  <c r="L10" i="196"/>
  <c r="L7" i="196" s="1"/>
  <c r="L41" i="202"/>
  <c r="L42" i="202"/>
  <c r="L11" i="196"/>
  <c r="L8" i="196"/>
  <c r="L9" i="196" s="1"/>
  <c r="M12" i="196" s="1"/>
  <c r="O47" i="199"/>
  <c r="O163" i="199"/>
  <c r="O67" i="199"/>
  <c r="O69" i="199" s="1"/>
  <c r="O165" i="199" s="1"/>
  <c r="O35" i="163"/>
  <c r="O81" i="163"/>
  <c r="O99" i="163"/>
  <c r="O80" i="163"/>
  <c r="O98" i="163"/>
  <c r="K47" i="199"/>
  <c r="K163" i="199"/>
  <c r="K23" i="163"/>
  <c r="K23" i="203" s="1"/>
  <c r="K19" i="161"/>
  <c r="K19" i="201" s="1"/>
  <c r="O12" i="180" s="1"/>
  <c r="K67" i="199"/>
  <c r="K69" i="199" s="1"/>
  <c r="K35" i="163"/>
  <c r="K35" i="203" s="1"/>
  <c r="K81" i="163"/>
  <c r="K99" i="163"/>
  <c r="K83" i="163"/>
  <c r="K103" i="163"/>
  <c r="K98" i="199"/>
  <c r="K67" i="193" s="1"/>
  <c r="K82" i="163"/>
  <c r="K102" i="163"/>
  <c r="N163" i="199"/>
  <c r="N47" i="199"/>
  <c r="N23" i="163"/>
  <c r="N19" i="161"/>
  <c r="N67" i="199"/>
  <c r="N69" i="199" s="1"/>
  <c r="N35" i="163"/>
  <c r="N80" i="163"/>
  <c r="N98" i="163"/>
  <c r="N83" i="163"/>
  <c r="N103" i="163"/>
  <c r="J30" i="199"/>
  <c r="J162" i="199"/>
  <c r="J18" i="161"/>
  <c r="J18" i="201" s="1"/>
  <c r="N11" i="180" s="1"/>
  <c r="J20" i="163"/>
  <c r="J20" i="203" s="1"/>
  <c r="J164" i="199"/>
  <c r="J23" i="161"/>
  <c r="J23" i="201" s="1"/>
  <c r="N14" i="180" s="1"/>
  <c r="J24" i="163"/>
  <c r="J24" i="203" s="1"/>
  <c r="J79" i="199"/>
  <c r="J81" i="199" s="1"/>
  <c r="J36" i="163"/>
  <c r="J36" i="203" s="1"/>
  <c r="J98" i="199"/>
  <c r="J67" i="193" s="1"/>
  <c r="J124" i="199"/>
  <c r="J86" i="193" s="1"/>
  <c r="J82" i="163"/>
  <c r="J102" i="163"/>
  <c r="J189" i="199"/>
  <c r="J29" i="163" s="1"/>
  <c r="J24" i="162"/>
  <c r="Q195" i="199"/>
  <c r="Q37" i="163" s="1"/>
  <c r="M104" i="199"/>
  <c r="P104" i="199"/>
  <c r="K195" i="199"/>
  <c r="K37" i="163" s="1"/>
  <c r="K74" i="163" s="1"/>
  <c r="K104" i="199"/>
  <c r="J104" i="199"/>
  <c r="J195" i="199"/>
  <c r="J37" i="163" s="1"/>
  <c r="Q162" i="199"/>
  <c r="Q30" i="199"/>
  <c r="Q83" i="163"/>
  <c r="Q103" i="163"/>
  <c r="Q82" i="163"/>
  <c r="Q102" i="163"/>
  <c r="M163" i="199"/>
  <c r="M47" i="199"/>
  <c r="M23" i="163"/>
  <c r="M19" i="161"/>
  <c r="M67" i="199"/>
  <c r="M69" i="199" s="1"/>
  <c r="M35" i="163"/>
  <c r="M81" i="163"/>
  <c r="M99" i="163"/>
  <c r="M80" i="163"/>
  <c r="M98" i="163"/>
  <c r="P30" i="199"/>
  <c r="P162" i="199"/>
  <c r="P164" i="199"/>
  <c r="P80" i="163"/>
  <c r="P98" i="163"/>
  <c r="P83" i="163"/>
  <c r="P103" i="163"/>
  <c r="L162" i="199"/>
  <c r="L30" i="199"/>
  <c r="L20" i="163"/>
  <c r="L18" i="161"/>
  <c r="L164" i="199"/>
  <c r="L23" i="161"/>
  <c r="L24" i="163"/>
  <c r="L79" i="199"/>
  <c r="L81" i="199" s="1"/>
  <c r="L36" i="163"/>
  <c r="L80" i="163"/>
  <c r="L98" i="163"/>
  <c r="L124" i="199"/>
  <c r="L86" i="193" s="1"/>
  <c r="L81" i="163"/>
  <c r="L99" i="163"/>
  <c r="L83" i="163"/>
  <c r="L103" i="163"/>
  <c r="L37" i="195"/>
  <c r="L33" i="195"/>
  <c r="L29" i="195"/>
  <c r="L23" i="195"/>
  <c r="AZ27" i="180" s="1"/>
  <c r="AZ47" i="180" s="1"/>
  <c r="L19" i="195"/>
  <c r="AZ20" i="180" s="1"/>
  <c r="AZ46" i="180" s="1"/>
  <c r="L18" i="195"/>
  <c r="AZ13" i="180" s="1"/>
  <c r="AZ45" i="180" s="1"/>
  <c r="L8" i="195"/>
  <c r="L9" i="195" s="1"/>
  <c r="M12" i="195" s="1"/>
  <c r="L10" i="195"/>
  <c r="L11" i="195"/>
  <c r="O30" i="199"/>
  <c r="O162" i="199"/>
  <c r="O164" i="199"/>
  <c r="O24" i="163"/>
  <c r="O23" i="161"/>
  <c r="O83" i="163"/>
  <c r="O103" i="163"/>
  <c r="O82" i="163"/>
  <c r="O102" i="163"/>
  <c r="K30" i="199"/>
  <c r="K162" i="199"/>
  <c r="K18" i="161"/>
  <c r="K18" i="201" s="1"/>
  <c r="K20" i="163"/>
  <c r="K20" i="203" s="1"/>
  <c r="K164" i="199"/>
  <c r="K23" i="161"/>
  <c r="K23" i="201" s="1"/>
  <c r="O14" i="180" s="1"/>
  <c r="K24" i="163"/>
  <c r="K24" i="203" s="1"/>
  <c r="K79" i="199"/>
  <c r="K81" i="199" s="1"/>
  <c r="K36" i="163"/>
  <c r="K36" i="203" s="1"/>
  <c r="K80" i="163"/>
  <c r="K98" i="163"/>
  <c r="K124" i="199"/>
  <c r="K86" i="193" s="1"/>
  <c r="N30" i="199"/>
  <c r="N162" i="199"/>
  <c r="N20" i="163"/>
  <c r="N18" i="161"/>
  <c r="N164" i="199"/>
  <c r="N23" i="161"/>
  <c r="N24" i="163"/>
  <c r="N79" i="199"/>
  <c r="N81" i="199" s="1"/>
  <c r="N36" i="163"/>
  <c r="N82" i="163"/>
  <c r="N102" i="163"/>
  <c r="N81" i="163"/>
  <c r="N99" i="163"/>
  <c r="J163" i="199"/>
  <c r="J47" i="199"/>
  <c r="J23" i="163"/>
  <c r="J23" i="203" s="1"/>
  <c r="J19" i="161"/>
  <c r="J19" i="201" s="1"/>
  <c r="N12" i="180" s="1"/>
  <c r="J67" i="199"/>
  <c r="J69" i="199" s="1"/>
  <c r="J35" i="163"/>
  <c r="J35" i="203" s="1"/>
  <c r="J99" i="163"/>
  <c r="J81" i="163"/>
  <c r="J103" i="163"/>
  <c r="J83" i="163"/>
  <c r="J80" i="163"/>
  <c r="J98" i="163"/>
  <c r="L47" i="197"/>
  <c r="L46" i="197"/>
  <c r="L46" i="203" s="1"/>
  <c r="L45" i="197"/>
  <c r="L45" i="203" s="1"/>
  <c r="L44" i="197"/>
  <c r="L44" i="203" s="1"/>
  <c r="L43" i="197"/>
  <c r="L38" i="197"/>
  <c r="L38" i="203" s="1"/>
  <c r="L37" i="197"/>
  <c r="L36" i="197"/>
  <c r="L35" i="197"/>
  <c r="L30" i="197"/>
  <c r="L29" i="197"/>
  <c r="L28" i="197"/>
  <c r="L27" i="197"/>
  <c r="L25" i="197"/>
  <c r="L24" i="197"/>
  <c r="L23" i="197"/>
  <c r="L21" i="197"/>
  <c r="L20" i="197"/>
  <c r="L10" i="197"/>
  <c r="L11" i="197"/>
  <c r="L8" i="197"/>
  <c r="L9" i="197" s="1"/>
  <c r="M12" i="197" s="1"/>
  <c r="M48" i="197" s="1"/>
  <c r="Q104" i="199"/>
  <c r="L82" i="199"/>
  <c r="O104" i="199"/>
  <c r="J82" i="199"/>
  <c r="K22" i="197"/>
  <c r="K26" i="197"/>
  <c r="L13" i="192"/>
  <c r="M8" i="192"/>
  <c r="M9" i="192" s="1"/>
  <c r="N12" i="192" s="1"/>
  <c r="M11" i="192"/>
  <c r="M10" i="192"/>
  <c r="M10" i="191"/>
  <c r="M8" i="191"/>
  <c r="M9" i="191" s="1"/>
  <c r="M11" i="191"/>
  <c r="M13" i="191" s="1"/>
  <c r="L7" i="192"/>
  <c r="M8" i="190"/>
  <c r="M11" i="190"/>
  <c r="M10" i="190"/>
  <c r="M6" i="190"/>
  <c r="M9" i="190"/>
  <c r="N12" i="190" s="1"/>
  <c r="P20" i="163"/>
  <c r="P23" i="163"/>
  <c r="Q24" i="163"/>
  <c r="P36" i="163"/>
  <c r="Q23" i="161"/>
  <c r="O21" i="161"/>
  <c r="O27" i="161"/>
  <c r="P18" i="161"/>
  <c r="P19" i="161"/>
  <c r="Q36" i="163"/>
  <c r="Q35" i="163"/>
  <c r="L70" i="199" l="1"/>
  <c r="L72" i="199" s="1"/>
  <c r="L73" i="199" s="1"/>
  <c r="L74" i="199" s="1"/>
  <c r="K35" i="196"/>
  <c r="L35" i="203"/>
  <c r="M72" i="191"/>
  <c r="O25" i="161"/>
  <c r="L20" i="203"/>
  <c r="O28" i="161"/>
  <c r="L36" i="203"/>
  <c r="P53" i="180" s="1"/>
  <c r="L23" i="203"/>
  <c r="N53" i="180"/>
  <c r="K37" i="203"/>
  <c r="O54" i="180" s="1"/>
  <c r="K30" i="163"/>
  <c r="K30" i="203" s="1"/>
  <c r="L31" i="202"/>
  <c r="M31" i="162"/>
  <c r="Q31" i="162"/>
  <c r="O31" i="162"/>
  <c r="P31" i="162"/>
  <c r="N31" i="162"/>
  <c r="L49" i="202"/>
  <c r="L51" i="202" s="1"/>
  <c r="P33" i="180" s="1"/>
  <c r="P49" i="162"/>
  <c r="N49" i="162"/>
  <c r="M49" i="162"/>
  <c r="Q49" i="162"/>
  <c r="O49" i="162"/>
  <c r="M7" i="191"/>
  <c r="J66" i="196"/>
  <c r="J68" i="196" s="1"/>
  <c r="J69" i="196" s="1"/>
  <c r="P100" i="163"/>
  <c r="J109" i="199"/>
  <c r="J110" i="199" s="1"/>
  <c r="K109" i="199"/>
  <c r="L109" i="199"/>
  <c r="L110" i="199" s="1"/>
  <c r="L113" i="199" s="1"/>
  <c r="L114" i="199" s="1"/>
  <c r="L27" i="163" s="1"/>
  <c r="K82" i="199"/>
  <c r="K84" i="199" s="1"/>
  <c r="K85" i="199" s="1"/>
  <c r="K86" i="199" s="1"/>
  <c r="L24" i="203"/>
  <c r="K62" i="196"/>
  <c r="K62" i="202" s="1"/>
  <c r="M13" i="190"/>
  <c r="P58" i="180"/>
  <c r="J55" i="196"/>
  <c r="K31" i="195"/>
  <c r="K35" i="195" s="1"/>
  <c r="K39" i="195" s="1"/>
  <c r="O58" i="180"/>
  <c r="K21" i="201"/>
  <c r="K25" i="201" s="1"/>
  <c r="O11" i="180"/>
  <c r="O53" i="180"/>
  <c r="O57" i="180"/>
  <c r="M7" i="190"/>
  <c r="M13" i="192"/>
  <c r="L21" i="196"/>
  <c r="M73" i="191"/>
  <c r="K53" i="196"/>
  <c r="K55" i="196" s="1"/>
  <c r="L49" i="197"/>
  <c r="L43" i="203"/>
  <c r="P57" i="180" s="1"/>
  <c r="L23" i="201"/>
  <c r="P14" i="180" s="1"/>
  <c r="L19" i="201"/>
  <c r="P12" i="180" s="1"/>
  <c r="L37" i="203"/>
  <c r="P54" i="180" s="1"/>
  <c r="L25" i="196"/>
  <c r="L51" i="196"/>
  <c r="M60" i="196"/>
  <c r="M60" i="202" s="1"/>
  <c r="Q39" i="180" s="1"/>
  <c r="M50" i="196"/>
  <c r="M50" i="202" s="1"/>
  <c r="M48" i="196"/>
  <c r="M42" i="196"/>
  <c r="M40" i="196"/>
  <c r="M32" i="196"/>
  <c r="M32" i="202" s="1"/>
  <c r="M30" i="196"/>
  <c r="M24" i="196"/>
  <c r="M24" i="202" s="1"/>
  <c r="M22" i="196"/>
  <c r="M63" i="196"/>
  <c r="M63" i="202" s="1"/>
  <c r="M59" i="196"/>
  <c r="M49" i="196"/>
  <c r="M43" i="196"/>
  <c r="M43" i="202" s="1"/>
  <c r="M41" i="196"/>
  <c r="M39" i="196"/>
  <c r="M31" i="196"/>
  <c r="M29" i="196"/>
  <c r="M23" i="196"/>
  <c r="M20" i="196"/>
  <c r="Q85" i="163"/>
  <c r="Q100" i="163"/>
  <c r="L18" i="201"/>
  <c r="L33" i="196"/>
  <c r="L44" i="196"/>
  <c r="K74" i="196"/>
  <c r="J67" i="163"/>
  <c r="J30" i="203"/>
  <c r="P74" i="163"/>
  <c r="Q66" i="163"/>
  <c r="J66" i="163"/>
  <c r="J29" i="203"/>
  <c r="K66" i="163"/>
  <c r="K29" i="203"/>
  <c r="L67" i="163"/>
  <c r="L30" i="203"/>
  <c r="L66" i="163"/>
  <c r="L29" i="203"/>
  <c r="P67" i="163"/>
  <c r="Q74" i="163"/>
  <c r="J74" i="163"/>
  <c r="J37" i="203"/>
  <c r="N54" i="180" s="1"/>
  <c r="P66" i="163"/>
  <c r="Q67" i="163"/>
  <c r="L59" i="202"/>
  <c r="P38" i="180" s="1"/>
  <c r="J51" i="197"/>
  <c r="N72" i="163"/>
  <c r="P73" i="163"/>
  <c r="N73" i="163"/>
  <c r="K73" i="163"/>
  <c r="L73" i="163"/>
  <c r="J21" i="201"/>
  <c r="J25" i="201" s="1"/>
  <c r="J73" i="163"/>
  <c r="M73" i="163"/>
  <c r="L33" i="202"/>
  <c r="P29" i="180" s="1"/>
  <c r="Q75" i="163"/>
  <c r="L73" i="196"/>
  <c r="L74" i="196" s="1"/>
  <c r="P75" i="163"/>
  <c r="L44" i="202"/>
  <c r="P32" i="180" s="1"/>
  <c r="K53" i="202"/>
  <c r="L21" i="195"/>
  <c r="L25" i="195" s="1"/>
  <c r="L13" i="197"/>
  <c r="K31" i="197"/>
  <c r="L7" i="197"/>
  <c r="L6" i="195"/>
  <c r="L13" i="195"/>
  <c r="N12" i="191"/>
  <c r="N10" i="191" s="1"/>
  <c r="M6" i="191"/>
  <c r="L6" i="197"/>
  <c r="L22" i="197"/>
  <c r="L26" i="197"/>
  <c r="L6" i="196"/>
  <c r="M6" i="192"/>
  <c r="L84" i="199"/>
  <c r="L85" i="199" s="1"/>
  <c r="L86" i="199" s="1"/>
  <c r="L30" i="162"/>
  <c r="J39" i="163"/>
  <c r="J72" i="163"/>
  <c r="N33" i="199"/>
  <c r="K59" i="162"/>
  <c r="K33" i="199"/>
  <c r="M37" i="195"/>
  <c r="M33" i="195"/>
  <c r="M29" i="195"/>
  <c r="M23" i="195"/>
  <c r="M19" i="195"/>
  <c r="M18" i="195"/>
  <c r="M10" i="195"/>
  <c r="M8" i="195"/>
  <c r="M11" i="195"/>
  <c r="M9" i="195"/>
  <c r="M6" i="195" s="1"/>
  <c r="M7" i="195"/>
  <c r="L59" i="162"/>
  <c r="L21" i="161"/>
  <c r="L25" i="161" s="1"/>
  <c r="P33" i="199"/>
  <c r="M72" i="163"/>
  <c r="J48" i="162"/>
  <c r="J51" i="162" s="1"/>
  <c r="J33" i="199"/>
  <c r="K48" i="162"/>
  <c r="K51" i="162" s="1"/>
  <c r="K165" i="199"/>
  <c r="K27" i="161"/>
  <c r="O50" i="199"/>
  <c r="L39" i="163"/>
  <c r="L72" i="163"/>
  <c r="M33" i="199"/>
  <c r="L39" i="197"/>
  <c r="L7" i="195"/>
  <c r="J84" i="199"/>
  <c r="J85" i="199" s="1"/>
  <c r="J86" i="199" s="1"/>
  <c r="J30" i="162"/>
  <c r="K30" i="162"/>
  <c r="M47" i="197"/>
  <c r="M46" i="197"/>
  <c r="M46" i="203" s="1"/>
  <c r="M45" i="197"/>
  <c r="M45" i="203" s="1"/>
  <c r="M44" i="197"/>
  <c r="M44" i="203" s="1"/>
  <c r="M43" i="197"/>
  <c r="M38" i="197"/>
  <c r="M37" i="197"/>
  <c r="M36" i="197"/>
  <c r="M36" i="203" s="1"/>
  <c r="M35" i="197"/>
  <c r="M35" i="203" s="1"/>
  <c r="M30" i="197"/>
  <c r="M29" i="197"/>
  <c r="M28" i="197"/>
  <c r="M27" i="197"/>
  <c r="M25" i="197"/>
  <c r="M24" i="197"/>
  <c r="M24" i="203" s="1"/>
  <c r="M23" i="197"/>
  <c r="M23" i="203" s="1"/>
  <c r="M21" i="197"/>
  <c r="M20" i="197"/>
  <c r="M20" i="203" s="1"/>
  <c r="M10" i="197"/>
  <c r="M8" i="197"/>
  <c r="M9" i="197" s="1"/>
  <c r="M6" i="197" s="1"/>
  <c r="M11" i="197"/>
  <c r="J165" i="199"/>
  <c r="J27" i="161"/>
  <c r="J50" i="199"/>
  <c r="N166" i="199"/>
  <c r="N28" i="161"/>
  <c r="N21" i="161"/>
  <c r="N25" i="161" s="1"/>
  <c r="K166" i="199"/>
  <c r="K28" i="161"/>
  <c r="K21" i="161"/>
  <c r="K25" i="161" s="1"/>
  <c r="AY51" i="180" s="1"/>
  <c r="O33" i="199"/>
  <c r="L166" i="199"/>
  <c r="L28" i="161"/>
  <c r="L33" i="199"/>
  <c r="M165" i="199"/>
  <c r="M27" i="161"/>
  <c r="M50" i="199"/>
  <c r="Q33" i="199"/>
  <c r="J59" i="162"/>
  <c r="J166" i="199"/>
  <c r="J28" i="161"/>
  <c r="J21" i="161"/>
  <c r="J25" i="161" s="1"/>
  <c r="AX51" i="180" s="1"/>
  <c r="N13" i="180"/>
  <c r="N15" i="180" s="1"/>
  <c r="N165" i="199"/>
  <c r="N27" i="161"/>
  <c r="N50" i="199"/>
  <c r="K39" i="163"/>
  <c r="K72" i="163"/>
  <c r="K76" i="163" s="1"/>
  <c r="K50" i="199"/>
  <c r="M72" i="196"/>
  <c r="M8" i="196"/>
  <c r="M9" i="196" s="1"/>
  <c r="M6" i="196" s="1"/>
  <c r="M11" i="196"/>
  <c r="M73" i="196"/>
  <c r="M10" i="196"/>
  <c r="L48" i="162"/>
  <c r="L51" i="162" s="1"/>
  <c r="L165" i="199"/>
  <c r="L27" i="161"/>
  <c r="L50" i="199"/>
  <c r="L39" i="162" s="1"/>
  <c r="P50" i="199"/>
  <c r="M166" i="199"/>
  <c r="M28" i="161"/>
  <c r="M21" i="161"/>
  <c r="M25" i="161" s="1"/>
  <c r="Q50" i="199"/>
  <c r="Q52" i="199" s="1"/>
  <c r="J70" i="199"/>
  <c r="K110" i="199"/>
  <c r="L13" i="196"/>
  <c r="M7" i="192"/>
  <c r="N11" i="190"/>
  <c r="N7" i="190" s="1"/>
  <c r="N8" i="190"/>
  <c r="N9" i="190" s="1"/>
  <c r="N10" i="190"/>
  <c r="N13" i="190" s="1"/>
  <c r="N10" i="192"/>
  <c r="N13" i="192" s="1"/>
  <c r="N11" i="192"/>
  <c r="N7" i="192" s="1"/>
  <c r="N8" i="192"/>
  <c r="N9" i="192" s="1"/>
  <c r="Q23" i="163"/>
  <c r="Q39" i="163"/>
  <c r="P39" i="163"/>
  <c r="Q20" i="163"/>
  <c r="Q28" i="161"/>
  <c r="Q73" i="163"/>
  <c r="P21" i="161"/>
  <c r="P25" i="161" s="1"/>
  <c r="Q27" i="161"/>
  <c r="P28" i="161"/>
  <c r="O29" i="161"/>
  <c r="P27" i="161"/>
  <c r="L29" i="162"/>
  <c r="Q19" i="161"/>
  <c r="Q18" i="161"/>
  <c r="O72" i="163"/>
  <c r="L167" i="199" l="1"/>
  <c r="N55" i="180"/>
  <c r="K67" i="163"/>
  <c r="M21" i="196"/>
  <c r="Q35" i="199"/>
  <c r="P55" i="180"/>
  <c r="M31" i="202"/>
  <c r="M49" i="202"/>
  <c r="O55" i="180"/>
  <c r="L33" i="161"/>
  <c r="L60" i="163" s="1"/>
  <c r="O12" i="192"/>
  <c r="O11" i="192" s="1"/>
  <c r="O7" i="192" s="1"/>
  <c r="N6" i="192"/>
  <c r="O12" i="190"/>
  <c r="O11" i="190" s="1"/>
  <c r="O7" i="190" s="1"/>
  <c r="N6" i="190"/>
  <c r="M7" i="197"/>
  <c r="M35" i="199"/>
  <c r="Q29" i="199"/>
  <c r="P35" i="199"/>
  <c r="N35" i="199"/>
  <c r="K64" i="196"/>
  <c r="K66" i="196" s="1"/>
  <c r="K68" i="196" s="1"/>
  <c r="K69" i="196" s="1"/>
  <c r="P29" i="199"/>
  <c r="P31" i="199" s="1"/>
  <c r="O35" i="199"/>
  <c r="M52" i="199"/>
  <c r="P46" i="199"/>
  <c r="P48" i="199" s="1"/>
  <c r="O52" i="199"/>
  <c r="Q46" i="199"/>
  <c r="Q48" i="199" s="1"/>
  <c r="P52" i="199"/>
  <c r="N52" i="199"/>
  <c r="L27" i="203"/>
  <c r="L97" i="163"/>
  <c r="L95" i="163"/>
  <c r="M18" i="201"/>
  <c r="Q11" i="180" s="1"/>
  <c r="BA13" i="180"/>
  <c r="BA45" i="180" s="1"/>
  <c r="M23" i="201"/>
  <c r="Q14" i="180" s="1"/>
  <c r="BA27" i="180"/>
  <c r="BA47" i="180" s="1"/>
  <c r="L21" i="201"/>
  <c r="L25" i="201" s="1"/>
  <c r="P11" i="180"/>
  <c r="P13" i="180" s="1"/>
  <c r="P15" i="180" s="1"/>
  <c r="Q53" i="180"/>
  <c r="Q58" i="180"/>
  <c r="M19" i="201"/>
  <c r="Q12" i="180" s="1"/>
  <c r="BA20" i="180"/>
  <c r="BA46" i="180" s="1"/>
  <c r="L31" i="195"/>
  <c r="L35" i="195" s="1"/>
  <c r="L39" i="195" s="1"/>
  <c r="AZ51" i="180"/>
  <c r="N194" i="199"/>
  <c r="N195" i="199" s="1"/>
  <c r="N37" i="163" s="1"/>
  <c r="N46" i="199"/>
  <c r="N48" i="199" s="1"/>
  <c r="N29" i="199"/>
  <c r="N31" i="199" s="1"/>
  <c r="N200" i="199"/>
  <c r="N201" i="199" s="1"/>
  <c r="N30" i="163" s="1"/>
  <c r="N188" i="199"/>
  <c r="N189" i="199" s="1"/>
  <c r="N29" i="163" s="1"/>
  <c r="N212" i="199"/>
  <c r="N213" i="199" s="1"/>
  <c r="N48" i="163" s="1"/>
  <c r="M23" i="162"/>
  <c r="M23" i="202" s="1"/>
  <c r="L64" i="163"/>
  <c r="N8" i="191"/>
  <c r="N9" i="191" s="1"/>
  <c r="O12" i="191" s="1"/>
  <c r="N11" i="191"/>
  <c r="N6" i="191"/>
  <c r="L29" i="161"/>
  <c r="L29" i="201" s="1"/>
  <c r="P16" i="180" s="1"/>
  <c r="L76" i="163"/>
  <c r="L53" i="196"/>
  <c r="M33" i="196"/>
  <c r="M44" i="196"/>
  <c r="M25" i="196"/>
  <c r="M51" i="196"/>
  <c r="L35" i="196"/>
  <c r="M43" i="203"/>
  <c r="Q57" i="180" s="1"/>
  <c r="M49" i="197"/>
  <c r="N72" i="191"/>
  <c r="N71" i="191"/>
  <c r="J70" i="196"/>
  <c r="J76" i="163"/>
  <c r="L53" i="202"/>
  <c r="K51" i="197"/>
  <c r="K94" i="163"/>
  <c r="L94" i="163"/>
  <c r="J94" i="163"/>
  <c r="M13" i="196"/>
  <c r="M13" i="197"/>
  <c r="L31" i="197"/>
  <c r="L33" i="162"/>
  <c r="M13" i="195"/>
  <c r="N12" i="196"/>
  <c r="N10" i="196" s="1"/>
  <c r="M7" i="196"/>
  <c r="N12" i="197"/>
  <c r="N48" i="197" s="1"/>
  <c r="M22" i="197"/>
  <c r="M26" i="197"/>
  <c r="N12" i="195"/>
  <c r="N37" i="195" s="1"/>
  <c r="M21" i="195"/>
  <c r="M25" i="195" s="1"/>
  <c r="Q58" i="199"/>
  <c r="K113" i="199"/>
  <c r="K167" i="199"/>
  <c r="K168" i="199" s="1"/>
  <c r="K170" i="199" s="1"/>
  <c r="K174" i="199" s="1"/>
  <c r="K33" i="161"/>
  <c r="K70" i="199"/>
  <c r="J72" i="199"/>
  <c r="J73" i="199" s="1"/>
  <c r="J74" i="199" s="1"/>
  <c r="J29" i="162"/>
  <c r="J33" i="162" s="1"/>
  <c r="P58" i="199"/>
  <c r="L48" i="199"/>
  <c r="L58" i="199"/>
  <c r="K58" i="199"/>
  <c r="K48" i="199"/>
  <c r="K39" i="162"/>
  <c r="Q41" i="199"/>
  <c r="M58" i="199"/>
  <c r="L31" i="199"/>
  <c r="L41" i="199"/>
  <c r="L23" i="162"/>
  <c r="O41" i="199"/>
  <c r="J48" i="199"/>
  <c r="J58" i="199"/>
  <c r="J39" i="162"/>
  <c r="J113" i="199"/>
  <c r="J114" i="199" s="1"/>
  <c r="J167" i="199"/>
  <c r="J168" i="199" s="1"/>
  <c r="J170" i="199" s="1"/>
  <c r="J174" i="199" s="1"/>
  <c r="J33" i="161"/>
  <c r="M41" i="199"/>
  <c r="O58" i="199"/>
  <c r="J41" i="199"/>
  <c r="J31" i="199"/>
  <c r="J23" i="162"/>
  <c r="K31" i="199"/>
  <c r="K41" i="199"/>
  <c r="K23" i="162"/>
  <c r="N41" i="199"/>
  <c r="N29" i="161"/>
  <c r="M39" i="197"/>
  <c r="L168" i="199"/>
  <c r="L170" i="199" s="1"/>
  <c r="L174" i="199" s="1"/>
  <c r="N58" i="199"/>
  <c r="N24" i="197"/>
  <c r="N24" i="203" s="1"/>
  <c r="P41" i="199"/>
  <c r="M74" i="196"/>
  <c r="M29" i="161"/>
  <c r="O13" i="180"/>
  <c r="O15" i="180" s="1"/>
  <c r="J29" i="161"/>
  <c r="K29" i="161"/>
  <c r="K31" i="161" s="1"/>
  <c r="Q29" i="161"/>
  <c r="P29" i="161"/>
  <c r="Q21" i="161"/>
  <c r="Q25" i="161" s="1"/>
  <c r="P72" i="163"/>
  <c r="P76" i="163" s="1"/>
  <c r="P94" i="163"/>
  <c r="N8" i="195" l="1"/>
  <c r="N9" i="195" s="1"/>
  <c r="O12" i="195" s="1"/>
  <c r="O19" i="195" s="1"/>
  <c r="N23" i="195"/>
  <c r="O10" i="192"/>
  <c r="O13" i="192" s="1"/>
  <c r="N29" i="195"/>
  <c r="N11" i="195"/>
  <c r="L33" i="201"/>
  <c r="P18" i="180" s="1"/>
  <c r="O10" i="190"/>
  <c r="O13" i="190" s="1"/>
  <c r="N6" i="195"/>
  <c r="N18" i="195"/>
  <c r="BB13" i="180" s="1"/>
  <c r="BB45" i="180" s="1"/>
  <c r="N33" i="195"/>
  <c r="O8" i="190"/>
  <c r="N10" i="195"/>
  <c r="N13" i="195" s="1"/>
  <c r="N19" i="195"/>
  <c r="BB20" i="180" s="1"/>
  <c r="BB46" i="180" s="1"/>
  <c r="N8" i="196"/>
  <c r="N9" i="196" s="1"/>
  <c r="O12" i="196" s="1"/>
  <c r="O50" i="196" s="1"/>
  <c r="O50" i="202" s="1"/>
  <c r="N8" i="197"/>
  <c r="N9" i="197" s="1"/>
  <c r="O12" i="197" s="1"/>
  <c r="O48" i="197" s="1"/>
  <c r="N47" i="197"/>
  <c r="M35" i="196"/>
  <c r="O8" i="192"/>
  <c r="N35" i="197"/>
  <c r="N35" i="203" s="1"/>
  <c r="N10" i="197"/>
  <c r="O9" i="190"/>
  <c r="O6" i="190" s="1"/>
  <c r="O9" i="192"/>
  <c r="O6" i="192" s="1"/>
  <c r="N11" i="197"/>
  <c r="N21" i="197"/>
  <c r="N27" i="197"/>
  <c r="N43" i="197"/>
  <c r="N11" i="196"/>
  <c r="P12" i="190"/>
  <c r="P10" i="190" s="1"/>
  <c r="P13" i="190" s="1"/>
  <c r="P12" i="192"/>
  <c r="P11" i="192" s="1"/>
  <c r="N13" i="197"/>
  <c r="N13" i="191"/>
  <c r="N7" i="191"/>
  <c r="N6" i="196"/>
  <c r="N7" i="197"/>
  <c r="N6" i="197"/>
  <c r="N20" i="197"/>
  <c r="N20" i="203" s="1"/>
  <c r="N23" i="197"/>
  <c r="N23" i="203" s="1"/>
  <c r="N25" i="197"/>
  <c r="N26" i="197" s="1"/>
  <c r="N29" i="197"/>
  <c r="N29" i="203" s="1"/>
  <c r="N37" i="197"/>
  <c r="N45" i="197"/>
  <c r="N45" i="203" s="1"/>
  <c r="N7" i="196"/>
  <c r="N13" i="196"/>
  <c r="L61" i="196"/>
  <c r="L62" i="196" s="1"/>
  <c r="L62" i="202" s="1"/>
  <c r="N28" i="197"/>
  <c r="N30" i="197"/>
  <c r="N30" i="203" s="1"/>
  <c r="N36" i="197"/>
  <c r="N36" i="203" s="1"/>
  <c r="R53" i="180" s="1"/>
  <c r="N38" i="197"/>
  <c r="N44" i="197"/>
  <c r="N44" i="203" s="1"/>
  <c r="N46" i="197"/>
  <c r="N46" i="203" s="1"/>
  <c r="M21" i="201"/>
  <c r="M25" i="201" s="1"/>
  <c r="N48" i="203"/>
  <c r="R60" i="180" s="1"/>
  <c r="O71" i="191"/>
  <c r="O8" i="191"/>
  <c r="O9" i="191" s="1"/>
  <c r="O11" i="191"/>
  <c r="O10" i="191"/>
  <c r="O13" i="191" s="1"/>
  <c r="O72" i="191"/>
  <c r="O7" i="191"/>
  <c r="N7" i="195"/>
  <c r="P17" i="180"/>
  <c r="N23" i="201"/>
  <c r="R14" i="180" s="1"/>
  <c r="BB27" i="180"/>
  <c r="BB47" i="180" s="1"/>
  <c r="M31" i="195"/>
  <c r="M35" i="195" s="1"/>
  <c r="M39" i="195" s="1"/>
  <c r="BA51" i="180"/>
  <c r="Q13" i="180"/>
  <c r="Q15" i="180" s="1"/>
  <c r="N19" i="201"/>
  <c r="R12" i="180" s="1"/>
  <c r="K61" i="163"/>
  <c r="N100" i="163"/>
  <c r="N85" i="163"/>
  <c r="N73" i="191"/>
  <c r="L55" i="196"/>
  <c r="L31" i="201"/>
  <c r="N37" i="203"/>
  <c r="M53" i="196"/>
  <c r="N43" i="203"/>
  <c r="O24" i="196"/>
  <c r="O24" i="202" s="1"/>
  <c r="O31" i="196"/>
  <c r="O31" i="202" s="1"/>
  <c r="N63" i="196"/>
  <c r="N59" i="196"/>
  <c r="I83" i="193" s="1"/>
  <c r="M121" i="199" s="1"/>
  <c r="M83" i="193" s="1"/>
  <c r="N49" i="196"/>
  <c r="N49" i="202" s="1"/>
  <c r="N43" i="196"/>
  <c r="N41" i="196"/>
  <c r="I73" i="193" s="1"/>
  <c r="M112" i="199" s="1"/>
  <c r="N39" i="196"/>
  <c r="I38" i="193" s="1"/>
  <c r="N31" i="196"/>
  <c r="N31" i="202" s="1"/>
  <c r="N29" i="196"/>
  <c r="I49" i="193" s="1"/>
  <c r="M66" i="199" s="1"/>
  <c r="M70" i="199" s="1"/>
  <c r="N66" i="199" s="1"/>
  <c r="N70" i="199" s="1"/>
  <c r="N72" i="199" s="1"/>
  <c r="N73" i="199" s="1"/>
  <c r="N74" i="199" s="1"/>
  <c r="N23" i="196"/>
  <c r="I33" i="193" s="1"/>
  <c r="N20" i="196"/>
  <c r="N60" i="196"/>
  <c r="N50" i="196"/>
  <c r="N48" i="196"/>
  <c r="I64" i="193" s="1"/>
  <c r="M95" i="199" s="1"/>
  <c r="M64" i="193" s="1"/>
  <c r="N42" i="196"/>
  <c r="I90" i="193" s="1"/>
  <c r="M128" i="199" s="1"/>
  <c r="N40" i="196"/>
  <c r="I110" i="193" s="1"/>
  <c r="M178" i="199" s="1"/>
  <c r="N32" i="196"/>
  <c r="N30" i="196"/>
  <c r="I54" i="193" s="1"/>
  <c r="M78" i="199" s="1"/>
  <c r="M82" i="199" s="1"/>
  <c r="N78" i="199" s="1"/>
  <c r="N82" i="199" s="1"/>
  <c r="N30" i="162" s="1"/>
  <c r="N30" i="202" s="1"/>
  <c r="N24" i="196"/>
  <c r="N22" i="196"/>
  <c r="O20" i="196" s="1"/>
  <c r="K70" i="196"/>
  <c r="N66" i="163"/>
  <c r="N67" i="163"/>
  <c r="L51" i="197"/>
  <c r="K29" i="201"/>
  <c r="J31" i="161"/>
  <c r="J35" i="161" s="1"/>
  <c r="J29" i="201"/>
  <c r="M29" i="201"/>
  <c r="N29" i="201"/>
  <c r="J33" i="201"/>
  <c r="N18" i="180" s="1"/>
  <c r="K33" i="201"/>
  <c r="O18" i="180" s="1"/>
  <c r="M31" i="197"/>
  <c r="M51" i="197" s="1"/>
  <c r="K35" i="161"/>
  <c r="N74" i="163"/>
  <c r="P57" i="199"/>
  <c r="P49" i="199"/>
  <c r="P55" i="199" s="1"/>
  <c r="P56" i="199" s="1"/>
  <c r="Q57" i="199"/>
  <c r="Q49" i="199"/>
  <c r="Q55" i="199" s="1"/>
  <c r="Q56" i="199" s="1"/>
  <c r="N40" i="199"/>
  <c r="N32" i="199"/>
  <c r="P40" i="199"/>
  <c r="P32" i="199"/>
  <c r="P38" i="199" s="1"/>
  <c r="P39" i="199" s="1"/>
  <c r="K40" i="199"/>
  <c r="K32" i="199"/>
  <c r="J60" i="163"/>
  <c r="J115" i="199"/>
  <c r="J41" i="162" s="1"/>
  <c r="J27" i="163"/>
  <c r="J27" i="203" s="1"/>
  <c r="L40" i="199"/>
  <c r="L32" i="199"/>
  <c r="L57" i="199"/>
  <c r="L49" i="199"/>
  <c r="K72" i="199"/>
  <c r="K73" i="199" s="1"/>
  <c r="K74" i="199" s="1"/>
  <c r="K29" i="162"/>
  <c r="K33" i="162" s="1"/>
  <c r="K179" i="199"/>
  <c r="L180" i="199" s="1"/>
  <c r="K37" i="161"/>
  <c r="Q31" i="199"/>
  <c r="J61" i="163"/>
  <c r="O37" i="195"/>
  <c r="O23" i="195"/>
  <c r="O10" i="195"/>
  <c r="O13" i="195" s="1"/>
  <c r="O46" i="197"/>
  <c r="O46" i="203" s="1"/>
  <c r="O38" i="197"/>
  <c r="O30" i="197"/>
  <c r="O25" i="197"/>
  <c r="O20" i="197"/>
  <c r="O20" i="203" s="1"/>
  <c r="O13" i="197"/>
  <c r="N57" i="199"/>
  <c r="N49" i="199"/>
  <c r="O73" i="196"/>
  <c r="L179" i="199"/>
  <c r="L37" i="161"/>
  <c r="J40" i="199"/>
  <c r="J32" i="199"/>
  <c r="J179" i="199"/>
  <c r="K180" i="199" s="1"/>
  <c r="J37" i="161"/>
  <c r="J57" i="199"/>
  <c r="J49" i="199"/>
  <c r="K57" i="199"/>
  <c r="K49" i="199"/>
  <c r="K60" i="163"/>
  <c r="K114" i="199"/>
  <c r="K27" i="163" s="1"/>
  <c r="K27" i="203" s="1"/>
  <c r="P8" i="190"/>
  <c r="P9" i="190" s="1"/>
  <c r="P10" i="192"/>
  <c r="P13" i="192" s="1"/>
  <c r="P8" i="192"/>
  <c r="P9" i="192" s="1"/>
  <c r="Q72" i="163"/>
  <c r="Q76" i="163" s="1"/>
  <c r="Q94" i="163"/>
  <c r="M39" i="162"/>
  <c r="M39" i="202" s="1"/>
  <c r="N23" i="162"/>
  <c r="N23" i="202" s="1"/>
  <c r="L61" i="163"/>
  <c r="L31" i="161"/>
  <c r="L35" i="161" s="1"/>
  <c r="O29" i="195" l="1"/>
  <c r="O29" i="201" s="1"/>
  <c r="S16" i="180" s="1"/>
  <c r="O9" i="195"/>
  <c r="O6" i="195" s="1"/>
  <c r="O33" i="195"/>
  <c r="O11" i="195"/>
  <c r="O7" i="195" s="1"/>
  <c r="O8" i="195"/>
  <c r="O18" i="195"/>
  <c r="N18" i="201"/>
  <c r="N21" i="201" s="1"/>
  <c r="N25" i="201" s="1"/>
  <c r="N31" i="201" s="1"/>
  <c r="O40" i="196"/>
  <c r="O7" i="196"/>
  <c r="O49" i="196"/>
  <c r="O49" i="202" s="1"/>
  <c r="O42" i="196"/>
  <c r="N21" i="195"/>
  <c r="N25" i="195" s="1"/>
  <c r="O43" i="196"/>
  <c r="O43" i="202" s="1"/>
  <c r="P7" i="192"/>
  <c r="O8" i="196"/>
  <c r="O9" i="196" s="1"/>
  <c r="O29" i="196"/>
  <c r="O22" i="196"/>
  <c r="O60" i="196"/>
  <c r="O60" i="202" s="1"/>
  <c r="S39" i="180" s="1"/>
  <c r="M55" i="196"/>
  <c r="O11" i="196"/>
  <c r="O36" i="197"/>
  <c r="O36" i="203" s="1"/>
  <c r="S53" i="180" s="1"/>
  <c r="O39" i="196"/>
  <c r="O59" i="196"/>
  <c r="O30" i="196"/>
  <c r="O48" i="196"/>
  <c r="L35" i="201"/>
  <c r="O8" i="197"/>
  <c r="O21" i="197"/>
  <c r="O27" i="197"/>
  <c r="O35" i="197"/>
  <c r="O35" i="203" s="1"/>
  <c r="O43" i="197"/>
  <c r="O43" i="203" s="1"/>
  <c r="O47" i="197"/>
  <c r="O10" i="196"/>
  <c r="O7" i="197"/>
  <c r="O9" i="197"/>
  <c r="O6" i="197" s="1"/>
  <c r="O23" i="197"/>
  <c r="O23" i="203" s="1"/>
  <c r="O28" i="197"/>
  <c r="O44" i="197"/>
  <c r="O44" i="203" s="1"/>
  <c r="O13" i="196"/>
  <c r="O72" i="196"/>
  <c r="O11" i="197"/>
  <c r="O10" i="197"/>
  <c r="O24" i="197"/>
  <c r="O24" i="203" s="1"/>
  <c r="O29" i="197"/>
  <c r="O37" i="197"/>
  <c r="O45" i="197"/>
  <c r="O45" i="203" s="1"/>
  <c r="O23" i="196"/>
  <c r="O25" i="196" s="1"/>
  <c r="O41" i="196"/>
  <c r="O63" i="196"/>
  <c r="O63" i="202" s="1"/>
  <c r="O32" i="196"/>
  <c r="O32" i="202" s="1"/>
  <c r="P19" i="180"/>
  <c r="P11" i="190"/>
  <c r="O73" i="191"/>
  <c r="N39" i="197"/>
  <c r="P7" i="190"/>
  <c r="N22" i="197"/>
  <c r="R58" i="180"/>
  <c r="N49" i="197"/>
  <c r="R57" i="180"/>
  <c r="Q12" i="192"/>
  <c r="Q10" i="192" s="1"/>
  <c r="P6" i="192"/>
  <c r="Q12" i="190"/>
  <c r="Q9" i="190" s="1"/>
  <c r="Q6" i="190" s="1"/>
  <c r="P6" i="190"/>
  <c r="O6" i="196"/>
  <c r="P12" i="196"/>
  <c r="P12" i="191"/>
  <c r="O6" i="191"/>
  <c r="P12" i="197"/>
  <c r="P48" i="197" s="1"/>
  <c r="P48" i="203" s="1"/>
  <c r="P12" i="195"/>
  <c r="P11" i="195" s="1"/>
  <c r="P25" i="163"/>
  <c r="P26" i="163" s="1"/>
  <c r="N84" i="199"/>
  <c r="N85" i="199" s="1"/>
  <c r="N86" i="199" s="1"/>
  <c r="M72" i="199"/>
  <c r="M73" i="199" s="1"/>
  <c r="M74" i="199" s="1"/>
  <c r="M29" i="162"/>
  <c r="M29" i="202" s="1"/>
  <c r="M124" i="199"/>
  <c r="M86" i="193" s="1"/>
  <c r="L64" i="196"/>
  <c r="M30" i="162"/>
  <c r="M30" i="202" s="1"/>
  <c r="O29" i="199"/>
  <c r="O31" i="199" s="1"/>
  <c r="M29" i="199"/>
  <c r="M31" i="199" s="1"/>
  <c r="O46" i="199"/>
  <c r="O48" i="199" s="1"/>
  <c r="M46" i="199"/>
  <c r="M48" i="199" s="1"/>
  <c r="N24" i="202"/>
  <c r="I135" i="193"/>
  <c r="N32" i="202"/>
  <c r="I136" i="193"/>
  <c r="N50" i="202"/>
  <c r="I138" i="193"/>
  <c r="M206" i="199" s="1"/>
  <c r="M207" i="199" s="1"/>
  <c r="M38" i="163" s="1"/>
  <c r="M38" i="203" s="1"/>
  <c r="N43" i="202"/>
  <c r="I137" i="193"/>
  <c r="N63" i="202"/>
  <c r="N73" i="196"/>
  <c r="M84" i="199"/>
  <c r="M85" i="199" s="1"/>
  <c r="M86" i="199" s="1"/>
  <c r="O78" i="199"/>
  <c r="O82" i="199" s="1"/>
  <c r="O84" i="199" s="1"/>
  <c r="O85" i="199" s="1"/>
  <c r="O86" i="199" s="1"/>
  <c r="I127" i="193"/>
  <c r="N72" i="196"/>
  <c r="N60" i="202"/>
  <c r="R39" i="180" s="1"/>
  <c r="I139" i="193"/>
  <c r="O19" i="201"/>
  <c r="S12" i="180" s="1"/>
  <c r="BC20" i="180"/>
  <c r="BC46" i="180" s="1"/>
  <c r="R16" i="180"/>
  <c r="S58" i="180"/>
  <c r="O18" i="201"/>
  <c r="S11" i="180" s="1"/>
  <c r="BC13" i="180"/>
  <c r="BC45" i="180" s="1"/>
  <c r="O23" i="201"/>
  <c r="S14" i="180" s="1"/>
  <c r="BC27" i="180"/>
  <c r="BC47" i="180" s="1"/>
  <c r="M31" i="201"/>
  <c r="Q16" i="180"/>
  <c r="Q17" i="180" s="1"/>
  <c r="J31" i="201"/>
  <c r="J35" i="201" s="1"/>
  <c r="N16" i="180"/>
  <c r="N17" i="180" s="1"/>
  <c r="N19" i="180" s="1"/>
  <c r="K31" i="201"/>
  <c r="K35" i="201" s="1"/>
  <c r="O16" i="180"/>
  <c r="O17" i="180" s="1"/>
  <c r="N31" i="195"/>
  <c r="N35" i="195" s="1"/>
  <c r="N39" i="195" s="1"/>
  <c r="BB51" i="180"/>
  <c r="N21" i="196"/>
  <c r="O21" i="196"/>
  <c r="O33" i="196"/>
  <c r="M180" i="199"/>
  <c r="M28" i="163" s="1"/>
  <c r="M28" i="203" s="1"/>
  <c r="P63" i="196"/>
  <c r="P63" i="202" s="1"/>
  <c r="P59" i="196"/>
  <c r="P49" i="196"/>
  <c r="P49" i="202" s="1"/>
  <c r="P43" i="196"/>
  <c r="P43" i="202" s="1"/>
  <c r="P41" i="196"/>
  <c r="P39" i="196"/>
  <c r="P31" i="196"/>
  <c r="P31" i="202" s="1"/>
  <c r="P29" i="196"/>
  <c r="P23" i="196"/>
  <c r="P20" i="196"/>
  <c r="P60" i="196"/>
  <c r="P60" i="202" s="1"/>
  <c r="P50" i="196"/>
  <c r="P50" i="202" s="1"/>
  <c r="P48" i="196"/>
  <c r="P42" i="196"/>
  <c r="P40" i="196"/>
  <c r="P32" i="196"/>
  <c r="P32" i="202" s="1"/>
  <c r="P30" i="196"/>
  <c r="P24" i="196"/>
  <c r="P24" i="202" s="1"/>
  <c r="P22" i="196"/>
  <c r="N25" i="196"/>
  <c r="N51" i="196"/>
  <c r="O51" i="196"/>
  <c r="N33" i="196"/>
  <c r="N44" i="196"/>
  <c r="J39" i="161"/>
  <c r="J58" i="163" s="1"/>
  <c r="J37" i="201"/>
  <c r="N20" i="180" s="1"/>
  <c r="L37" i="201"/>
  <c r="K37" i="201"/>
  <c r="O20" i="180" s="1"/>
  <c r="N31" i="197"/>
  <c r="M98" i="199"/>
  <c r="M67" i="193" s="1"/>
  <c r="K115" i="199"/>
  <c r="K41" i="162" s="1"/>
  <c r="O66" i="199"/>
  <c r="O70" i="199" s="1"/>
  <c r="P66" i="199" s="1"/>
  <c r="P70" i="199" s="1"/>
  <c r="N29" i="162"/>
  <c r="P42" i="199"/>
  <c r="Q59" i="199"/>
  <c r="P59" i="199"/>
  <c r="K97" i="163"/>
  <c r="K95" i="163"/>
  <c r="K64" i="163"/>
  <c r="K28" i="163"/>
  <c r="K28" i="203" s="1"/>
  <c r="J181" i="199"/>
  <c r="J40" i="162" s="1"/>
  <c r="J38" i="199"/>
  <c r="J39" i="199" s="1"/>
  <c r="J42" i="199" s="1"/>
  <c r="J21" i="163"/>
  <c r="J21" i="203" s="1"/>
  <c r="J22" i="203" s="1"/>
  <c r="N48" i="180" s="1"/>
  <c r="P72" i="196"/>
  <c r="P10" i="196"/>
  <c r="P73" i="196"/>
  <c r="P13" i="196"/>
  <c r="P11" i="196"/>
  <c r="P7" i="196"/>
  <c r="P8" i="196"/>
  <c r="P9" i="196" s="1"/>
  <c r="N55" i="199"/>
  <c r="N56" i="199" s="1"/>
  <c r="N59" i="199" s="1"/>
  <c r="N25" i="163"/>
  <c r="P47" i="197"/>
  <c r="P45" i="197"/>
  <c r="P45" i="203" s="1"/>
  <c r="P43" i="197"/>
  <c r="P37" i="197"/>
  <c r="P37" i="203" s="1"/>
  <c r="P35" i="197"/>
  <c r="P35" i="203" s="1"/>
  <c r="P29" i="197"/>
  <c r="P29" i="203" s="1"/>
  <c r="P27" i="197"/>
  <c r="P24" i="197"/>
  <c r="P24" i="203" s="1"/>
  <c r="P21" i="197"/>
  <c r="P10" i="197"/>
  <c r="P8" i="197"/>
  <c r="P9" i="197" s="1"/>
  <c r="P18" i="195"/>
  <c r="Q40" i="199"/>
  <c r="Q32" i="199"/>
  <c r="Q38" i="199" s="1"/>
  <c r="Q39" i="199" s="1"/>
  <c r="L28" i="163"/>
  <c r="L28" i="203" s="1"/>
  <c r="K181" i="199"/>
  <c r="O74" i="196"/>
  <c r="O22" i="197"/>
  <c r="O21" i="195"/>
  <c r="O25" i="195" s="1"/>
  <c r="O19" i="180"/>
  <c r="L115" i="199"/>
  <c r="K55" i="199"/>
  <c r="K56" i="199" s="1"/>
  <c r="K59" i="199" s="1"/>
  <c r="K25" i="163"/>
  <c r="K25" i="203" s="1"/>
  <c r="K26" i="203" s="1"/>
  <c r="O49" i="180" s="1"/>
  <c r="J55" i="199"/>
  <c r="J56" i="199" s="1"/>
  <c r="J59" i="199" s="1"/>
  <c r="J25" i="163"/>
  <c r="J25" i="203" s="1"/>
  <c r="J26" i="203" s="1"/>
  <c r="N49" i="180" s="1"/>
  <c r="J59" i="163"/>
  <c r="L55" i="199"/>
  <c r="L56" i="199" s="1"/>
  <c r="L59" i="199" s="1"/>
  <c r="L25" i="163"/>
  <c r="L38" i="199"/>
  <c r="L39" i="199" s="1"/>
  <c r="L42" i="199" s="1"/>
  <c r="L21" i="163"/>
  <c r="J95" i="163"/>
  <c r="J64" i="163"/>
  <c r="J97" i="163"/>
  <c r="K21" i="163"/>
  <c r="K21" i="203" s="1"/>
  <c r="K22" i="203" s="1"/>
  <c r="K38" i="199"/>
  <c r="K39" i="199" s="1"/>
  <c r="K42" i="199" s="1"/>
  <c r="N38" i="199"/>
  <c r="N39" i="199" s="1"/>
  <c r="N42" i="199" s="1"/>
  <c r="N21" i="163"/>
  <c r="J154" i="199"/>
  <c r="Q8" i="192"/>
  <c r="Q9" i="192" s="1"/>
  <c r="Q6" i="192" s="1"/>
  <c r="Q25" i="163"/>
  <c r="P21" i="163"/>
  <c r="M31" i="161"/>
  <c r="K59" i="163"/>
  <c r="K39" i="161"/>
  <c r="M61" i="163"/>
  <c r="N74" i="196" l="1"/>
  <c r="R11" i="180"/>
  <c r="R13" i="180" s="1"/>
  <c r="R15" i="180" s="1"/>
  <c r="P13" i="195"/>
  <c r="P6" i="195"/>
  <c r="P19" i="195"/>
  <c r="P23" i="195"/>
  <c r="P10" i="195"/>
  <c r="P9" i="195"/>
  <c r="Q12" i="195" s="1"/>
  <c r="P29" i="195"/>
  <c r="P29" i="201" s="1"/>
  <c r="P8" i="195"/>
  <c r="P33" i="195"/>
  <c r="P7" i="195"/>
  <c r="P37" i="195"/>
  <c r="O44" i="196"/>
  <c r="S57" i="180"/>
  <c r="O53" i="196"/>
  <c r="Q8" i="190"/>
  <c r="O39" i="197"/>
  <c r="O49" i="197"/>
  <c r="O26" i="197"/>
  <c r="O31" i="197" s="1"/>
  <c r="Q10" i="190"/>
  <c r="Q7" i="190"/>
  <c r="R17" i="180"/>
  <c r="Q13" i="190"/>
  <c r="Q11" i="190"/>
  <c r="Q11" i="192"/>
  <c r="Q13" i="192" s="1"/>
  <c r="P11" i="197"/>
  <c r="P13" i="197" s="1"/>
  <c r="P20" i="197"/>
  <c r="P20" i="203" s="1"/>
  <c r="P23" i="197"/>
  <c r="P23" i="203" s="1"/>
  <c r="P25" i="197"/>
  <c r="P25" i="203" s="1"/>
  <c r="P28" i="197"/>
  <c r="P30" i="197"/>
  <c r="P30" i="203" s="1"/>
  <c r="P36" i="197"/>
  <c r="P36" i="203" s="1"/>
  <c r="P38" i="197"/>
  <c r="P38" i="203" s="1"/>
  <c r="P44" i="197"/>
  <c r="P44" i="203" s="1"/>
  <c r="P46" i="197"/>
  <c r="P46" i="203" s="1"/>
  <c r="P6" i="197"/>
  <c r="Q12" i="197"/>
  <c r="Q48" i="197" s="1"/>
  <c r="Q48" i="203" s="1"/>
  <c r="P6" i="196"/>
  <c r="Q12" i="196"/>
  <c r="Q42" i="196" s="1"/>
  <c r="P72" i="191"/>
  <c r="P71" i="191"/>
  <c r="P10" i="191"/>
  <c r="P13" i="191" s="1"/>
  <c r="P11" i="191"/>
  <c r="P7" i="191" s="1"/>
  <c r="P8" i="191"/>
  <c r="P9" i="191" s="1"/>
  <c r="Q7" i="192"/>
  <c r="P7" i="197"/>
  <c r="L66" i="196"/>
  <c r="L68" i="196" s="1"/>
  <c r="M61" i="196"/>
  <c r="M62" i="196" s="1"/>
  <c r="Q21" i="163"/>
  <c r="M33" i="202"/>
  <c r="Q29" i="180" s="1"/>
  <c r="O21" i="180"/>
  <c r="J41" i="161"/>
  <c r="M33" i="162"/>
  <c r="N21" i="180"/>
  <c r="M75" i="163"/>
  <c r="N121" i="199"/>
  <c r="N83" i="193" s="1"/>
  <c r="M59" i="162"/>
  <c r="M59" i="202" s="1"/>
  <c r="Q38" i="180" s="1"/>
  <c r="M109" i="199"/>
  <c r="M110" i="199" s="1"/>
  <c r="M113" i="199" s="1"/>
  <c r="M114" i="199" s="1"/>
  <c r="J147" i="199"/>
  <c r="J148" i="199" s="1"/>
  <c r="J155" i="199" s="1"/>
  <c r="J129" i="199" s="1"/>
  <c r="O21" i="201"/>
  <c r="O25" i="201" s="1"/>
  <c r="O31" i="201" s="1"/>
  <c r="J62" i="162"/>
  <c r="J64" i="202" s="1"/>
  <c r="O35" i="196"/>
  <c r="O55" i="196" s="1"/>
  <c r="L69" i="196"/>
  <c r="L70" i="196" s="1"/>
  <c r="P78" i="199"/>
  <c r="P82" i="199" s="1"/>
  <c r="Q78" i="199" s="1"/>
  <c r="Q82" i="199" s="1"/>
  <c r="Q30" i="162" s="1"/>
  <c r="O30" i="162"/>
  <c r="O30" i="202" s="1"/>
  <c r="O200" i="199"/>
  <c r="O201" i="199" s="1"/>
  <c r="M200" i="199"/>
  <c r="M201" i="199" s="1"/>
  <c r="O194" i="199"/>
  <c r="O195" i="199" s="1"/>
  <c r="M194" i="199"/>
  <c r="M195" i="199" s="1"/>
  <c r="M37" i="163" s="1"/>
  <c r="O188" i="199"/>
  <c r="O189" i="199" s="1"/>
  <c r="O29" i="163" s="1"/>
  <c r="O66" i="163" s="1"/>
  <c r="M188" i="199"/>
  <c r="M189" i="199" s="1"/>
  <c r="M29" i="163" s="1"/>
  <c r="O49" i="199"/>
  <c r="O57" i="199"/>
  <c r="O32" i="199"/>
  <c r="O40" i="199"/>
  <c r="S13" i="180"/>
  <c r="S15" i="180" s="1"/>
  <c r="S17" i="180" s="1"/>
  <c r="O212" i="199"/>
  <c r="O213" i="199" s="1"/>
  <c r="O48" i="163" s="1"/>
  <c r="O85" i="163" s="1"/>
  <c r="M212" i="199"/>
  <c r="M213" i="199" s="1"/>
  <c r="M48" i="163" s="1"/>
  <c r="M49" i="199"/>
  <c r="M57" i="199"/>
  <c r="M40" i="199"/>
  <c r="M32" i="199"/>
  <c r="N53" i="196"/>
  <c r="P25" i="196"/>
  <c r="P51" i="196"/>
  <c r="N206" i="199"/>
  <c r="N207" i="199" s="1"/>
  <c r="N38" i="163" s="1"/>
  <c r="O206" i="199"/>
  <c r="O207" i="199" s="1"/>
  <c r="O38" i="163" s="1"/>
  <c r="K31" i="203"/>
  <c r="O51" i="180" s="1"/>
  <c r="O48" i="180"/>
  <c r="P18" i="201"/>
  <c r="BD13" i="180"/>
  <c r="BD45" i="180" s="1"/>
  <c r="P23" i="201"/>
  <c r="BD27" i="180"/>
  <c r="BD47" i="180" s="1"/>
  <c r="L39" i="201"/>
  <c r="P20" i="180"/>
  <c r="P21" i="180" s="1"/>
  <c r="N35" i="196"/>
  <c r="O31" i="195"/>
  <c r="O35" i="195" s="1"/>
  <c r="O39" i="195" s="1"/>
  <c r="BC51" i="180"/>
  <c r="P19" i="201"/>
  <c r="BD20" i="180"/>
  <c r="BD46" i="180" s="1"/>
  <c r="K39" i="201"/>
  <c r="Q50" i="196"/>
  <c r="Q50" i="202" s="1"/>
  <c r="Q48" i="196"/>
  <c r="Q32" i="196"/>
  <c r="Q32" i="202" s="1"/>
  <c r="Q30" i="196"/>
  <c r="Q63" i="196"/>
  <c r="Q63" i="202" s="1"/>
  <c r="Q59" i="196"/>
  <c r="Q41" i="196"/>
  <c r="Q39" i="196"/>
  <c r="Q23" i="196"/>
  <c r="Q20" i="196"/>
  <c r="P21" i="196"/>
  <c r="P33" i="196"/>
  <c r="P44" i="196"/>
  <c r="P43" i="203"/>
  <c r="J39" i="201"/>
  <c r="Q22" i="163"/>
  <c r="P22" i="163"/>
  <c r="P21" i="203"/>
  <c r="Q26" i="163"/>
  <c r="N22" i="163"/>
  <c r="N21" i="203"/>
  <c r="N22" i="203" s="1"/>
  <c r="R48" i="180" s="1"/>
  <c r="L22" i="163"/>
  <c r="L21" i="203"/>
  <c r="L22" i="203" s="1"/>
  <c r="P48" i="180" s="1"/>
  <c r="L26" i="163"/>
  <c r="L25" i="203"/>
  <c r="L26" i="203" s="1"/>
  <c r="P49" i="180" s="1"/>
  <c r="N26" i="163"/>
  <c r="N25" i="203"/>
  <c r="N26" i="203" s="1"/>
  <c r="R49" i="180" s="1"/>
  <c r="J31" i="203"/>
  <c r="N51" i="180" s="1"/>
  <c r="N51" i="197"/>
  <c r="O29" i="162"/>
  <c r="K147" i="199"/>
  <c r="K154" i="199" s="1"/>
  <c r="N33" i="162"/>
  <c r="N29" i="202"/>
  <c r="N33" i="202" s="1"/>
  <c r="R29" i="180" s="1"/>
  <c r="Q66" i="199"/>
  <c r="Q70" i="199" s="1"/>
  <c r="Q72" i="199" s="1"/>
  <c r="Q73" i="199" s="1"/>
  <c r="Q74" i="199" s="1"/>
  <c r="P29" i="162"/>
  <c r="N95" i="199"/>
  <c r="N64" i="193" s="1"/>
  <c r="M48" i="162"/>
  <c r="O72" i="199"/>
  <c r="O73" i="199" s="1"/>
  <c r="O74" i="199" s="1"/>
  <c r="L181" i="199"/>
  <c r="Q42" i="199"/>
  <c r="P21" i="195"/>
  <c r="P25" i="195" s="1"/>
  <c r="P22" i="197"/>
  <c r="L41" i="162"/>
  <c r="K22" i="163"/>
  <c r="K62" i="163"/>
  <c r="J26" i="163"/>
  <c r="J63" i="163"/>
  <c r="K26" i="163"/>
  <c r="K63" i="163"/>
  <c r="Q37" i="195"/>
  <c r="Q33" i="195"/>
  <c r="Q29" i="195"/>
  <c r="Q29" i="201" s="1"/>
  <c r="Q23" i="195"/>
  <c r="Q19" i="195"/>
  <c r="Q18" i="195"/>
  <c r="Q8" i="195"/>
  <c r="Q9" i="195"/>
  <c r="Q10" i="195"/>
  <c r="Q6" i="195"/>
  <c r="Q11" i="195"/>
  <c r="Q7" i="195"/>
  <c r="Q13" i="195"/>
  <c r="P72" i="199"/>
  <c r="P73" i="199" s="1"/>
  <c r="P74" i="199" s="1"/>
  <c r="Q47" i="197"/>
  <c r="Q46" i="197"/>
  <c r="Q46" i="203" s="1"/>
  <c r="Q45" i="197"/>
  <c r="Q45" i="203" s="1"/>
  <c r="Q44" i="197"/>
  <c r="Q44" i="203" s="1"/>
  <c r="Q43" i="197"/>
  <c r="Q38" i="197"/>
  <c r="Q38" i="203" s="1"/>
  <c r="Q37" i="197"/>
  <c r="Q37" i="203" s="1"/>
  <c r="Q36" i="197"/>
  <c r="Q36" i="203" s="1"/>
  <c r="Q35" i="197"/>
  <c r="Q35" i="203" s="1"/>
  <c r="Q30" i="197"/>
  <c r="Q30" i="203" s="1"/>
  <c r="Q29" i="197"/>
  <c r="Q29" i="203" s="1"/>
  <c r="Q28" i="197"/>
  <c r="Q27" i="197"/>
  <c r="Q25" i="197"/>
  <c r="Q25" i="203" s="1"/>
  <c r="Q24" i="197"/>
  <c r="Q24" i="203" s="1"/>
  <c r="Q23" i="197"/>
  <c r="Q23" i="203" s="1"/>
  <c r="Q21" i="197"/>
  <c r="Q21" i="203" s="1"/>
  <c r="Q20" i="197"/>
  <c r="Q20" i="203" s="1"/>
  <c r="Q10" i="197"/>
  <c r="Q6" i="197"/>
  <c r="Q11" i="197"/>
  <c r="Q7" i="197"/>
  <c r="Q8" i="197"/>
  <c r="Q13" i="197"/>
  <c r="Q9" i="197"/>
  <c r="Q13" i="196"/>
  <c r="Q9" i="196"/>
  <c r="Q6" i="196"/>
  <c r="Q11" i="196"/>
  <c r="J62" i="163"/>
  <c r="J22" i="163"/>
  <c r="P74" i="196"/>
  <c r="K62" i="162"/>
  <c r="K64" i="202" s="1"/>
  <c r="K40" i="162"/>
  <c r="K41" i="161"/>
  <c r="K58" i="163"/>
  <c r="N31" i="161"/>
  <c r="L63" i="163"/>
  <c r="L62" i="163"/>
  <c r="O23" i="162"/>
  <c r="O23" i="202" s="1"/>
  <c r="N39" i="162"/>
  <c r="N39" i="202" s="1"/>
  <c r="L59" i="163"/>
  <c r="L39" i="161"/>
  <c r="Q10" i="196" l="1"/>
  <c r="Q8" i="196"/>
  <c r="Q29" i="196"/>
  <c r="Q43" i="196"/>
  <c r="Q43" i="202" s="1"/>
  <c r="Q22" i="196"/>
  <c r="Q40" i="196"/>
  <c r="Q60" i="196"/>
  <c r="Q60" i="202" s="1"/>
  <c r="Q7" i="196"/>
  <c r="Q72" i="196"/>
  <c r="Q73" i="196"/>
  <c r="Q74" i="196" s="1"/>
  <c r="H74" i="196" s="1"/>
  <c r="K62" i="135" s="1"/>
  <c r="M62" i="135" s="1"/>
  <c r="P26" i="197"/>
  <c r="P26" i="203" s="1"/>
  <c r="Q31" i="196"/>
  <c r="Q31" i="202" s="1"/>
  <c r="Q49" i="196"/>
  <c r="Q49" i="202" s="1"/>
  <c r="Q24" i="196"/>
  <c r="Q24" i="202" s="1"/>
  <c r="P84" i="199"/>
  <c r="P85" i="199" s="1"/>
  <c r="P86" i="199" s="1"/>
  <c r="O37" i="163"/>
  <c r="O74" i="163" s="1"/>
  <c r="O30" i="163"/>
  <c r="O30" i="203" s="1"/>
  <c r="M30" i="163"/>
  <c r="M67" i="163" s="1"/>
  <c r="P39" i="197"/>
  <c r="P49" i="197"/>
  <c r="P35" i="196"/>
  <c r="O29" i="203"/>
  <c r="P73" i="191"/>
  <c r="P6" i="191"/>
  <c r="Q12" i="191"/>
  <c r="M64" i="196"/>
  <c r="M62" i="202"/>
  <c r="Q30" i="202"/>
  <c r="M33" i="161"/>
  <c r="M33" i="201" s="1"/>
  <c r="M167" i="199"/>
  <c r="M168" i="199" s="1"/>
  <c r="M170" i="199" s="1"/>
  <c r="M174" i="199" s="1"/>
  <c r="M179" i="199" s="1"/>
  <c r="P22" i="203"/>
  <c r="L31" i="163"/>
  <c r="Q84" i="199"/>
  <c r="Q85" i="199" s="1"/>
  <c r="Q86" i="199" s="1"/>
  <c r="N124" i="199"/>
  <c r="N86" i="193" s="1"/>
  <c r="O100" i="163"/>
  <c r="P30" i="162"/>
  <c r="P30" i="202" s="1"/>
  <c r="O33" i="162"/>
  <c r="P53" i="196"/>
  <c r="N55" i="196"/>
  <c r="P21" i="201"/>
  <c r="P25" i="201" s="1"/>
  <c r="P31" i="201" s="1"/>
  <c r="M21" i="163"/>
  <c r="M38" i="199"/>
  <c r="M39" i="199" s="1"/>
  <c r="M42" i="199" s="1"/>
  <c r="M85" i="163"/>
  <c r="M48" i="203"/>
  <c r="Q60" i="180" s="1"/>
  <c r="M100" i="163"/>
  <c r="O38" i="199"/>
  <c r="O39" i="199" s="1"/>
  <c r="O42" i="199" s="1"/>
  <c r="O21" i="163"/>
  <c r="O55" i="199"/>
  <c r="O56" i="199" s="1"/>
  <c r="O59" i="199" s="1"/>
  <c r="O25" i="163"/>
  <c r="O48" i="203"/>
  <c r="S60" i="180" s="1"/>
  <c r="N38" i="203"/>
  <c r="R54" i="180" s="1"/>
  <c r="R55" i="180" s="1"/>
  <c r="N75" i="163"/>
  <c r="N76" i="163" s="1"/>
  <c r="N39" i="163"/>
  <c r="N94" i="163" s="1"/>
  <c r="M55" i="199"/>
  <c r="M56" i="199" s="1"/>
  <c r="M59" i="199" s="1"/>
  <c r="M25" i="163"/>
  <c r="M29" i="203"/>
  <c r="M66" i="163"/>
  <c r="M30" i="203"/>
  <c r="M37" i="203"/>
  <c r="Q54" i="180" s="1"/>
  <c r="Q55" i="180" s="1"/>
  <c r="M74" i="163"/>
  <c r="M76" i="163" s="1"/>
  <c r="M39" i="163"/>
  <c r="M94" i="163" s="1"/>
  <c r="O75" i="163"/>
  <c r="O38" i="203"/>
  <c r="I131" i="193"/>
  <c r="Q19" i="201"/>
  <c r="BE20" i="180"/>
  <c r="BE46" i="180" s="1"/>
  <c r="Q18" i="201"/>
  <c r="BE13" i="180"/>
  <c r="BE45" i="180" s="1"/>
  <c r="Q23" i="201"/>
  <c r="BE27" i="180"/>
  <c r="BE47" i="180" s="1"/>
  <c r="P31" i="195"/>
  <c r="P35" i="195" s="1"/>
  <c r="P39" i="195" s="1"/>
  <c r="BD51" i="180"/>
  <c r="Q21" i="196"/>
  <c r="Q33" i="196"/>
  <c r="Q43" i="203"/>
  <c r="Q49" i="197"/>
  <c r="Q51" i="196"/>
  <c r="L31" i="203"/>
  <c r="P51" i="180" s="1"/>
  <c r="O51" i="197"/>
  <c r="O29" i="202"/>
  <c r="O33" i="202" s="1"/>
  <c r="S29" i="180" s="1"/>
  <c r="L147" i="199"/>
  <c r="L154" i="199" s="1"/>
  <c r="J68" i="163"/>
  <c r="M27" i="163"/>
  <c r="M51" i="162"/>
  <c r="M48" i="202"/>
  <c r="M51" i="202" s="1"/>
  <c r="Q33" i="180" s="1"/>
  <c r="P29" i="202"/>
  <c r="Q39" i="197"/>
  <c r="P31" i="197"/>
  <c r="M115" i="199"/>
  <c r="N98" i="199"/>
  <c r="N67" i="193" s="1"/>
  <c r="I74" i="199"/>
  <c r="K22" i="135" s="1"/>
  <c r="M22" i="135" s="1"/>
  <c r="Q21" i="195"/>
  <c r="Q25" i="195" s="1"/>
  <c r="J31" i="163"/>
  <c r="Q22" i="197"/>
  <c r="Q22" i="203" s="1"/>
  <c r="Q26" i="197"/>
  <c r="Q26" i="203" s="1"/>
  <c r="K31" i="163"/>
  <c r="J138" i="199"/>
  <c r="J130" i="199"/>
  <c r="L40" i="162"/>
  <c r="L62" i="162"/>
  <c r="L64" i="202" s="1"/>
  <c r="Q29" i="162"/>
  <c r="N61" i="163"/>
  <c r="L58" i="163"/>
  <c r="L41" i="161"/>
  <c r="O76" i="163" l="1"/>
  <c r="Q25" i="196"/>
  <c r="Q35" i="196" s="1"/>
  <c r="Q44" i="196"/>
  <c r="Q21" i="201"/>
  <c r="O37" i="203"/>
  <c r="S54" i="180" s="1"/>
  <c r="S55" i="180" s="1"/>
  <c r="P55" i="196"/>
  <c r="O67" i="163"/>
  <c r="I86" i="199"/>
  <c r="K23" i="135" s="1"/>
  <c r="M23" i="135" s="1"/>
  <c r="M35" i="161"/>
  <c r="O39" i="163"/>
  <c r="O94" i="163" s="1"/>
  <c r="Q71" i="191"/>
  <c r="Q72" i="191"/>
  <c r="Q8" i="191"/>
  <c r="Q9" i="191" s="1"/>
  <c r="Q6" i="191" s="1"/>
  <c r="Q10" i="191"/>
  <c r="Q11" i="191"/>
  <c r="Q13" i="191" s="1"/>
  <c r="M66" i="196"/>
  <c r="M68" i="196" s="1"/>
  <c r="N61" i="196"/>
  <c r="M60" i="163"/>
  <c r="M37" i="161"/>
  <c r="M59" i="163" s="1"/>
  <c r="I42" i="199"/>
  <c r="K20" i="135" s="1"/>
  <c r="M20" i="135" s="1"/>
  <c r="P33" i="202"/>
  <c r="O121" i="199"/>
  <c r="O83" i="193" s="1"/>
  <c r="N59" i="162"/>
  <c r="N59" i="202" s="1"/>
  <c r="R38" i="180" s="1"/>
  <c r="P33" i="162"/>
  <c r="O26" i="163"/>
  <c r="O25" i="203"/>
  <c r="O26" i="203" s="1"/>
  <c r="S49" i="180" s="1"/>
  <c r="O22" i="163"/>
  <c r="O21" i="203"/>
  <c r="O22" i="203" s="1"/>
  <c r="S48" i="180" s="1"/>
  <c r="M21" i="203"/>
  <c r="M22" i="203" s="1"/>
  <c r="Q48" i="180" s="1"/>
  <c r="M22" i="163"/>
  <c r="Q25" i="201"/>
  <c r="Q31" i="201" s="1"/>
  <c r="I59" i="199"/>
  <c r="K21" i="135" s="1"/>
  <c r="M21" i="135" s="1"/>
  <c r="M25" i="203"/>
  <c r="M26" i="203" s="1"/>
  <c r="Q49" i="180" s="1"/>
  <c r="M26" i="163"/>
  <c r="Q31" i="195"/>
  <c r="Q35" i="195" s="1"/>
  <c r="Q39" i="195" s="1"/>
  <c r="BE51" i="180"/>
  <c r="M35" i="201"/>
  <c r="Q18" i="180"/>
  <c r="Q19" i="180" s="1"/>
  <c r="Q53" i="196"/>
  <c r="M95" i="163"/>
  <c r="M27" i="203"/>
  <c r="P51" i="197"/>
  <c r="M64" i="163"/>
  <c r="M97" i="163"/>
  <c r="J131" i="199"/>
  <c r="J133" i="199" s="1"/>
  <c r="Q33" i="162"/>
  <c r="Q29" i="202"/>
  <c r="Q33" i="202" s="1"/>
  <c r="N112" i="199"/>
  <c r="M41" i="162"/>
  <c r="M41" i="202" s="1"/>
  <c r="M181" i="199"/>
  <c r="N178" i="199" s="1"/>
  <c r="N180" i="199" s="1"/>
  <c r="N28" i="163" s="1"/>
  <c r="N109" i="199"/>
  <c r="N110" i="199" s="1"/>
  <c r="O95" i="199"/>
  <c r="O64" i="193" s="1"/>
  <c r="N48" i="162"/>
  <c r="Q31" i="197"/>
  <c r="J47" i="163"/>
  <c r="J47" i="203" s="1"/>
  <c r="M63" i="163"/>
  <c r="O39" i="162"/>
  <c r="O39" i="202" s="1"/>
  <c r="P23" i="162"/>
  <c r="P23" i="202" s="1"/>
  <c r="M62" i="163"/>
  <c r="N62" i="196" l="1"/>
  <c r="N62" i="202" s="1"/>
  <c r="Q7" i="191"/>
  <c r="Q73" i="191"/>
  <c r="M69" i="196"/>
  <c r="M70" i="196" s="1"/>
  <c r="M39" i="161"/>
  <c r="M147" i="199" s="1"/>
  <c r="M154" i="199" s="1"/>
  <c r="M37" i="201"/>
  <c r="M39" i="201" s="1"/>
  <c r="Q55" i="196"/>
  <c r="O124" i="199"/>
  <c r="O86" i="193" s="1"/>
  <c r="M31" i="203"/>
  <c r="Q51" i="180" s="1"/>
  <c r="M31" i="163"/>
  <c r="J49" i="203"/>
  <c r="N59" i="180"/>
  <c r="N61" i="180" s="1"/>
  <c r="N28" i="203"/>
  <c r="Q51" i="197"/>
  <c r="J84" i="163"/>
  <c r="J86" i="163" s="1"/>
  <c r="J49" i="163"/>
  <c r="N51" i="162"/>
  <c r="N48" i="202"/>
  <c r="N51" i="202" s="1"/>
  <c r="R33" i="180" s="1"/>
  <c r="O98" i="199"/>
  <c r="O67" i="193" s="1"/>
  <c r="N113" i="199"/>
  <c r="N33" i="161"/>
  <c r="N167" i="199"/>
  <c r="N168" i="199" s="1"/>
  <c r="N170" i="199" s="1"/>
  <c r="N174" i="199" s="1"/>
  <c r="M40" i="162"/>
  <c r="M40" i="202" s="1"/>
  <c r="J134" i="199"/>
  <c r="J135" i="199"/>
  <c r="J42" i="162"/>
  <c r="J44" i="162" s="1"/>
  <c r="N50" i="180"/>
  <c r="O31" i="161"/>
  <c r="J63" i="162"/>
  <c r="J65" i="202" s="1"/>
  <c r="J66" i="202" s="1"/>
  <c r="N40" i="180" s="1"/>
  <c r="N41" i="180" s="1"/>
  <c r="O61" i="163"/>
  <c r="J93" i="163"/>
  <c r="J96" i="163" s="1"/>
  <c r="J101" i="163" s="1"/>
  <c r="N64" i="196" l="1"/>
  <c r="N66" i="196" s="1"/>
  <c r="N68" i="196" s="1"/>
  <c r="O61" i="196"/>
  <c r="M41" i="161"/>
  <c r="M62" i="162"/>
  <c r="M64" i="202" s="1"/>
  <c r="M58" i="163"/>
  <c r="Q20" i="180"/>
  <c r="Q21" i="180" s="1"/>
  <c r="P121" i="199"/>
  <c r="P83" i="193" s="1"/>
  <c r="O59" i="162"/>
  <c r="O59" i="202" s="1"/>
  <c r="S38" i="180" s="1"/>
  <c r="K61" i="202"/>
  <c r="J68" i="202"/>
  <c r="N33" i="201"/>
  <c r="N179" i="199"/>
  <c r="N37" i="161"/>
  <c r="N114" i="199"/>
  <c r="N60" i="163"/>
  <c r="N35" i="161"/>
  <c r="P95" i="199"/>
  <c r="P64" i="193" s="1"/>
  <c r="O48" i="162"/>
  <c r="O109" i="199"/>
  <c r="O110" i="199" s="1"/>
  <c r="J136" i="199"/>
  <c r="N63" i="163"/>
  <c r="N62" i="163"/>
  <c r="Q23" i="162"/>
  <c r="Q23" i="202" s="1"/>
  <c r="P39" i="162"/>
  <c r="P39" i="202" s="1"/>
  <c r="J104" i="163"/>
  <c r="J150" i="199" s="1"/>
  <c r="J151" i="199" s="1"/>
  <c r="P61" i="163"/>
  <c r="O62" i="196" l="1"/>
  <c r="O62" i="202" s="1"/>
  <c r="N69" i="196"/>
  <c r="N70" i="196" s="1"/>
  <c r="P124" i="199"/>
  <c r="P86" i="193" s="1"/>
  <c r="N35" i="201"/>
  <c r="R18" i="180"/>
  <c r="R19" i="180" s="1"/>
  <c r="N27" i="163"/>
  <c r="N27" i="203" s="1"/>
  <c r="O51" i="162"/>
  <c r="O48" i="202"/>
  <c r="O51" i="202" s="1"/>
  <c r="S33" i="180" s="1"/>
  <c r="N37" i="201"/>
  <c r="N115" i="199"/>
  <c r="O112" i="199" s="1"/>
  <c r="N59" i="163"/>
  <c r="N39" i="161"/>
  <c r="P98" i="199"/>
  <c r="P67" i="193" s="1"/>
  <c r="N181" i="199"/>
  <c r="O178" i="199" s="1"/>
  <c r="O180" i="199" s="1"/>
  <c r="O28" i="163" s="1"/>
  <c r="O113" i="199"/>
  <c r="O114" i="199" s="1"/>
  <c r="O167" i="199"/>
  <c r="O168" i="199" s="1"/>
  <c r="O170" i="199" s="1"/>
  <c r="O174" i="199" s="1"/>
  <c r="O33" i="161"/>
  <c r="P31" i="161"/>
  <c r="K65" i="163"/>
  <c r="K68" i="163" s="1"/>
  <c r="O64" i="196" l="1"/>
  <c r="O66" i="196" s="1"/>
  <c r="O68" i="196" s="1"/>
  <c r="P61" i="196"/>
  <c r="P109" i="199"/>
  <c r="P110" i="199" s="1"/>
  <c r="P167" i="199" s="1"/>
  <c r="P168" i="199" s="1"/>
  <c r="P170" i="199" s="1"/>
  <c r="P174" i="199" s="1"/>
  <c r="Q121" i="199"/>
  <c r="Q83" i="193" s="1"/>
  <c r="P59" i="162"/>
  <c r="P59" i="202" s="1"/>
  <c r="N31" i="163"/>
  <c r="N39" i="201"/>
  <c r="R20" i="180"/>
  <c r="R21" i="180" s="1"/>
  <c r="O28" i="203"/>
  <c r="N97" i="163"/>
  <c r="N41" i="162"/>
  <c r="N41" i="202" s="1"/>
  <c r="N95" i="163"/>
  <c r="N64" i="163"/>
  <c r="O27" i="163"/>
  <c r="O33" i="201"/>
  <c r="N147" i="199"/>
  <c r="N154" i="199" s="1"/>
  <c r="N41" i="161"/>
  <c r="N62" i="162"/>
  <c r="N64" i="202" s="1"/>
  <c r="N58" i="163"/>
  <c r="O179" i="199"/>
  <c r="O181" i="199" s="1"/>
  <c r="P178" i="199" s="1"/>
  <c r="O37" i="161"/>
  <c r="N40" i="162"/>
  <c r="N40" i="202" s="1"/>
  <c r="Q95" i="199"/>
  <c r="Q64" i="193" s="1"/>
  <c r="P48" i="162"/>
  <c r="O115" i="199"/>
  <c r="P112" i="199" s="1"/>
  <c r="O60" i="163"/>
  <c r="O35" i="161"/>
  <c r="N63" i="180"/>
  <c r="J51" i="163"/>
  <c r="J88" i="163"/>
  <c r="J109" i="163" s="1"/>
  <c r="J111" i="163" s="1"/>
  <c r="J105" i="163"/>
  <c r="J106" i="163" s="1"/>
  <c r="K93" i="163"/>
  <c r="K96" i="163" s="1"/>
  <c r="K101" i="163" s="1"/>
  <c r="J53" i="162"/>
  <c r="N34" i="180"/>
  <c r="AY38" i="180" s="1"/>
  <c r="O63" i="163"/>
  <c r="O62" i="163"/>
  <c r="Q39" i="162"/>
  <c r="Q39" i="202" s="1"/>
  <c r="P62" i="196" l="1"/>
  <c r="P62" i="202" s="1"/>
  <c r="O69" i="196"/>
  <c r="O70" i="196" s="1"/>
  <c r="P113" i="199"/>
  <c r="P114" i="199" s="1"/>
  <c r="P27" i="163" s="1"/>
  <c r="P33" i="161"/>
  <c r="P35" i="161" s="1"/>
  <c r="Q124" i="199"/>
  <c r="Q86" i="193" s="1"/>
  <c r="O35" i="201"/>
  <c r="S18" i="180"/>
  <c r="S19" i="180" s="1"/>
  <c r="O64" i="163"/>
  <c r="O27" i="203"/>
  <c r="N31" i="203"/>
  <c r="R51" i="180" s="1"/>
  <c r="O95" i="163"/>
  <c r="O31" i="163"/>
  <c r="O97" i="163"/>
  <c r="J39" i="203"/>
  <c r="O37" i="201"/>
  <c r="P51" i="162"/>
  <c r="P48" i="202"/>
  <c r="P51" i="202" s="1"/>
  <c r="O40" i="162"/>
  <c r="O40" i="202" s="1"/>
  <c r="P180" i="199"/>
  <c r="O39" i="161"/>
  <c r="O41" i="162"/>
  <c r="O41" i="202" s="1"/>
  <c r="Q98" i="199"/>
  <c r="Q67" i="193" s="1"/>
  <c r="P179" i="199"/>
  <c r="P37" i="161"/>
  <c r="O59" i="163"/>
  <c r="J108" i="163"/>
  <c r="J21" i="162"/>
  <c r="K104" i="163"/>
  <c r="K150" i="199" s="1"/>
  <c r="O50" i="180"/>
  <c r="P64" i="196" l="1"/>
  <c r="P66" i="196" s="1"/>
  <c r="P68" i="196" s="1"/>
  <c r="Q61" i="196"/>
  <c r="P115" i="199"/>
  <c r="Q112" i="199" s="1"/>
  <c r="P33" i="201"/>
  <c r="P35" i="201" s="1"/>
  <c r="P60" i="163"/>
  <c r="Q59" i="162"/>
  <c r="Q59" i="202" s="1"/>
  <c r="O39" i="201"/>
  <c r="S20" i="180"/>
  <c r="S21" i="180" s="1"/>
  <c r="P64" i="163"/>
  <c r="P27" i="203"/>
  <c r="O31" i="203"/>
  <c r="S51" i="180" s="1"/>
  <c r="P95" i="163"/>
  <c r="J22" i="162"/>
  <c r="K20" i="162" s="1"/>
  <c r="K149" i="199" s="1"/>
  <c r="K151" i="199" s="1"/>
  <c r="J21" i="202"/>
  <c r="J22" i="202" s="1"/>
  <c r="J51" i="203"/>
  <c r="P97" i="163"/>
  <c r="P37" i="201"/>
  <c r="P28" i="163"/>
  <c r="P28" i="203" s="1"/>
  <c r="P181" i="199"/>
  <c r="Q178" i="199" s="1"/>
  <c r="Q180" i="199"/>
  <c r="O147" i="199"/>
  <c r="O154" i="199" s="1"/>
  <c r="O41" i="161"/>
  <c r="O58" i="163"/>
  <c r="O62" i="162"/>
  <c r="O64" i="202" s="1"/>
  <c r="Q109" i="199"/>
  <c r="Q110" i="199" s="1"/>
  <c r="Q48" i="162"/>
  <c r="J110" i="163"/>
  <c r="J112" i="163"/>
  <c r="J113" i="163"/>
  <c r="P63" i="163"/>
  <c r="L65" i="163"/>
  <c r="L68" i="163" s="1"/>
  <c r="P59" i="163"/>
  <c r="P39" i="161"/>
  <c r="P62" i="163"/>
  <c r="P69" i="196" l="1"/>
  <c r="P70" i="196" s="1"/>
  <c r="Q62" i="196"/>
  <c r="Q62" i="202" s="1"/>
  <c r="P41" i="162"/>
  <c r="P41" i="202" s="1"/>
  <c r="P39" i="201"/>
  <c r="J25" i="162"/>
  <c r="J35" i="162" s="1"/>
  <c r="J55" i="162" s="1"/>
  <c r="J72" i="162"/>
  <c r="P31" i="163"/>
  <c r="J53" i="203"/>
  <c r="Q28" i="163"/>
  <c r="P147" i="199"/>
  <c r="P154" i="199" s="1"/>
  <c r="Q51" i="162"/>
  <c r="Q48" i="202"/>
  <c r="Q51" i="202" s="1"/>
  <c r="P40" i="162"/>
  <c r="P40" i="202" s="1"/>
  <c r="Q167" i="199"/>
  <c r="Q168" i="199" s="1"/>
  <c r="Q170" i="199" s="1"/>
  <c r="Q174" i="199" s="1"/>
  <c r="Q113" i="199"/>
  <c r="Q114" i="199" s="1"/>
  <c r="Q33" i="161"/>
  <c r="P62" i="162"/>
  <c r="P64" i="202" s="1"/>
  <c r="J114" i="163"/>
  <c r="Q31" i="161"/>
  <c r="Q61" i="163"/>
  <c r="L93" i="163"/>
  <c r="L96" i="163" s="1"/>
  <c r="L101" i="163" s="1"/>
  <c r="P58" i="163"/>
  <c r="P41" i="161"/>
  <c r="Q64" i="196" l="1"/>
  <c r="Q66" i="196" s="1"/>
  <c r="Q68" i="196" s="1"/>
  <c r="Q69" i="196" s="1"/>
  <c r="Q70" i="196" s="1"/>
  <c r="H70" i="196" s="1"/>
  <c r="Q28" i="203"/>
  <c r="P31" i="203"/>
  <c r="J54" i="203"/>
  <c r="J25" i="202"/>
  <c r="J74" i="202"/>
  <c r="K20" i="202"/>
  <c r="Q27" i="163"/>
  <c r="Q27" i="203" s="1"/>
  <c r="Q60" i="163"/>
  <c r="Q33" i="201"/>
  <c r="Q35" i="201" s="1"/>
  <c r="Q35" i="161"/>
  <c r="Q37" i="161"/>
  <c r="Q179" i="199"/>
  <c r="Q181" i="199" s="1"/>
  <c r="Q40" i="162" s="1"/>
  <c r="Q40" i="202" s="1"/>
  <c r="Q115" i="199"/>
  <c r="Q41" i="162" s="1"/>
  <c r="Q41" i="202" s="1"/>
  <c r="J64" i="162"/>
  <c r="J66" i="162" s="1"/>
  <c r="L104" i="163"/>
  <c r="L150" i="199" s="1"/>
  <c r="P50" i="180"/>
  <c r="Q63" i="163"/>
  <c r="Q62" i="163"/>
  <c r="Q64" i="163" l="1"/>
  <c r="J35" i="202"/>
  <c r="J55" i="202" s="1"/>
  <c r="J70" i="202" s="1"/>
  <c r="J71" i="202" s="1"/>
  <c r="J72" i="202" s="1"/>
  <c r="N28" i="180"/>
  <c r="N30" i="180" s="1"/>
  <c r="Q31" i="163"/>
  <c r="J55" i="203"/>
  <c r="Q95" i="163"/>
  <c r="Q97" i="163"/>
  <c r="Q37" i="201"/>
  <c r="Q39" i="201" s="1"/>
  <c r="K61" i="162"/>
  <c r="K146" i="199" s="1"/>
  <c r="K148" i="199" s="1"/>
  <c r="K155" i="199" s="1"/>
  <c r="Q39" i="161"/>
  <c r="Q59" i="163"/>
  <c r="M65" i="163"/>
  <c r="M68" i="163" s="1"/>
  <c r="N36" i="180" l="1"/>
  <c r="AX37" i="180"/>
  <c r="Q31" i="203"/>
  <c r="Q147" i="199"/>
  <c r="Q154" i="199" s="1"/>
  <c r="K138" i="199"/>
  <c r="K129" i="199"/>
  <c r="K130" i="199" s="1"/>
  <c r="J68" i="162"/>
  <c r="J69" i="162" s="1"/>
  <c r="J70" i="162" s="1"/>
  <c r="Q62" i="162"/>
  <c r="Q64" i="202" s="1"/>
  <c r="Q58" i="163"/>
  <c r="Q41" i="161"/>
  <c r="M93" i="163"/>
  <c r="M96" i="163" s="1"/>
  <c r="M101" i="163" l="1"/>
  <c r="M104" i="163" s="1"/>
  <c r="M150" i="199" s="1"/>
  <c r="K131" i="199"/>
  <c r="K133" i="199" s="1"/>
  <c r="K63" i="162"/>
  <c r="K65" i="202" s="1"/>
  <c r="K66" i="202" s="1"/>
  <c r="O40" i="180" s="1"/>
  <c r="O41" i="180" s="1"/>
  <c r="K47" i="163"/>
  <c r="K47" i="203" s="1"/>
  <c r="Q50" i="180"/>
  <c r="K49" i="203" l="1"/>
  <c r="O59" i="180"/>
  <c r="O61" i="180" s="1"/>
  <c r="L61" i="202"/>
  <c r="K68" i="202"/>
  <c r="K49" i="163"/>
  <c r="K64" i="162"/>
  <c r="K66" i="162" s="1"/>
  <c r="K134" i="199"/>
  <c r="K135" i="199"/>
  <c r="K84" i="163"/>
  <c r="K86" i="163" s="1"/>
  <c r="N65" i="163"/>
  <c r="N68" i="163" s="1"/>
  <c r="L61" i="162" l="1"/>
  <c r="L146" i="199" s="1"/>
  <c r="L148" i="199" s="1"/>
  <c r="L155" i="199" s="1"/>
  <c r="L129" i="199" s="1"/>
  <c r="L130" i="199" s="1"/>
  <c r="K136" i="199"/>
  <c r="K42" i="162"/>
  <c r="K44" i="162" s="1"/>
  <c r="N93" i="163"/>
  <c r="N96" i="163" s="1"/>
  <c r="I41" i="161"/>
  <c r="K25" i="135" s="1"/>
  <c r="M25" i="135" s="1"/>
  <c r="L138" i="199" l="1"/>
  <c r="N101" i="163"/>
  <c r="N104" i="163" s="1"/>
  <c r="N150" i="199" s="1"/>
  <c r="L131" i="199"/>
  <c r="L133" i="199" s="1"/>
  <c r="R50" i="180"/>
  <c r="O63" i="180"/>
  <c r="L134" i="199" l="1"/>
  <c r="L135" i="199"/>
  <c r="K105" i="163"/>
  <c r="K106" i="163" s="1"/>
  <c r="K51" i="163"/>
  <c r="K88" i="163"/>
  <c r="K109" i="163" s="1"/>
  <c r="K111" i="163" s="1"/>
  <c r="O65" i="163"/>
  <c r="O68" i="163" s="1"/>
  <c r="K39" i="203" l="1"/>
  <c r="L136" i="199"/>
  <c r="K108" i="163"/>
  <c r="K113" i="163" s="1"/>
  <c r="O93" i="163"/>
  <c r="O96" i="163" s="1"/>
  <c r="O101" i="163" s="1"/>
  <c r="K53" i="162"/>
  <c r="K51" i="203" l="1"/>
  <c r="K112" i="163"/>
  <c r="K110" i="163"/>
  <c r="L63" i="162"/>
  <c r="L65" i="202" s="1"/>
  <c r="L66" i="202" s="1"/>
  <c r="P40" i="180" s="1"/>
  <c r="P41" i="180" s="1"/>
  <c r="L47" i="163"/>
  <c r="L47" i="203" s="1"/>
  <c r="O104" i="163"/>
  <c r="O150" i="199" s="1"/>
  <c r="S50" i="180"/>
  <c r="O34" i="180"/>
  <c r="K21" i="162"/>
  <c r="L49" i="203" l="1"/>
  <c r="P59" i="180"/>
  <c r="P61" i="180" s="1"/>
  <c r="M61" i="202"/>
  <c r="L68" i="202"/>
  <c r="K22" i="162"/>
  <c r="L20" i="162" s="1"/>
  <c r="L149" i="199" s="1"/>
  <c r="L151" i="199" s="1"/>
  <c r="K21" i="202"/>
  <c r="K22" i="202" s="1"/>
  <c r="L49" i="163"/>
  <c r="L64" i="162"/>
  <c r="M61" i="162" s="1"/>
  <c r="K53" i="203"/>
  <c r="K114" i="163"/>
  <c r="L84" i="163"/>
  <c r="L86" i="163" s="1"/>
  <c r="P93" i="163"/>
  <c r="P96" i="163" s="1"/>
  <c r="P101" i="163" s="1"/>
  <c r="P65" i="163"/>
  <c r="P68" i="163" s="1"/>
  <c r="K72" i="162" l="1"/>
  <c r="K25" i="162"/>
  <c r="K35" i="162" s="1"/>
  <c r="K55" i="162" s="1"/>
  <c r="M146" i="199"/>
  <c r="M148" i="199" s="1"/>
  <c r="M155" i="199" s="1"/>
  <c r="M129" i="199" s="1"/>
  <c r="M130" i="199" s="1"/>
  <c r="L66" i="162"/>
  <c r="K54" i="203"/>
  <c r="L20" i="202"/>
  <c r="K25" i="202"/>
  <c r="K74" i="202"/>
  <c r="L42" i="162"/>
  <c r="L44" i="162" s="1"/>
  <c r="P104" i="163"/>
  <c r="P150" i="199" s="1"/>
  <c r="P63" i="180"/>
  <c r="K35" i="202" l="1"/>
  <c r="K55" i="202" s="1"/>
  <c r="K70" i="202" s="1"/>
  <c r="K71" i="202" s="1"/>
  <c r="K72" i="202" s="1"/>
  <c r="O28" i="180"/>
  <c r="O30" i="180" s="1"/>
  <c r="O36" i="180" s="1"/>
  <c r="M138" i="199"/>
  <c r="K55" i="203"/>
  <c r="M131" i="199"/>
  <c r="N128" i="199" s="1"/>
  <c r="K68" i="162"/>
  <c r="K69" i="162" s="1"/>
  <c r="K70" i="162" s="1"/>
  <c r="L105" i="163"/>
  <c r="L106" i="163" s="1"/>
  <c r="L88" i="163"/>
  <c r="L109" i="163" s="1"/>
  <c r="L111" i="163" s="1"/>
  <c r="M133" i="199" l="1"/>
  <c r="M134" i="199" s="1"/>
  <c r="L53" i="162"/>
  <c r="P34" i="180"/>
  <c r="Q93" i="163"/>
  <c r="Q96" i="163" s="1"/>
  <c r="Q101" i="163" s="1"/>
  <c r="Q65" i="163"/>
  <c r="Q68" i="163" s="1"/>
  <c r="L51" i="163"/>
  <c r="M135" i="199" l="1"/>
  <c r="M136" i="199" s="1"/>
  <c r="L39" i="203"/>
  <c r="M63" i="162"/>
  <c r="M65" i="202" s="1"/>
  <c r="M66" i="202" s="1"/>
  <c r="L108" i="163"/>
  <c r="L112" i="163" s="1"/>
  <c r="M47" i="163"/>
  <c r="M47" i="203" s="1"/>
  <c r="Q104" i="163"/>
  <c r="Q150" i="199" s="1"/>
  <c r="L21" i="162"/>
  <c r="N61" i="202" l="1"/>
  <c r="Q40" i="180"/>
  <c r="Q41" i="180" s="1"/>
  <c r="M49" i="203"/>
  <c r="Q59" i="180"/>
  <c r="Q61" i="180" s="1"/>
  <c r="Q63" i="180" s="1"/>
  <c r="M49" i="163"/>
  <c r="L22" i="162"/>
  <c r="M20" i="162" s="1"/>
  <c r="M149" i="199" s="1"/>
  <c r="M151" i="199" s="1"/>
  <c r="L21" i="202"/>
  <c r="L22" i="202" s="1"/>
  <c r="M64" i="162"/>
  <c r="N61" i="162" s="1"/>
  <c r="N146" i="199" s="1"/>
  <c r="N148" i="199" s="1"/>
  <c r="N155" i="199" s="1"/>
  <c r="L51" i="203"/>
  <c r="L110" i="163"/>
  <c r="L113" i="163"/>
  <c r="M84" i="163"/>
  <c r="M105" i="163"/>
  <c r="M106" i="163" s="1"/>
  <c r="L72" i="162" l="1"/>
  <c r="L25" i="162"/>
  <c r="M68" i="202"/>
  <c r="M66" i="162"/>
  <c r="M86" i="163"/>
  <c r="M88" i="163" s="1"/>
  <c r="M109" i="163" s="1"/>
  <c r="M111" i="163" s="1"/>
  <c r="L53" i="203"/>
  <c r="N129" i="199"/>
  <c r="N130" i="199" s="1"/>
  <c r="N138" i="199"/>
  <c r="L114" i="163"/>
  <c r="M42" i="162"/>
  <c r="M42" i="202" s="1"/>
  <c r="M51" i="163"/>
  <c r="L35" i="162" l="1"/>
  <c r="L55" i="162" s="1"/>
  <c r="L68" i="162" s="1"/>
  <c r="L69" i="162" s="1"/>
  <c r="L70" i="162" s="1"/>
  <c r="L54" i="203"/>
  <c r="L74" i="202"/>
  <c r="M20" i="202"/>
  <c r="L25" i="202"/>
  <c r="M39" i="203"/>
  <c r="N131" i="199"/>
  <c r="O128" i="199" s="1"/>
  <c r="M44" i="162"/>
  <c r="M53" i="162" s="1"/>
  <c r="M44" i="202"/>
  <c r="M108" i="163"/>
  <c r="M113" i="163" s="1"/>
  <c r="M21" i="162"/>
  <c r="L35" i="202" l="1"/>
  <c r="L55" i="202" s="1"/>
  <c r="L70" i="202" s="1"/>
  <c r="L71" i="202" s="1"/>
  <c r="L72" i="202" s="1"/>
  <c r="P28" i="180"/>
  <c r="P30" i="180" s="1"/>
  <c r="P36" i="180" s="1"/>
  <c r="M53" i="202"/>
  <c r="Q32" i="180"/>
  <c r="Q34" i="180" s="1"/>
  <c r="M22" i="162"/>
  <c r="M25" i="162" s="1"/>
  <c r="L55" i="203"/>
  <c r="N133" i="199"/>
  <c r="N135" i="199" s="1"/>
  <c r="M51" i="203"/>
  <c r="M21" i="202" s="1"/>
  <c r="M22" i="202" s="1"/>
  <c r="M112" i="163"/>
  <c r="M110" i="163"/>
  <c r="N63" i="162"/>
  <c r="N65" i="202" s="1"/>
  <c r="N66" i="202" s="1"/>
  <c r="O61" i="202" l="1"/>
  <c r="R40" i="180"/>
  <c r="R41" i="180" s="1"/>
  <c r="N20" i="162"/>
  <c r="N149" i="199" s="1"/>
  <c r="N151" i="199" s="1"/>
  <c r="N134" i="199"/>
  <c r="N136" i="199" s="1"/>
  <c r="M72" i="162"/>
  <c r="N64" i="162"/>
  <c r="M114" i="163"/>
  <c r="M53" i="203"/>
  <c r="N47" i="163"/>
  <c r="N47" i="203" s="1"/>
  <c r="M35" i="162"/>
  <c r="M55" i="162" s="1"/>
  <c r="N49" i="203" l="1"/>
  <c r="R59" i="180"/>
  <c r="R61" i="180" s="1"/>
  <c r="R63" i="180" s="1"/>
  <c r="N68" i="202"/>
  <c r="O61" i="162"/>
  <c r="O146" i="199" s="1"/>
  <c r="O148" i="199" s="1"/>
  <c r="O155" i="199" s="1"/>
  <c r="O129" i="199" s="1"/>
  <c r="O130" i="199" s="1"/>
  <c r="N66" i="162"/>
  <c r="N49" i="163"/>
  <c r="N51" i="163" s="1"/>
  <c r="M54" i="203"/>
  <c r="N105" i="163"/>
  <c r="N106" i="163" s="1"/>
  <c r="N42" i="162"/>
  <c r="N42" i="202" s="1"/>
  <c r="N84" i="163"/>
  <c r="M68" i="162"/>
  <c r="M69" i="162" s="1"/>
  <c r="M70" i="162" s="1"/>
  <c r="O138" i="199" l="1"/>
  <c r="N86" i="163"/>
  <c r="N88" i="163" s="1"/>
  <c r="N109" i="163" s="1"/>
  <c r="N111" i="163" s="1"/>
  <c r="M55" i="203"/>
  <c r="M25" i="202"/>
  <c r="M74" i="202"/>
  <c r="N20" i="202"/>
  <c r="N39" i="203"/>
  <c r="O131" i="199"/>
  <c r="P128" i="199" s="1"/>
  <c r="N44" i="162"/>
  <c r="N44" i="202"/>
  <c r="N108" i="163"/>
  <c r="N21" i="162"/>
  <c r="N22" i="162" s="1"/>
  <c r="N53" i="202" l="1"/>
  <c r="R32" i="180"/>
  <c r="R34" i="180" s="1"/>
  <c r="BA38" i="180" s="1"/>
  <c r="M35" i="202"/>
  <c r="M55" i="202" s="1"/>
  <c r="M70" i="202" s="1"/>
  <c r="M71" i="202" s="1"/>
  <c r="M72" i="202" s="1"/>
  <c r="Q28" i="180"/>
  <c r="Q30" i="180" s="1"/>
  <c r="Q36" i="180" s="1"/>
  <c r="N113" i="163"/>
  <c r="N53" i="162"/>
  <c r="O133" i="199"/>
  <c r="O134" i="199" s="1"/>
  <c r="N51" i="203"/>
  <c r="N21" i="202" s="1"/>
  <c r="N22" i="202" s="1"/>
  <c r="O20" i="162"/>
  <c r="O149" i="199" s="1"/>
  <c r="O151" i="199" s="1"/>
  <c r="N112" i="163"/>
  <c r="N110" i="163"/>
  <c r="N25" i="162"/>
  <c r="O47" i="163"/>
  <c r="O47" i="203" s="1"/>
  <c r="O63" i="162"/>
  <c r="O65" i="202" s="1"/>
  <c r="O66" i="202" s="1"/>
  <c r="N72" i="162"/>
  <c r="P61" i="202" l="1"/>
  <c r="S40" i="180"/>
  <c r="S41" i="180" s="1"/>
  <c r="O49" i="203"/>
  <c r="S59" i="180"/>
  <c r="S61" i="180" s="1"/>
  <c r="O49" i="163"/>
  <c r="O64" i="162"/>
  <c r="P61" i="162" s="1"/>
  <c r="P146" i="199" s="1"/>
  <c r="P148" i="199" s="1"/>
  <c r="P155" i="199" s="1"/>
  <c r="O135" i="199"/>
  <c r="O136" i="199" s="1"/>
  <c r="N53" i="203"/>
  <c r="N114" i="163"/>
  <c r="O84" i="163"/>
  <c r="O86" i="163" s="1"/>
  <c r="N35" i="162"/>
  <c r="N55" i="162" s="1"/>
  <c r="O68" i="202" l="1"/>
  <c r="O66" i="162"/>
  <c r="N54" i="203"/>
  <c r="P138" i="199"/>
  <c r="P129" i="199"/>
  <c r="P130" i="199" s="1"/>
  <c r="O42" i="162"/>
  <c r="O42" i="202" s="1"/>
  <c r="N68" i="162"/>
  <c r="N69" i="162" s="1"/>
  <c r="N70" i="162" s="1"/>
  <c r="O88" i="163"/>
  <c r="O109" i="163" s="1"/>
  <c r="O111" i="163" s="1"/>
  <c r="S63" i="180"/>
  <c r="O105" i="163"/>
  <c r="O106" i="163" s="1"/>
  <c r="O51" i="163"/>
  <c r="N55" i="203" l="1"/>
  <c r="O20" i="202"/>
  <c r="N74" i="202"/>
  <c r="N25" i="202"/>
  <c r="O39" i="203"/>
  <c r="P131" i="199"/>
  <c r="Q128" i="199" s="1"/>
  <c r="O44" i="162"/>
  <c r="O44" i="202"/>
  <c r="O108" i="163"/>
  <c r="O113" i="163" s="1"/>
  <c r="P47" i="163"/>
  <c r="P47" i="203" s="1"/>
  <c r="P49" i="203" s="1"/>
  <c r="P63" i="162"/>
  <c r="P65" i="202" s="1"/>
  <c r="P66" i="202" s="1"/>
  <c r="Q61" i="202" s="1"/>
  <c r="O21" i="162"/>
  <c r="O22" i="162" s="1"/>
  <c r="O53" i="202" l="1"/>
  <c r="S32" i="180"/>
  <c r="S34" i="180" s="1"/>
  <c r="N35" i="202"/>
  <c r="N55" i="202" s="1"/>
  <c r="N70" i="202" s="1"/>
  <c r="R28" i="180"/>
  <c r="R30" i="180" s="1"/>
  <c r="P49" i="163"/>
  <c r="P64" i="162"/>
  <c r="O53" i="162"/>
  <c r="P133" i="199"/>
  <c r="P134" i="199" s="1"/>
  <c r="O51" i="203"/>
  <c r="O21" i="202" s="1"/>
  <c r="O22" i="202" s="1"/>
  <c r="P20" i="162"/>
  <c r="P149" i="199" s="1"/>
  <c r="P151" i="199" s="1"/>
  <c r="O112" i="163"/>
  <c r="O110" i="163"/>
  <c r="O25" i="162"/>
  <c r="P84" i="163"/>
  <c r="P86" i="163" s="1"/>
  <c r="O72" i="162"/>
  <c r="R36" i="180" l="1"/>
  <c r="P68" i="202"/>
  <c r="Q61" i="162"/>
  <c r="Q146" i="199" s="1"/>
  <c r="Q148" i="199" s="1"/>
  <c r="Q155" i="199" s="1"/>
  <c r="Q129" i="199" s="1"/>
  <c r="Q130" i="199" s="1"/>
  <c r="P66" i="162"/>
  <c r="P135" i="199"/>
  <c r="P136" i="199" s="1"/>
  <c r="N71" i="202"/>
  <c r="N72" i="202" s="1"/>
  <c r="O53" i="203"/>
  <c r="O114" i="163"/>
  <c r="P42" i="162"/>
  <c r="P42" i="202" s="1"/>
  <c r="O35" i="162"/>
  <c r="O55" i="162" s="1"/>
  <c r="P105" i="163"/>
  <c r="P106" i="163" s="1"/>
  <c r="P88" i="163"/>
  <c r="P109" i="163" s="1"/>
  <c r="P111" i="163" s="1"/>
  <c r="AX39" i="180" l="1"/>
  <c r="BA37" i="180"/>
  <c r="BA39" i="180"/>
  <c r="BB39" i="180" s="1"/>
  <c r="Q138" i="199"/>
  <c r="I138" i="199" s="1"/>
  <c r="K63" i="135" s="1"/>
  <c r="M63" i="135" s="1"/>
  <c r="O54" i="203"/>
  <c r="O25" i="202"/>
  <c r="Q131" i="199"/>
  <c r="Q133" i="199" s="1"/>
  <c r="Q134" i="199" s="1"/>
  <c r="P44" i="162"/>
  <c r="P53" i="162" s="1"/>
  <c r="P44" i="202"/>
  <c r="P53" i="202" s="1"/>
  <c r="O68" i="162"/>
  <c r="O69" i="162" s="1"/>
  <c r="O70" i="162" s="1"/>
  <c r="P51" i="163"/>
  <c r="BB37" i="180" l="1"/>
  <c r="AZ38" i="180"/>
  <c r="BB38" i="180" s="1"/>
  <c r="O35" i="202"/>
  <c r="O55" i="202" s="1"/>
  <c r="O70" i="202" s="1"/>
  <c r="S28" i="180"/>
  <c r="S30" i="180" s="1"/>
  <c r="S36" i="180" s="1"/>
  <c r="O55" i="203"/>
  <c r="P20" i="202"/>
  <c r="O74" i="202"/>
  <c r="Q135" i="199"/>
  <c r="Q136" i="199" s="1"/>
  <c r="I136" i="199" s="1"/>
  <c r="K24" i="135" s="1"/>
  <c r="M24" i="135" s="1"/>
  <c r="P39" i="203"/>
  <c r="P108" i="163"/>
  <c r="P113" i="163" s="1"/>
  <c r="P21" i="162"/>
  <c r="P22" i="162" s="1"/>
  <c r="O71" i="202" l="1"/>
  <c r="O72" i="202" s="1"/>
  <c r="P51" i="203"/>
  <c r="P21" i="202" s="1"/>
  <c r="P22" i="202" s="1"/>
  <c r="Q20" i="162"/>
  <c r="Q149" i="199" s="1"/>
  <c r="Q151" i="199" s="1"/>
  <c r="P112" i="163"/>
  <c r="P110" i="163"/>
  <c r="Q63" i="162"/>
  <c r="Q65" i="202" s="1"/>
  <c r="Q66" i="202" s="1"/>
  <c r="P25" i="162"/>
  <c r="P35" i="162" s="1"/>
  <c r="P55" i="162" s="1"/>
  <c r="Q47" i="163"/>
  <c r="Q47" i="203" s="1"/>
  <c r="Q49" i="203" s="1"/>
  <c r="P72" i="162"/>
  <c r="Q84" i="163" l="1"/>
  <c r="Q86" i="163" s="1"/>
  <c r="Q88" i="163" s="1"/>
  <c r="Q109" i="163" s="1"/>
  <c r="Q111" i="163" s="1"/>
  <c r="Q49" i="163"/>
  <c r="Q64" i="162"/>
  <c r="Q66" i="162" s="1"/>
  <c r="P53" i="203"/>
  <c r="P114" i="163"/>
  <c r="P68" i="162"/>
  <c r="P69" i="162" s="1"/>
  <c r="P70" i="162" s="1"/>
  <c r="Q105" i="163"/>
  <c r="Q106" i="163" s="1"/>
  <c r="Q68" i="202" l="1"/>
  <c r="P54" i="203"/>
  <c r="Q42" i="162"/>
  <c r="Q42" i="202" s="1"/>
  <c r="Q51" i="163"/>
  <c r="P55" i="203" l="1"/>
  <c r="Q20" i="202"/>
  <c r="P74" i="202"/>
  <c r="P25" i="202"/>
  <c r="P35" i="202" s="1"/>
  <c r="P55" i="202" s="1"/>
  <c r="Q39" i="203"/>
  <c r="Q44" i="162"/>
  <c r="Q53" i="162" s="1"/>
  <c r="Q44" i="202"/>
  <c r="Q53" i="202" s="1"/>
  <c r="Q108" i="163"/>
  <c r="Q113" i="163" s="1"/>
  <c r="Q21" i="162"/>
  <c r="Q22" i="162" s="1"/>
  <c r="P70" i="202" l="1"/>
  <c r="Q51" i="203"/>
  <c r="Q21" i="202" s="1"/>
  <c r="Q22" i="202" s="1"/>
  <c r="Q25" i="162"/>
  <c r="Q35" i="162" s="1"/>
  <c r="Q55" i="162" s="1"/>
  <c r="Q112" i="163"/>
  <c r="Q110" i="163"/>
  <c r="Q72" i="162"/>
  <c r="P71" i="202" l="1"/>
  <c r="P72" i="202" s="1"/>
  <c r="Q53" i="203"/>
  <c r="Q54" i="203" s="1"/>
  <c r="Q114" i="163"/>
  <c r="Q68" i="162"/>
  <c r="Q69" i="162" s="1"/>
  <c r="Q70" i="162" s="1"/>
  <c r="I72" i="162" l="1"/>
  <c r="K64" i="135" s="1"/>
  <c r="M64" i="135" s="1"/>
  <c r="I70" i="162"/>
  <c r="K26" i="135" s="1"/>
  <c r="M26" i="135" s="1"/>
  <c r="I114" i="163"/>
  <c r="K27" i="135" s="1"/>
  <c r="M27" i="135" s="1"/>
  <c r="Q55" i="203" l="1"/>
  <c r="I55" i="203" s="1"/>
  <c r="Q25" i="202"/>
  <c r="Q35" i="202" s="1"/>
  <c r="Q55" i="202" s="1"/>
  <c r="Q74" i="202"/>
  <c r="H74" i="202" s="1"/>
  <c r="Q70" i="202" l="1"/>
  <c r="Q71" i="202" s="1"/>
  <c r="Q72" i="202" s="1"/>
  <c r="M29" i="135"/>
  <c r="H72" i="202" l="1"/>
  <c r="I13" i="135"/>
  <c r="I14" i="135"/>
  <c r="H73" i="191" l="1"/>
  <c r="K61" i="135" s="1"/>
  <c r="M61" i="135" s="1"/>
  <c r="M66" i="135" l="1"/>
  <c r="I54" i="135" l="1"/>
  <c r="I55" i="135"/>
  <c r="C10" i="177" l="1"/>
  <c r="B2" i="204" s="1"/>
  <c r="B2" i="190" l="1"/>
  <c r="C11" i="168"/>
  <c r="B2" i="191"/>
  <c r="B2" i="196"/>
  <c r="C11" i="137"/>
  <c r="C11" i="194"/>
  <c r="C11" i="132"/>
  <c r="C11" i="123"/>
  <c r="B2" i="162"/>
  <c r="C11" i="189"/>
  <c r="C11" i="169"/>
  <c r="B2" i="174"/>
  <c r="B2" i="195"/>
  <c r="B2" i="176"/>
  <c r="C11" i="187"/>
  <c r="C11" i="186"/>
  <c r="B2" i="135"/>
  <c r="B2" i="128"/>
  <c r="B2" i="163"/>
  <c r="C11" i="127"/>
  <c r="B2" i="122"/>
  <c r="B2" i="197"/>
  <c r="C11" i="124"/>
  <c r="B2" i="201"/>
  <c r="B2" i="180"/>
  <c r="B2" i="182"/>
  <c r="C11" i="134"/>
  <c r="B2" i="131"/>
  <c r="C11" i="188"/>
  <c r="B2" i="130"/>
  <c r="C11" i="183"/>
  <c r="C11" i="184"/>
  <c r="B2" i="203"/>
  <c r="B2" i="161"/>
  <c r="B2" i="192"/>
  <c r="B2" i="193"/>
  <c r="B2" i="202"/>
  <c r="B2" i="19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E46" authorId="0" shapeId="0" xr:uid="{00000000-0006-0000-0A00-000001000000}">
      <text>
        <r>
          <rPr>
            <sz val="9"/>
            <color indexed="81"/>
            <rFont val="Tahoma"/>
            <family val="2"/>
          </rPr>
          <t>Data time series sheets will end at this date.</t>
        </r>
      </text>
    </comment>
    <comment ref="E47" authorId="0" shapeId="0" xr:uid="{00000000-0006-0000-0A00-000002000000}">
      <text>
        <r>
          <rPr>
            <sz val="9"/>
            <color indexed="81"/>
            <rFont val="Tahoma"/>
            <family val="2"/>
          </rPr>
          <t>Total number of active columns on data time series sheets.</t>
        </r>
      </text>
    </comment>
    <comment ref="E48" authorId="0" shapeId="0" xr:uid="{00000000-0006-0000-0A00-000003000000}">
      <text>
        <r>
          <rPr>
            <sz val="9"/>
            <color indexed="81"/>
            <rFont val="Tahoma"/>
            <family val="2"/>
          </rPr>
          <t>Period number of last full period on data time series sheets. First period is always treated as a full period if more than one total period.</t>
        </r>
      </text>
    </comment>
    <comment ref="E49" authorId="0" shapeId="0" xr:uid="{00000000-0006-0000-0A00-00000400000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H69" authorId="0" shapeId="0" xr:uid="{00000000-0006-0000-0D00-000001000000}">
      <text>
        <r>
          <rPr>
            <b/>
            <sz val="9"/>
            <color indexed="81"/>
            <rFont val="Tahoma"/>
            <family val="2"/>
          </rPr>
          <t xml:space="preserve">Alert Check
</t>
        </r>
        <r>
          <rPr>
            <sz val="9"/>
            <color indexed="81"/>
            <rFont val="Tahoma"/>
            <family val="2"/>
          </rPr>
          <t>Flags the occurrence of designated events.</t>
        </r>
      </text>
    </comment>
    <comment ref="H73" authorId="0" shapeId="0" xr:uid="{00000000-0006-0000-0D00-000002000000}">
      <text>
        <r>
          <rPr>
            <b/>
            <sz val="9"/>
            <color indexed="81"/>
            <rFont val="Tahoma"/>
            <family val="2"/>
          </rPr>
          <t xml:space="preserve">Alert Check
</t>
        </r>
        <r>
          <rPr>
            <sz val="9"/>
            <color indexed="81"/>
            <rFont val="Tahoma"/>
            <family val="2"/>
          </rPr>
          <t>Flags the occurrence of designated events.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H70" authorId="0" shapeId="0" xr:uid="{00000000-0006-0000-1400-000001000000}">
      <text>
        <r>
          <rPr>
            <b/>
            <sz val="9"/>
            <color indexed="81"/>
            <rFont val="Tahoma"/>
            <family val="2"/>
          </rPr>
          <t xml:space="preserve">Alert Check
</t>
        </r>
        <r>
          <rPr>
            <sz val="9"/>
            <color indexed="81"/>
            <rFont val="Tahoma"/>
            <family val="2"/>
          </rPr>
          <t>Flags the occurrence of designated events.</t>
        </r>
      </text>
    </comment>
    <comment ref="H74" authorId="0" shapeId="0" xr:uid="{00000000-0006-0000-1400-00000200000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Best Practice Modelling</author>
    <author>Michael Hutchens</author>
  </authors>
  <commentList>
    <comment ref="I42" authorId="0" shapeId="0" xr:uid="{00000000-0006-0000-1700-000001000000}">
      <text>
        <r>
          <rPr>
            <b/>
            <sz val="9"/>
            <color indexed="81"/>
            <rFont val="Tahoma"/>
            <family val="2"/>
          </rPr>
          <t xml:space="preserve">Error Check
</t>
        </r>
        <r>
          <rPr>
            <sz val="9"/>
            <color indexed="81"/>
            <rFont val="Tahoma"/>
            <family val="2"/>
          </rPr>
          <t>Flags the existence of errors.</t>
        </r>
      </text>
    </comment>
    <comment ref="I59" authorId="0" shapeId="0" xr:uid="{00000000-0006-0000-1700-000002000000}">
      <text>
        <r>
          <rPr>
            <b/>
            <sz val="9"/>
            <color indexed="81"/>
            <rFont val="Tahoma"/>
            <family val="2"/>
          </rPr>
          <t xml:space="preserve">Error Check
</t>
        </r>
        <r>
          <rPr>
            <sz val="9"/>
            <color indexed="81"/>
            <rFont val="Tahoma"/>
            <family val="2"/>
          </rPr>
          <t>Flags the existence of errors.</t>
        </r>
      </text>
    </comment>
    <comment ref="I74" authorId="0" shapeId="0" xr:uid="{00000000-0006-0000-1700-000003000000}">
      <text>
        <r>
          <rPr>
            <b/>
            <sz val="9"/>
            <color indexed="81"/>
            <rFont val="Tahoma"/>
            <family val="2"/>
          </rPr>
          <t xml:space="preserve">Error Check
</t>
        </r>
        <r>
          <rPr>
            <sz val="9"/>
            <color indexed="81"/>
            <rFont val="Tahoma"/>
            <family val="2"/>
          </rPr>
          <t>Flags the existence of errors.</t>
        </r>
      </text>
    </comment>
    <comment ref="I86" authorId="0" shapeId="0" xr:uid="{00000000-0006-0000-1700-000004000000}">
      <text>
        <r>
          <rPr>
            <b/>
            <sz val="9"/>
            <color indexed="81"/>
            <rFont val="Tahoma"/>
            <family val="2"/>
          </rPr>
          <t xml:space="preserve">Error Check
</t>
        </r>
        <r>
          <rPr>
            <sz val="9"/>
            <color indexed="81"/>
            <rFont val="Tahoma"/>
            <family val="2"/>
          </rPr>
          <t>Flags the existence of errors.</t>
        </r>
      </text>
    </comment>
    <comment ref="I136" authorId="1" shapeId="0" xr:uid="{00000000-0006-0000-1700-000005000000}">
      <text>
        <r>
          <rPr>
            <b/>
            <sz val="9"/>
            <color indexed="81"/>
            <rFont val="Tahoma"/>
            <family val="2"/>
          </rPr>
          <t xml:space="preserve">Error Check
</t>
        </r>
        <r>
          <rPr>
            <sz val="9"/>
            <color indexed="81"/>
            <rFont val="Tahoma"/>
            <family val="2"/>
          </rPr>
          <t>Flags the existence of errors.</t>
        </r>
      </text>
    </comment>
    <comment ref="I138" authorId="1" shapeId="0" xr:uid="{00000000-0006-0000-1700-000006000000}">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C25" authorId="0" shapeId="0" xr:uid="{00000000-0006-0000-1800-000001000000}">
      <text>
        <r>
          <rPr>
            <sz val="8"/>
            <color indexed="81"/>
            <rFont val="Tahoma"/>
            <family val="2"/>
          </rPr>
          <t>EBITDA = Earnings Before Interest, Tax, Depreciation &amp; Amortisation</t>
        </r>
      </text>
    </comment>
    <comment ref="C31" authorId="0" shapeId="0" xr:uid="{00000000-0006-0000-1800-000002000000}">
      <text>
        <r>
          <rPr>
            <sz val="8"/>
            <color indexed="81"/>
            <rFont val="Tahoma"/>
            <family val="2"/>
          </rPr>
          <t>EBIT = Earnings Before Interest &amp; Tax</t>
        </r>
      </text>
    </comment>
    <comment ref="I41" authorId="0" shapeId="0" xr:uid="{00000000-0006-0000-1800-000003000000}">
      <text>
        <r>
          <rPr>
            <b/>
            <sz val="9"/>
            <color indexed="81"/>
            <rFont val="Tahoma"/>
            <family val="2"/>
          </rPr>
          <t xml:space="preserve">Error Check
</t>
        </r>
        <r>
          <rPr>
            <sz val="9"/>
            <color indexed="81"/>
            <rFont val="Tahoma"/>
            <family val="2"/>
          </rPr>
          <t>Flags the existence of errors.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I70" authorId="0" shapeId="0" xr:uid="{00000000-0006-0000-1900-000001000000}">
      <text>
        <r>
          <rPr>
            <b/>
            <sz val="9"/>
            <color indexed="81"/>
            <rFont val="Tahoma"/>
            <family val="2"/>
          </rPr>
          <t xml:space="preserve">Error Check
</t>
        </r>
        <r>
          <rPr>
            <sz val="9"/>
            <color indexed="81"/>
            <rFont val="Tahoma"/>
            <family val="2"/>
          </rPr>
          <t>Flags the existence of errors.</t>
        </r>
      </text>
    </comment>
    <comment ref="I72" authorId="0" shapeId="0" xr:uid="{00000000-0006-0000-1900-00000200000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B91" authorId="0" shapeId="0" xr:uid="{00000000-0006-0000-1A00-000001000000}">
      <text>
        <r>
          <rPr>
            <sz val="8"/>
            <color indexed="81"/>
            <rFont val="Tahoma"/>
            <family val="2"/>
          </rPr>
          <t>Reconciliation used for valuation purposes and to determine dividends payable.</t>
        </r>
      </text>
    </comment>
    <comment ref="I114" authorId="0" shapeId="0" xr:uid="{00000000-0006-0000-1A00-00000200000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H72" authorId="0" shapeId="0" xr:uid="{00000000-0006-0000-1D00-000001000000}">
      <text>
        <r>
          <rPr>
            <b/>
            <sz val="9"/>
            <color indexed="81"/>
            <rFont val="Tahoma"/>
            <family val="2"/>
          </rPr>
          <t xml:space="preserve">Error Check
</t>
        </r>
        <r>
          <rPr>
            <sz val="9"/>
            <color indexed="81"/>
            <rFont val="Tahoma"/>
            <family val="2"/>
          </rPr>
          <t>Flags the existence of errors.</t>
        </r>
      </text>
    </comment>
    <comment ref="H74" authorId="0" shapeId="0" xr:uid="{00000000-0006-0000-1D00-00000200000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Hutchens</author>
  </authors>
  <commentList>
    <comment ref="I55" authorId="0" shapeId="0" xr:uid="{00000000-0006-0000-1E00-00000100000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<sst xmlns="http://schemas.openxmlformats.org/spreadsheetml/2006/main" count="1994" uniqueCount="967">
  <si>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</si>
  <si>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</si>
  <si>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</si>
  <si>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</si>
  <si>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</si>
  <si>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</si>
  <si>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</si>
  <si>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</si>
  <si>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</si>
  <si>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</si>
  <si>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</si>
  <si>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</si>
  <si>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</si>
  <si>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</si>
  <si>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</si>
  <si>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</si>
  <si>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</si>
  <si>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</si>
  <si>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</si>
  <si>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</si>
  <si>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</si>
  <si>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</si>
  <si>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</si>
  <si>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</si>
  <si>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</si>
  <si>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</si>
  <si>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</si>
  <si>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</si>
  <si>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</si>
  <si>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</si>
  <si>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</si>
  <si>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</si>
  <si>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</si>
  <si>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</si>
  <si>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</si>
  <si>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</si>
  <si>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</si>
  <si>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</si>
  <si>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</si>
  <si>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</si>
  <si>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</si>
  <si>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</si>
  <si>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</si>
  <si>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</si>
  <si>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</si>
  <si>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</si>
  <si>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</si>
  <si>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</si>
  <si>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</si>
  <si>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</si>
  <si>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</si>
  <si>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</si>
  <si>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</si>
  <si>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</si>
  <si>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</si>
  <si>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</si>
  <si>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</si>
  <si>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</si>
  <si>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</si>
  <si>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</si>
  <si>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</si>
  <si>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</si>
  <si>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</si>
  <si>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</si>
  <si>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</si>
  <si>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</si>
  <si>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</si>
  <si>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</si>
  <si>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</si>
  <si>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</si>
  <si>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</si>
  <si>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</si>
  <si>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</si>
  <si>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</si>
  <si>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</si>
  <si>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</si>
  <si>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</si>
  <si>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</si>
  <si>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</si>
  <si>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</si>
  <si>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</si>
  <si>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</si>
  <si>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</si>
  <si>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</si>
  <si>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</si>
  <si>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</si>
  <si>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</si>
  <si>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</si>
  <si>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</si>
  <si>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</si>
  <si>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</si>
  <si>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</si>
  <si>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</si>
  <si>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</si>
  <si>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</si>
  <si>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</si>
  <si>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</si>
  <si>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</si>
  <si>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</si>
  <si>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</si>
  <si>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</si>
  <si>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</si>
  <si>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</si>
  <si>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</si>
  <si>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</si>
  <si>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</si>
  <si>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</si>
  <si>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</si>
  <si>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</si>
  <si>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Input (Blue)</t>
  </si>
  <si>
    <t>Indicates ranges contain 100% input text / numbers.</t>
  </si>
  <si>
    <t>Input</t>
  </si>
  <si>
    <t>Output (Black)</t>
  </si>
  <si>
    <t>Output</t>
  </si>
  <si>
    <t>Mixed Cell (Green)</t>
  </si>
  <si>
    <t>Indicates ranges contain a mixture of input text / numbers and formulae / output calculations.</t>
  </si>
  <si>
    <t>Mixed Cell</t>
  </si>
  <si>
    <t>Error (Red)</t>
  </si>
  <si>
    <t>Indicates calculation errors – normally used as a conditional format.</t>
  </si>
  <si>
    <t>Error</t>
  </si>
  <si>
    <t>Hyperlink</t>
  </si>
  <si>
    <t>Indicates ranges contain Hyperlinks to other ranges within the workbook or to other linked models.</t>
  </si>
  <si>
    <t>Work in Progress (WIP) (Yellow)</t>
  </si>
  <si>
    <t>Indicates ranges contain data or formulae that remain uncertain or are subject to change.</t>
  </si>
  <si>
    <t>Hidden White (White)</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</si>
  <si>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</si>
  <si>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</si>
  <si>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</si>
  <si>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</si>
  <si>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</si>
  <si>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</si>
  <si>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</si>
  <si>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</si>
  <si>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</si>
  <si>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</si>
  <si>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</si>
  <si>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</si>
  <si>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</si>
  <si>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</si>
  <si>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</si>
  <si>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</si>
  <si>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</si>
  <si>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</si>
  <si>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</si>
  <si>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</si>
  <si>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</si>
  <si>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</si>
  <si>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</si>
  <si>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</si>
  <si>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</si>
  <si>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</si>
  <si>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</si>
  <si>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</si>
  <si>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</si>
  <si>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</si>
  <si>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</si>
  <si>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</si>
  <si>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</si>
  <si>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</si>
  <si>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</si>
  <si>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</si>
  <si>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</si>
  <si>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</si>
  <si>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</si>
  <si>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</si>
  <si>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</si>
  <si>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</si>
  <si>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</si>
  <si>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</si>
  <si>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</si>
  <si>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</si>
  <si>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</si>
  <si>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</si>
  <si>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</si>
  <si>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</si>
  <si>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</si>
  <si>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</si>
  <si>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</si>
  <si>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</si>
  <si>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</si>
  <si>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</si>
  <si>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</si>
  <si>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</si>
  <si>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</si>
  <si>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</si>
  <si>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</si>
  <si>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</si>
  <si>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</si>
  <si>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</si>
  <si>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</si>
  <si>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</si>
  <si>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</si>
  <si>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</si>
  <si>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</si>
  <si>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</si>
  <si>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</si>
  <si>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</si>
  <si>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</si>
  <si>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</si>
  <si>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</si>
  <si>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</si>
  <si>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</si>
  <si>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</si>
  <si>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</si>
  <si>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</si>
  <si>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</si>
  <si>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</si>
  <si>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</si>
  <si>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</si>
  <si>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</si>
  <si>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</si>
  <si>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</si>
  <si>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</si>
  <si>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</si>
  <si>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</si>
  <si>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</si>
  <si>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</si>
  <si>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</si>
  <si>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</si>
  <si>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</si>
  <si>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</si>
  <si>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</si>
  <si>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</si>
  <si>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</si>
  <si>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</si>
  <si>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</si>
  <si>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Simplification</t>
  </si>
  <si>
    <t>Standards</t>
  </si>
  <si>
    <t>Annotations</t>
  </si>
  <si>
    <t>Further Training</t>
  </si>
  <si>
    <t>Contact BPM</t>
  </si>
  <si>
    <t>Address:</t>
  </si>
  <si>
    <t>Level 8, 330 Collins Street</t>
  </si>
  <si>
    <t>Melbourne, Victoria</t>
  </si>
  <si>
    <t>Australia 3000</t>
  </si>
  <si>
    <t>Telephone:</t>
  </si>
  <si>
    <t>+613 9244 9800</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</si>
  <si>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</si>
  <si>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</si>
  <si>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</si>
  <si>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</si>
  <si>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</si>
  <si>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</si>
  <si>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</si>
  <si>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</si>
  <si>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</si>
  <si>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</si>
  <si>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</si>
  <si>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</si>
  <si>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</si>
  <si>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</si>
  <si>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</si>
  <si>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</si>
  <si>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</si>
  <si>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</si>
  <si>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</si>
  <si>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</si>
  <si>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</si>
  <si>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</si>
  <si>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</si>
  <si>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</si>
  <si>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</si>
  <si>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</si>
  <si>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</si>
  <si>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</si>
  <si>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</si>
  <si>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</si>
  <si>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</si>
  <si>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</si>
  <si>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</si>
  <si>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</si>
  <si>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</si>
  <si>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</si>
  <si>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</si>
  <si>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</si>
  <si>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</si>
  <si>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</si>
  <si>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</si>
  <si>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</si>
  <si>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</si>
  <si>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</si>
  <si>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</si>
  <si>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</si>
  <si>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</si>
  <si>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</si>
  <si>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</si>
  <si>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</si>
  <si>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</si>
  <si>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</si>
  <si>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</si>
  <si>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</si>
  <si>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</si>
  <si>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</si>
  <si>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</si>
  <si>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</si>
  <si>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</si>
  <si>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</si>
  <si>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</si>
  <si>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</si>
  <si>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</si>
  <si>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</si>
  <si>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</si>
  <si>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</si>
  <si>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</si>
  <si>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</si>
  <si>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</si>
  <si>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</si>
  <si>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</si>
  <si>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</si>
  <si>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</si>
  <si>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</si>
  <si>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</si>
  <si>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t>BPM</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</si>
  <si>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</si>
  <si>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</si>
  <si>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</si>
  <si>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</si>
  <si>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</si>
  <si>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</si>
  <si>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</si>
  <si>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</si>
  <si>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Indicates ranges contain 100% formulas / output calculations.</t>
  </si>
  <si>
    <t>Fill Colors</t>
  </si>
  <si>
    <t>Assumption Sheet (Grey)</t>
  </si>
  <si>
    <t>Indicates sheet is an Assumption Sheet.</t>
  </si>
  <si>
    <t>Indicates Assumption Cells when used on the interior of Assumption Sheets.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</si>
  <si>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</si>
  <si>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</si>
  <si>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</si>
  <si>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</si>
  <si>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</si>
  <si>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</si>
  <si>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</si>
  <si>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</si>
  <si>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</si>
  <si>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</si>
  <si>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</si>
  <si>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</si>
  <si>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</si>
  <si>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</si>
  <si>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</si>
  <si>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</si>
  <si>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</si>
  <si>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</si>
  <si>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</si>
  <si>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</si>
  <si>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 Model Import and Export Sheet suffixes are used in addition to the other sheet naming suffixes.</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</si>
  <si>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</si>
  <si>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</si>
  <si>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</si>
  <si>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</si>
  <si>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</si>
  <si>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</si>
  <si>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</si>
  <si>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</si>
  <si>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</si>
  <si>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</si>
  <si>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</si>
  <si>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</si>
  <si>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</si>
  <si>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</si>
  <si>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</si>
  <si>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</si>
  <si>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</si>
  <si>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</si>
  <si>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</si>
  <si>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</si>
  <si>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</si>
  <si>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</si>
  <si>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</si>
  <si>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</si>
  <si>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</si>
  <si>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</si>
  <si>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</si>
  <si>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</si>
  <si>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</si>
  <si>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</si>
  <si>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</si>
  <si>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</si>
  <si>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</si>
  <si>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</si>
  <si>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</si>
  <si>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</si>
  <si>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</si>
  <si>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</si>
  <si>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</si>
  <si>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</si>
  <si>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</si>
  <si>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</si>
  <si>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</si>
  <si>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</si>
  <si>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</si>
  <si>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</si>
  <si>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</si>
  <si>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</si>
  <si>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</si>
  <si>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</si>
  <si>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</si>
  <si>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</si>
  <si>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</si>
  <si>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</si>
  <si>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</si>
  <si>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</si>
  <si>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</si>
  <si>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</si>
  <si>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</si>
  <si>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</si>
  <si>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</si>
  <si>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</si>
  <si>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</si>
  <si>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</si>
  <si>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</si>
  <si>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</si>
  <si>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</si>
  <si>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</si>
  <si>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</si>
  <si>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</si>
  <si>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</si>
  <si>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</si>
  <si>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</si>
  <si>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</si>
  <si>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</si>
  <si>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</si>
  <si>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</si>
  <si>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</si>
  <si>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</si>
  <si>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</si>
  <si>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</si>
  <si>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</si>
  <si>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</si>
  <si>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IMPORTANT NOTE:  BPM does not provide any warranties or guarantees relating to the correctness of the formulas or outputs contained in this model.</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</si>
  <si>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</si>
  <si>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</si>
  <si>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</si>
  <si>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</si>
  <si>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</si>
  <si>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</si>
  <si>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</si>
  <si>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</si>
  <si>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</si>
  <si>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</si>
  <si>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</si>
  <si>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</si>
  <si>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</si>
  <si>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</si>
  <si>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</si>
  <si>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</si>
  <si>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</si>
  <si>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</si>
  <si>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</si>
  <si>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</si>
  <si>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</si>
  <si>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</si>
  <si>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</si>
  <si>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</si>
  <si>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</si>
  <si>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</si>
  <si>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</si>
  <si>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</si>
  <si>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</si>
  <si>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</si>
  <si>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</si>
  <si>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</si>
  <si>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</si>
  <si>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</si>
  <si>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</si>
  <si>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</si>
  <si>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</si>
  <si>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</si>
  <si>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</si>
  <si>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</si>
  <si>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</si>
  <si>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</si>
  <si>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</si>
  <si>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</si>
  <si>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</si>
  <si>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</si>
  <si>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</si>
  <si>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</si>
  <si>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</si>
  <si>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</si>
  <si>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</si>
  <si>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</si>
  <si>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</si>
  <si>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</si>
  <si>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</si>
  <si>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</si>
  <si>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</si>
  <si>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</si>
  <si>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</si>
  <si>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</si>
  <si>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</si>
  <si>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</si>
  <si>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</si>
  <si>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</si>
  <si>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</si>
  <si>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</si>
  <si>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</si>
  <si>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</si>
  <si>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</si>
  <si>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</si>
  <si>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</si>
  <si>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</si>
  <si>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</si>
  <si>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</si>
  <si>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</si>
  <si>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</si>
  <si>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</si>
  <si>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</si>
  <si>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</si>
  <si>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</si>
  <si>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</si>
  <si>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</si>
  <si>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</si>
  <si>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</si>
  <si>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</si>
  <si>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</si>
  <si>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</si>
  <si>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</si>
  <si>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</si>
  <si>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</si>
  <si>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</si>
  <si>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</si>
  <si>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</si>
  <si>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</si>
  <si>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</si>
  <si>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</si>
  <si>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</si>
  <si>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</si>
  <si>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</si>
  <si>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</si>
  <si>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</si>
  <si>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</si>
  <si>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</si>
  <si>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</si>
  <si>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</si>
  <si>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</si>
  <si>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</si>
  <si>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</si>
  <si>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</si>
  <si>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</si>
  <si>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</si>
  <si>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</si>
  <si>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</si>
  <si>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Contains historical financial statement assumptions.</t>
  </si>
  <si>
    <t>Sub-Section 2.3.</t>
  </si>
  <si>
    <t>2.3.</t>
  </si>
  <si>
    <t>Income Statement - Historical Assumptions</t>
  </si>
  <si>
    <t>Balance Sheet - Historical Assumptions</t>
  </si>
  <si>
    <t>Cash Flow Statements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</si>
  <si>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</si>
  <si>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</si>
  <si>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</si>
  <si>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</si>
  <si>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</si>
  <si>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</si>
  <si>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</si>
  <si>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</si>
  <si>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</si>
  <si>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</si>
  <si>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</si>
  <si>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</si>
  <si>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</si>
  <si>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</si>
  <si>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</si>
  <si>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</si>
  <si>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</si>
  <si>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</si>
  <si>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</si>
  <si>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</si>
  <si>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</si>
  <si>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</si>
  <si>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</si>
  <si>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</si>
  <si>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</si>
  <si>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</si>
  <si>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</si>
  <si>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</si>
  <si>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</si>
  <si>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</si>
  <si>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</si>
  <si>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</si>
  <si>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</si>
  <si>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</si>
  <si>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</si>
  <si>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</si>
  <si>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</si>
  <si>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</si>
  <si>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</si>
  <si>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</si>
  <si>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</si>
  <si>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</si>
  <si>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</si>
  <si>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</si>
  <si>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</si>
  <si>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</si>
  <si>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</si>
  <si>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</si>
  <si>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</si>
  <si>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t>BO</t>
  </si>
  <si>
    <t>Standards Illustration Sheet</t>
  </si>
  <si>
    <t>SMA 1.</t>
  </si>
  <si>
    <t>General Concepts</t>
  </si>
  <si>
    <t>BPMS 1-1</t>
  </si>
  <si>
    <t>Workbook Purpose</t>
  </si>
  <si>
    <t/>
  </si>
  <si>
    <t>a)    The purpose of the workbook;</t>
  </si>
  <si>
    <t>b)    The purpose of each sheet; and</t>
  </si>
  <si>
    <t>c)    The purpose of each component within each sheet.</t>
  </si>
  <si>
    <t>BPMS 1-2</t>
  </si>
  <si>
    <t>Sheet Classification</t>
  </si>
  <si>
    <t>The sheet content and sheet purpose of every sheet in a workbook should be visually identifiable at all times.</t>
  </si>
  <si>
    <t>BPMS 1-3</t>
  </si>
  <si>
    <t>Sheet Content</t>
  </si>
  <si>
    <t>Every sheet in a workbook should be visually identifiable as being one of the following sheet types:</t>
  </si>
  <si>
    <t>a)    Cover sheet</t>
  </si>
  <si>
    <t>b)    Contents sheet</t>
  </si>
  <si>
    <t>c)    Section cover sheet</t>
  </si>
  <si>
    <t>d)    Model schematic sheet</t>
  </si>
  <si>
    <t>e)    Time series sheet</t>
  </si>
  <si>
    <t>f)     Blank sheet</t>
  </si>
  <si>
    <t xml:space="preserve">g)    Lookup sheet </t>
  </si>
  <si>
    <t>h)    Chart sheet</t>
  </si>
  <si>
    <t>BPMS 1-4</t>
  </si>
  <si>
    <t>Sheet Purpose</t>
  </si>
  <si>
    <t>Every sheet in a workbook should have the purpose of either collecting assumptions or not collecting assumptions.</t>
  </si>
  <si>
    <t>Hence, every sheet in a workbook should be visually identifiable as having one of the following sheet purposes:</t>
  </si>
  <si>
    <t>a)    Assumption sheet; or</t>
  </si>
  <si>
    <t>b)    Output sheet.</t>
  </si>
  <si>
    <t>BPMS 1-5</t>
  </si>
  <si>
    <t>Cell Classification</t>
  </si>
  <si>
    <t>The cell content and cell purpose of every cell in every worksheet should be visually identifiable at all times.</t>
  </si>
  <si>
    <t>BPMS 1-6</t>
  </si>
  <si>
    <t>Cell Content</t>
  </si>
  <si>
    <t>Every cell in every worksheet should be visually identifiable as containing one of the following content types:</t>
  </si>
  <si>
    <t>a)    Constant;</t>
  </si>
  <si>
    <t>b)    Formula; or</t>
  </si>
  <si>
    <t>c)    Mixed (combination of constant and formula).</t>
  </si>
  <si>
    <t>BPMS 1-7</t>
  </si>
  <si>
    <t>Cell Purpose</t>
  </si>
  <si>
    <t>Every cell in every worksheet should have the purpose of either collecting assumptions or not collecting assumptions.</t>
  </si>
  <si>
    <t>Hence, every cell in every worksheet should be visually identifiable as having one of the following cell purposes:</t>
  </si>
  <si>
    <t>a)    Assumption cell; or</t>
  </si>
  <si>
    <t>b)    Output cell.</t>
  </si>
  <si>
    <t>BPMS 1-8</t>
  </si>
  <si>
    <t>Assumption Classification</t>
  </si>
  <si>
    <t>An assumption is defined as anything within a workbook that is intended to be manipulated by model users to affect output.</t>
  </si>
  <si>
    <t>Every assumption in a workbook must be classified as one of the following types:</t>
  </si>
  <si>
    <t>a)    Base assumption; or</t>
  </si>
  <si>
    <t>b)    Sensitivity assumption.</t>
  </si>
  <si>
    <t>BPMS 1-9</t>
  </si>
  <si>
    <t>Assumption Cell Content</t>
  </si>
  <si>
    <t>Every assumption cell in every worksheet should contain constant cell content.</t>
  </si>
  <si>
    <t>SMA 2.</t>
  </si>
  <si>
    <t>Workbook Structure</t>
  </si>
  <si>
    <t>BPMS 2-1</t>
  </si>
  <si>
    <t>Workbook Cover Sheet</t>
  </si>
  <si>
    <t>Every workbook that contains more than one sheet should contain a separate cover sheet as the first sheet in the workbook.</t>
  </si>
  <si>
    <t>BPMS 2-2</t>
  </si>
  <si>
    <t>Workbook Sections</t>
  </si>
  <si>
    <t>BPMS 2-3</t>
  </si>
  <si>
    <t>Section Cover Covers</t>
  </si>
  <si>
    <t>A section cover sheet should be used at the start of each section in a workbook to indicate the commencement of each new section.</t>
  </si>
  <si>
    <t>BPMS 2-4</t>
  </si>
  <si>
    <t>Every workbook with more than one sheet should contain a table of contents outlining the structure and composition of the underlying workbook.</t>
  </si>
  <si>
    <t>BPMS 2-5</t>
  </si>
  <si>
    <t>Table of Contents Information</t>
  </si>
  <si>
    <t>A Table of Contents should:</t>
  </si>
  <si>
    <t>a)    Show the sections of the workbook (if any sections have been created);</t>
  </si>
  <si>
    <t>b)    Reference the sheet title of each sheet in the model;</t>
  </si>
  <si>
    <t>c)    Clearly number each section and sheet; and</t>
  </si>
  <si>
    <t>d)    Be located near the front of the workbook (generally the second sheet in the workbook).</t>
  </si>
  <si>
    <t>BPMS 2-6</t>
  </si>
  <si>
    <t>Workbook Navigation</t>
  </si>
  <si>
    <t>Every workbook with more than one sheet should contain:</t>
  </si>
  <si>
    <t>a)    a table of contents sheet outlining the sections and sheets in the workbook;</t>
  </si>
  <si>
    <t>b)    hyperlinks from the table of contents to every sheet in the workbook; and</t>
  </si>
  <si>
    <t>c)    a hyperlink to the table of contents always in view on every sheet in the workbook.</t>
  </si>
  <si>
    <t>SMA 3.</t>
  </si>
  <si>
    <t>Sheet Structure</t>
  </si>
  <si>
    <t>BPMS 3-1</t>
  </si>
  <si>
    <t>Sheet Titles</t>
  </si>
  <si>
    <t>Every sheet in a workbook should contain a clearly highlighted sheet title that is:</t>
  </si>
  <si>
    <t>a)    Consistently formatted on every sheet;</t>
  </si>
  <si>
    <t>b)    Consistently located on every sheet type; and</t>
  </si>
  <si>
    <t>c)    Always in view on the screen when that sheet is active.</t>
  </si>
  <si>
    <t>BPMS 3-2</t>
  </si>
  <si>
    <t>Sheet Type Consistency</t>
  </si>
  <si>
    <t>Sheets of the same sheet type within a workbook should be consistently structured and formatted.</t>
  </si>
  <si>
    <t>This standard applies to:</t>
  </si>
  <si>
    <t>a)    Sheet title, styles and positioning;</t>
  </si>
  <si>
    <t>b)    Heading styles and spacing;</t>
  </si>
  <si>
    <t>c)    Column and row dimensions;</t>
  </si>
  <si>
    <t>d)    Data entry points;</t>
  </si>
  <si>
    <t>e)    Hyperlink positioning;</t>
  </si>
  <si>
    <t>f)     Visibility of gridlines;</t>
  </si>
  <si>
    <t>g)    Grouping levels;</t>
  </si>
  <si>
    <t>h)    Zoom and viewing properties;</t>
  </si>
  <si>
    <t>i)      Window panes and splits; and</t>
  </si>
  <si>
    <t>j)     Formats and colours.</t>
  </si>
  <si>
    <t>BPMS 3-3</t>
  </si>
  <si>
    <t>Grouping Rows or Columns</t>
  </si>
  <si>
    <t>When hiding rows or columns in a worksheet, the rows or columns should always be grouped, not hidden.</t>
  </si>
  <si>
    <t>SMA 4.</t>
  </si>
  <si>
    <t>Formats &amp; Styles</t>
  </si>
  <si>
    <t>BPMS 4-1</t>
  </si>
  <si>
    <t>Formats and Styles Key</t>
  </si>
  <si>
    <t>Every workbook should contain a key or legend that explains the purpose of each format and style that has been applied to the cells in the workbook.</t>
  </si>
  <si>
    <t>BPMS 4-2</t>
  </si>
  <si>
    <t>Worksheet Data Alignment</t>
  </si>
  <si>
    <t>All data of the same type on a worksheet should be consistently aligned down rows or across columns.</t>
  </si>
  <si>
    <t>BPMS 4-3</t>
  </si>
  <si>
    <t>Denomination Identification</t>
  </si>
  <si>
    <t>Every number in a workbook should clearly indicate what type of denomination it is by either:</t>
  </si>
  <si>
    <t>a)    Stating the denomination of a number in an appropriate corresponding heading, title column, row or label; or</t>
  </si>
  <si>
    <t>b)    Formatting the number such that it is displayed as its denominator (e.g. $20, 20 tonnes, 20% or 20.0x).</t>
  </si>
  <si>
    <t>BPMS 4-4</t>
  </si>
  <si>
    <t>Workbook Denomination</t>
  </si>
  <si>
    <t>There should be a primary denomination that is used consistently throughout the workbook.</t>
  </si>
  <si>
    <t>Where denominations differ from the primary denomination, they should be clearly labelled to inform other model developers and model users.</t>
  </si>
  <si>
    <t>BPMS 4-5</t>
  </si>
  <si>
    <t>Hyperlink Consistency</t>
  </si>
  <si>
    <t>All hyperlinks within a workbook should use a consistent, dedicated style or format so that they are visually identifiable as being hyperlinks.</t>
  </si>
  <si>
    <t>BPMS 4-6</t>
  </si>
  <si>
    <t>Work in Progress</t>
  </si>
  <si>
    <t>Any cell within a workbook that is subject to further work or not finalised should be visually identifiable as being work in progress.</t>
  </si>
  <si>
    <t>SMA 5.</t>
  </si>
  <si>
    <t>Assumption Entry Interfaces</t>
  </si>
  <si>
    <t>BPMS 5-1</t>
  </si>
  <si>
    <t>Assumptions Location</t>
  </si>
  <si>
    <t>All assumptions contained in a workbook should be located on dedicated and visually identifiable assumption sheets.</t>
  </si>
  <si>
    <t>Assumptions should never be located on output sheets.</t>
  </si>
  <si>
    <t>BPMS 5-2</t>
  </si>
  <si>
    <t>No Assumption Repetition</t>
  </si>
  <si>
    <t>Any single assumption should never be entered more than once into a workbook.</t>
  </si>
  <si>
    <t>BPMS 5-3</t>
  </si>
  <si>
    <t>Control Cell Link Placement</t>
  </si>
  <si>
    <t>Every cell link that is attached to a control in a workbook should be located in the top left cell of the range over which its control is placed.</t>
  </si>
  <si>
    <t>BPMS 5-4</t>
  </si>
  <si>
    <t>Control Lookup Data</t>
  </si>
  <si>
    <t>When using a control in a workbook that requires an input range (lookup data), the lookup data should always be located on a separate lookup sheet.</t>
  </si>
  <si>
    <t>BPMS 5-5</t>
  </si>
  <si>
    <t>In-Cell Drop Down Lists</t>
  </si>
  <si>
    <t>A cell in which data validation is used to create in cell drop down lists the range in which the drop down list is inserted should always be formatted as an assumption cell.</t>
  </si>
  <si>
    <t>SMA 6.</t>
  </si>
  <si>
    <t>Sensitivity Analysis</t>
  </si>
  <si>
    <t>BPMS 6-1</t>
  </si>
  <si>
    <t>Separate Sensitivity Assumption Sheets</t>
  </si>
  <si>
    <t>Every workbook that contains sensitivity analysis functionality should contain a dedicated sensitivity assumptions section (which is separate to the base assumptions section).</t>
  </si>
  <si>
    <t>BPMS 6-2</t>
  </si>
  <si>
    <t>Sheet Type for Sensitivity Assumption Entry Interfaces</t>
  </si>
  <si>
    <t>All sensitivity assumptions in a workbook should be located on assumption sheets.</t>
  </si>
  <si>
    <t>BPMS 6-3</t>
  </si>
  <si>
    <t>Separate Sensitivity Assumption Entry Interfaces</t>
  </si>
  <si>
    <t>Sensitivity assumptions should always be located on a dedicated sensitivity assumption sheet which is separate to its corresponding base assumption sheet.</t>
  </si>
  <si>
    <t>SMA 7.</t>
  </si>
  <si>
    <t>Outputs &amp; Presentations</t>
  </si>
  <si>
    <t>BPMS 7-1</t>
  </si>
  <si>
    <t>Segregation of Outputs</t>
  </si>
  <si>
    <t>Output sheets and presentations, which may take the form of tables, graphs, diagrams or pictures, amongst other forms, should always be located in either:</t>
  </si>
  <si>
    <t>a)    a separate, clearly labelled section of a workbook; or</t>
  </si>
  <si>
    <t>b)    a separate dedicated output workbook.</t>
  </si>
  <si>
    <t>BPMS 7-2</t>
  </si>
  <si>
    <t>Presentation Sheets</t>
  </si>
  <si>
    <t>A workbook may contain sheets which do not comply with the standards and conventions, but these sheets must be presentation sheets.</t>
  </si>
  <si>
    <t>BPMS 7-3</t>
  </si>
  <si>
    <t>Presentation Sheet Usage</t>
  </si>
  <si>
    <t>Presentation sheets should only be included in a workbook where it is not possible to use non-presentation sheets to achieve the same objective.</t>
  </si>
  <si>
    <t>SMA 8.</t>
  </si>
  <si>
    <t>Calculation Formulae</t>
  </si>
  <si>
    <t>BPMS 8-1</t>
  </si>
  <si>
    <t>Consistent Formulae</t>
  </si>
  <si>
    <t>BPMS 8-2</t>
  </si>
  <si>
    <t>No Assumptions in Mixed Cell Content </t>
  </si>
  <si>
    <t>Assumptions should not be embedded in cells containing mixed cell content – i.e. cells containing content with a combination of constant and formula.</t>
  </si>
  <si>
    <t>BPMS 8-3</t>
  </si>
  <si>
    <t>Circular References</t>
  </si>
  <si>
    <t>A workbook or group of linked workbooks should never contain a circular reference.</t>
  </si>
  <si>
    <t>SMA 9.</t>
  </si>
  <si>
    <t>Naming Principles</t>
  </si>
  <si>
    <t>BPMS 9-1</t>
  </si>
  <si>
    <t>Workbook Naming</t>
  </si>
  <si>
    <t>Each workbook should be named such that the name:</t>
  </si>
  <si>
    <t>a)    Allows for different versions of the workbook;</t>
  </si>
  <si>
    <t>b)    Remains consistent between versions of the workbook; and</t>
  </si>
  <si>
    <t>c)    Differentiates the workbook from other workbooks.</t>
  </si>
  <si>
    <t>BPMS 9-2</t>
  </si>
  <si>
    <t>Sheet Naming</t>
  </si>
  <si>
    <t>Every sheet name in a workbook should indicate the sheet type.</t>
  </si>
  <si>
    <t>BPMS 9-3</t>
  </si>
  <si>
    <t>Range Naming</t>
  </si>
  <si>
    <t>Every range name in a workbook should describe the content or use of the range being named.</t>
  </si>
  <si>
    <t>BPMS 9-4</t>
  </si>
  <si>
    <t>Standardised Naming Prefixes</t>
  </si>
  <si>
    <t>Every range name in a workbook should have a standardised prefix to identify what type of range the name refers to or the purpose of that range.</t>
  </si>
  <si>
    <t>SMA 10.</t>
  </si>
  <si>
    <t>Time Series Analysis</t>
  </si>
  <si>
    <t>BPMS 10-1</t>
  </si>
  <si>
    <t>Every workbook that undertakes time series analysis should clearly state, for each distinct time series:</t>
  </si>
  <si>
    <t>a)    the time series start date; and</t>
  </si>
  <si>
    <t>b)    the time series periodicity.</t>
  </si>
  <si>
    <t>BPMS 10-2</t>
  </si>
  <si>
    <t>Time Series Period Labels</t>
  </si>
  <si>
    <t>A time series should always contain a consistent set of periodicity labels and counters that are located in the same position on every relevant worksheet in the workbook.</t>
  </si>
  <si>
    <t>The periodicity labels and counters that should appear in every time series sheet are:</t>
  </si>
  <si>
    <t>a)    Period start date;</t>
  </si>
  <si>
    <t>b)    Period end date; and</t>
  </si>
  <si>
    <t>c)    Period number (counter).</t>
  </si>
  <si>
    <t>BPMS 10-3</t>
  </si>
  <si>
    <t>Time Series Period End Dates</t>
  </si>
  <si>
    <t>The period end date label for each period in a time series sheet should always be in view on the screen.</t>
  </si>
  <si>
    <t>BPMS 10-4</t>
  </si>
  <si>
    <t>Time Series Periodicity Identification</t>
  </si>
  <si>
    <t>The periodicity of each time series sheet should be clearly identified and always in view on each time series sheet.</t>
  </si>
  <si>
    <t>BPMS 10-5</t>
  </si>
  <si>
    <t>Time Series Number of Periods</t>
  </si>
  <si>
    <t>A workbook that undertakes time series analysis should always include a cell or cell range that indicates the number of periods in each distinct time series.</t>
  </si>
  <si>
    <t>BPMS 10-6</t>
  </si>
  <si>
    <t>Time Series Sheet Consistency</t>
  </si>
  <si>
    <t>Time series sheets for each distinct time series within a workbook should always:</t>
  </si>
  <si>
    <t>a)    Contain the same number of periods; and</t>
  </si>
  <si>
    <t>b)    Have the first period starting in the same column (or more rarely, row).</t>
  </si>
  <si>
    <t>SMA 11.</t>
  </si>
  <si>
    <t>BPMS 11-1</t>
  </si>
  <si>
    <t>Checks Classification</t>
  </si>
  <si>
    <t>All checks in a workbook should be classified as being one of the following check types:</t>
  </si>
  <si>
    <t>a)    Error check;</t>
  </si>
  <si>
    <t>b)    Sensitivity check; or</t>
  </si>
  <si>
    <t>c)    Alert check.</t>
  </si>
  <si>
    <t>BPMS 11-2</t>
  </si>
  <si>
    <t>Every workbook should contain appropriate error checks to assist in identifying errors in the workbook.</t>
  </si>
  <si>
    <t>BPMS 11-3</t>
  </si>
  <si>
    <t>Every workbook that contains one or more sensitivity assumptions should contain sensitivity checks to identify when there is an operative sensitivity assumption.</t>
  </si>
  <si>
    <t>BPMS 11-4</t>
  </si>
  <si>
    <t>Alert Checks </t>
  </si>
  <si>
    <t>Every workbook that requires checks that are not classified as error checks or sensitivity checks should contain alert checks to identify when such a check has been triggered.</t>
  </si>
  <si>
    <t>BPMS 11-5</t>
  </si>
  <si>
    <t>Error Checks Summary</t>
  </si>
  <si>
    <t>The outcome of every error check in a workbook should be displayed in a dedicated and separate error checks summary.</t>
  </si>
  <si>
    <t>BPMS 11-6</t>
  </si>
  <si>
    <t>Sensitivity Checks Summary</t>
  </si>
  <si>
    <t>The outcome of every sensitivity check in a workbook should be displayed in a dedicated and separate sensitivity checks summary.</t>
  </si>
  <si>
    <t>BPMS 11-7</t>
  </si>
  <si>
    <t>Alert Checks Summary</t>
  </si>
  <si>
    <t>The outcome of every alert check in a workbook should be displayed in a dedicated and separate alert checks summary.</t>
  </si>
  <si>
    <t>BPMS 11-8</t>
  </si>
  <si>
    <t>Check Indicator Flag</t>
  </si>
  <si>
    <t>A message or indicator that clearly notifies the model developer or user that a check has been triggered in a workbook should always be in view on every worksheet in a workbook.</t>
  </si>
  <si>
    <t>BPMS 11-9</t>
  </si>
  <si>
    <t>Check Cell Formatting</t>
  </si>
  <si>
    <t>Each check cell in a workbook should be formatted in such a way that it will visually indicate when an error, sensitivity or alert check has been triggered.</t>
  </si>
  <si>
    <t>BPMS 11-10</t>
  </si>
  <si>
    <t>Dedicated Checks Summaries</t>
  </si>
  <si>
    <t>A workbook should not contain more than one of each of the following types of check summaries:</t>
  </si>
  <si>
    <t>a)    Error checks summary;</t>
  </si>
  <si>
    <t>b)    Sensitivity checks summary; and/or</t>
  </si>
  <si>
    <t>c)    Alert checks summary.</t>
  </si>
  <si>
    <t>SMA 12.</t>
  </si>
  <si>
    <t>Printing &amp; Viewing</t>
  </si>
  <si>
    <t>BPMS 12-1</t>
  </si>
  <si>
    <t>Table of Contents Page Numbers</t>
  </si>
  <si>
    <t>BPMS 12-2</t>
  </si>
  <si>
    <t>Sheet Page Numbers</t>
  </si>
  <si>
    <t>Every sheet within a workbook should contain page numbers that correspond with the printed page numbers stated in the workbook table of contents, when printing the entire workbook.</t>
  </si>
  <si>
    <t>BPMS 12-3</t>
  </si>
  <si>
    <t>Page Margin Consistency</t>
  </si>
  <si>
    <t>The page margins on every sheet in a workbook should be consistent.</t>
  </si>
  <si>
    <t>BPMS 12-4</t>
  </si>
  <si>
    <t>Print View Consistency</t>
  </si>
  <si>
    <t>The print scaling setting and hence the size of the content on each printed page in a workbook should, where practical, be consistent for each sheet.</t>
  </si>
  <si>
    <t>BPMS 12-5</t>
  </si>
  <si>
    <t>Page View Consistency</t>
  </si>
  <si>
    <t>The view type should be the same for each sheet in a workbook.</t>
  </si>
  <si>
    <t>BPMS 12-6</t>
  </si>
  <si>
    <t>Worksheet View Consistency</t>
  </si>
  <si>
    <t>Prior to providing a workbook to a model user, the view of every worksheet in the workbook should be set such that the top-left corner of the worksheet is in view (i.e. cell A1 is selected).</t>
  </si>
  <si>
    <t>SMA 13.</t>
  </si>
  <si>
    <t>Multiple Workbooks</t>
  </si>
  <si>
    <t>BPMS 13-1</t>
  </si>
  <si>
    <t>External Workbook Imports</t>
  </si>
  <si>
    <t>All links from an external workbook into a workbook should be made via dedicated and separate model import sheets.</t>
  </si>
  <si>
    <t>BPMS 13-2</t>
  </si>
  <si>
    <t>External Workbook Exports</t>
  </si>
  <si>
    <t>All links to an external workbook from a workbook should be made via dedicated and separate model export sheets.</t>
  </si>
  <si>
    <t>BPMS 13-3</t>
  </si>
  <si>
    <t>Workbook Output Links</t>
  </si>
  <si>
    <t>All formulae on a model export worksheet should always be linked directly to the workbook calculations.</t>
  </si>
  <si>
    <t>SMA 14.</t>
  </si>
  <si>
    <t>Security and Protection</t>
  </si>
  <si>
    <t>SMA 15.</t>
  </si>
  <si>
    <t>Visual Basic Programming</t>
  </si>
  <si>
    <t>SMA 16.</t>
  </si>
  <si>
    <t>Miscellaneous</t>
  </si>
  <si>
    <t>BPMS 16-1</t>
  </si>
  <si>
    <t>Automatic Calculation Setting</t>
  </si>
  <si>
    <t>A workbook should, where practical, be set to calculate automatically.</t>
  </si>
  <si>
    <t>The purpose of a workbook should be the primary consideration of a model developer during every stage of a workbook’s development.</t>
  </si>
  <si>
    <t>The purpose of a workbook can be universally segregated into three levels as follows:</t>
  </si>
  <si>
    <t>Every workbook that contains multiple categories or similar types of information should be separated into sections.</t>
  </si>
  <si>
    <t>A separate section should be created in a workbook for each sheet or group of sheets containing similar types of information.</t>
  </si>
  <si>
    <t>A presentation sheet is a sheet that is included in a workbook in order to present output which is exempt from the standards and conventions in order to meet aesthetic or corporate requirements.</t>
  </si>
  <si>
    <t>so that the cell can be copied across / down the relevant range without needing to make changes.</t>
  </si>
  <si>
    <t>When more than one adjacent cell contains a similar type of output the structure and components of the formulae within the cells should always be consistent,</t>
  </si>
  <si>
    <t>Every workbook with more than one sheet should contain a table of contents that displays the corresponding printed page numbers for each sheet.</t>
  </si>
  <si>
    <t>As such a workbook should always print with a Table of Contents that is consistent with any page numbers printed on the individual sheet pages.</t>
  </si>
  <si>
    <t>Content on a model export worksheet should never be moved from one workbook to another workbook in a manner (e.g. copied and pasted as values) which creates static data that will not change</t>
  </si>
  <si>
    <t>when changes are made to the workbook from which the data originated.</t>
  </si>
  <si>
    <t>n/a</t>
  </si>
  <si>
    <t>Go to Workbook Purpose Example</t>
  </si>
  <si>
    <t>Go to Sheet Classification Example</t>
  </si>
  <si>
    <t>Contains the model appendices</t>
  </si>
  <si>
    <t>Go to Cell Classification Example</t>
  </si>
  <si>
    <t>Go to Cell Content Example</t>
  </si>
  <si>
    <t>Go to Assumption Cell Content Example</t>
  </si>
  <si>
    <t>Go to Cover Sheet Example</t>
  </si>
  <si>
    <t>Go to Contents Sheet Example</t>
  </si>
  <si>
    <t>Go to Section Cover Sheet Example</t>
  </si>
  <si>
    <t>Go to Time Series Sheet Example</t>
  </si>
  <si>
    <t>Go to Blank Sheet Example</t>
  </si>
  <si>
    <t>Go to Lookup Sheet  Example</t>
  </si>
  <si>
    <t>Go to Assumption Sheet Example</t>
  </si>
  <si>
    <t>Go to Output Sheet Example</t>
  </si>
  <si>
    <t>Go to Assumption Cell Example</t>
  </si>
  <si>
    <t>Go to Output Cell Example</t>
  </si>
  <si>
    <t>Go to Workbook Navigation Example</t>
  </si>
  <si>
    <t>Go to Sheet Titles Example</t>
  </si>
  <si>
    <t>Go to Sheet Type Consistency Example A</t>
  </si>
  <si>
    <t>Go to Sheet Type Consistency Example B</t>
  </si>
  <si>
    <t>Go to Sheet Type Consistency Example C</t>
  </si>
  <si>
    <t>Go to Grouping Rows or Columns Example</t>
  </si>
  <si>
    <t>Go to Formats and Styles Key Example</t>
  </si>
  <si>
    <t>Go to Worksheet Data Alignment Example A</t>
  </si>
  <si>
    <t>Go to Worksheet Data Alignment Example B</t>
  </si>
  <si>
    <t>Go to Denomination Identification Example</t>
  </si>
  <si>
    <t>Go to Workbook Denomination Example</t>
  </si>
  <si>
    <t>Go to Hyperlink Consistency Example</t>
  </si>
  <si>
    <t>Go to Work in Progress Example</t>
  </si>
  <si>
    <t>Go to No Assumption Repetition Example</t>
  </si>
  <si>
    <t>Go to Control Cell Link Placement Example</t>
  </si>
  <si>
    <t>Go to In-Cell Drop Down Lists Example</t>
  </si>
  <si>
    <t>Go to Segregation of Outputs Example</t>
  </si>
  <si>
    <t>Go to Presentation Sheets Example</t>
  </si>
  <si>
    <t>Go to Circular References Example</t>
  </si>
  <si>
    <t>Go to Consistent Formulae Example</t>
  </si>
  <si>
    <t>Go to Sheet Naming Example</t>
  </si>
  <si>
    <t>Go to Range Naming Example</t>
  </si>
  <si>
    <t>Go to Standardised Naming Prefixes Example</t>
  </si>
  <si>
    <t>Go to Time Series Assumptions Example</t>
  </si>
  <si>
    <t>Go to Time Series Period Labels Example</t>
  </si>
  <si>
    <t>Go to Time Series Period End Dates Example</t>
  </si>
  <si>
    <t>Go to Time Series Periodicity Identification Example</t>
  </si>
  <si>
    <t>Go to Time Series Number of Periods Example</t>
  </si>
  <si>
    <t>Go to Time Series Sheet Consistency Example</t>
  </si>
  <si>
    <t>Go to Checks Classification Example</t>
  </si>
  <si>
    <t>Go to Error Check Example</t>
  </si>
  <si>
    <t>Go to Alert Check Example</t>
  </si>
  <si>
    <t>Go to Error Checks Summary Example</t>
  </si>
  <si>
    <t>Go to Alert Checks Summary Example</t>
  </si>
  <si>
    <t>Go to Check Indicator Flag Example</t>
  </si>
  <si>
    <t>Go to Check Cell Formatting Example</t>
  </si>
  <si>
    <t>Go to Dedicated Checks Summaries Example</t>
  </si>
  <si>
    <t>Go to Table of Contents Page Numbers Example</t>
  </si>
  <si>
    <t>Go to Sheet Page Numbers Example</t>
  </si>
  <si>
    <t>The purpose of this model is to provide an example of a historical and forecast business planning model developed using bpmToolbox in accordance with the Best Practice Spreadsheet Modelling Standards (Version 6.1).</t>
  </si>
  <si>
    <t>This model has been designed to provide an example of the implementation of the Best Practice Spreadsheet Modelling Standards Version 6.1.</t>
  </si>
  <si>
    <t>This model has been developed for those interested in implement spreadsheet best practices.</t>
  </si>
  <si>
    <t>This model has been built in accordance with Version 6.1 of the Best Practice Spreadsheet Modelling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</si>
</sst>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4" x14ac:knownFonts="1">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b/>
      <sz val="9"/>
      <color indexed="58"/>
      <name val="Tahoma"/>
      <family val="2"/>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
      <sz val="8"/>
      <color rgb="FF000000"/>
      <name val="Tahoma"/>
      <family val="2"/>
      <charset val="162"/>
    </font>
  </fonts>
  <fills count="38">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medium">
        <color indexed="58"/>
      </left>
      <right/>
      <top style="medium">
        <color indexed="58"/>
      </top>
      <bottom/>
      <diagonal/>
    </border>
    <border>
      <left/>
      <right/>
      <top style="medium">
        <color indexed="58"/>
      </top>
      <bottom/>
      <diagonal/>
    </border>
    <border>
      <left/>
      <right style="medium">
        <color indexed="58"/>
      </right>
      <top style="medium">
        <color indexed="58"/>
      </top>
      <bottom/>
      <diagonal/>
    </border>
    <border>
      <left style="medium">
        <color indexed="58"/>
      </left>
      <right/>
      <top/>
      <bottom/>
      <diagonal/>
    </border>
    <border>
      <left/>
      <right style="medium">
        <color indexed="58"/>
      </right>
      <top/>
      <bottom/>
      <diagonal/>
    </border>
    <border>
      <left style="medium">
        <color indexed="58"/>
      </left>
      <right/>
      <top/>
      <bottom style="medium">
        <color indexed="58"/>
      </bottom>
      <diagonal/>
    </border>
    <border>
      <left/>
      <right/>
      <top/>
      <bottom style="medium">
        <color indexed="58"/>
      </bottom>
      <diagonal/>
    </border>
    <border>
      <left/>
      <right style="medium">
        <color indexed="58"/>
      </right>
      <top/>
      <bottom style="medium">
        <color indexed="5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right style="thin">
        <color indexed="18"/>
      </right>
      <top style="thin">
        <color indexed="18"/>
      </top>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51">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6" fillId="0" borderId="0" xfId="56" applyFont="1">
      <alignment vertical="center"/>
    </xf>
    <xf numFmtId="0" fontId="58"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6" fillId="0" borderId="0" xfId="56" applyFont="1" applyAlignment="1">
      <alignment horizontal="left" vertical="center"/>
    </xf>
    <xf numFmtId="0" fontId="59"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8" fillId="0" borderId="0" xfId="53" applyFont="1" applyAlignment="1">
      <alignment horizontal="left" vertical="center"/>
    </xf>
    <xf numFmtId="0" fontId="57" fillId="0" borderId="0" xfId="54" applyFont="1" applyAlignment="1">
      <alignment horizontal="left" vertical="center"/>
    </xf>
    <xf numFmtId="0" fontId="57" fillId="0" borderId="2" xfId="54" applyFont="1" applyBorder="1" applyAlignment="1">
      <alignment horizontal="left" vertical="center"/>
    </xf>
    <xf numFmtId="0" fontId="56" fillId="0" borderId="0" xfId="56" quotePrefix="1" applyFont="1" applyAlignment="1">
      <alignment horizontal="left" vertical="center"/>
    </xf>
    <xf numFmtId="0" fontId="56" fillId="0" borderId="0" xfId="56" applyFont="1" applyAlignment="1">
      <alignment horizontal="center" vertical="center"/>
    </xf>
    <xf numFmtId="0" fontId="63" fillId="0" borderId="1" xfId="73" applyFont="1" applyAlignment="1">
      <alignment horizontal="center" vertical="center"/>
    </xf>
    <xf numFmtId="0" fontId="62" fillId="0" borderId="1" xfId="75" applyFont="1" applyAlignment="1">
      <alignment horizontal="center" vertical="center"/>
    </xf>
    <xf numFmtId="172" fontId="62"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8" fillId="2" borderId="0" xfId="53" applyFont="1" applyFill="1" applyAlignment="1">
      <alignment horizontal="left" vertical="center"/>
    </xf>
    <xf numFmtId="0" fontId="57" fillId="2" borderId="0" xfId="54" applyFont="1" applyFill="1" applyAlignment="1">
      <alignment horizontal="left" vertical="center"/>
    </xf>
    <xf numFmtId="0" fontId="56" fillId="2" borderId="0" xfId="56" applyFont="1" applyFill="1" applyAlignment="1">
      <alignment horizontal="left" vertical="center"/>
    </xf>
    <xf numFmtId="0" fontId="54" fillId="2" borderId="0" xfId="55" applyFont="1" applyFill="1" applyAlignment="1">
      <alignment horizontal="left" vertical="center"/>
    </xf>
    <xf numFmtId="0" fontId="56" fillId="2" borderId="0" xfId="56" quotePrefix="1" applyFont="1" applyFill="1" applyAlignment="1">
      <alignment horizontal="right" vertical="center"/>
    </xf>
    <xf numFmtId="0" fontId="56" fillId="2" borderId="0" xfId="56" quotePrefix="1" applyFont="1" applyFill="1" applyAlignment="1">
      <alignment horizontal="left" vertical="center"/>
    </xf>
    <xf numFmtId="0" fontId="64" fillId="2" borderId="0" xfId="65" applyFont="1" applyFill="1" applyAlignment="1">
      <alignment horizontal="center" vertical="center"/>
      <protection locked="0"/>
    </xf>
    <xf numFmtId="0" fontId="67" fillId="2" borderId="0" xfId="72" applyFont="1" applyFill="1" applyAlignment="1">
      <alignment horizontal="left" vertical="center"/>
    </xf>
    <xf numFmtId="178" fontId="43" fillId="2" borderId="0" xfId="67" applyFont="1" applyFill="1" applyAlignment="1">
      <alignment horizontal="right" vertical="center"/>
    </xf>
    <xf numFmtId="0" fontId="65" fillId="2" borderId="0" xfId="56" applyFont="1" applyFill="1" applyAlignment="1">
      <alignment horizontal="right" vertical="center"/>
    </xf>
    <xf numFmtId="172" fontId="43" fillId="2" borderId="0" xfId="68" applyNumberFormat="1" applyFont="1" applyFill="1" applyAlignment="1">
      <alignment horizontal="right" vertical="center"/>
    </xf>
    <xf numFmtId="0" fontId="67" fillId="2" borderId="2" xfId="72" applyFont="1" applyFill="1" applyBorder="1" applyAlignment="1">
      <alignment horizontal="left" vertical="center"/>
    </xf>
    <xf numFmtId="0" fontId="67" fillId="2" borderId="2" xfId="72" applyFont="1" applyFill="1" applyBorder="1" applyAlignment="1">
      <alignment horizontal="right" vertical="center"/>
    </xf>
    <xf numFmtId="0" fontId="56" fillId="2" borderId="2" xfId="56" applyFont="1" applyFill="1" applyBorder="1" applyAlignment="1">
      <alignment horizontal="left" vertical="center"/>
    </xf>
    <xf numFmtId="0" fontId="57" fillId="2" borderId="0" xfId="54" applyFont="1" applyFill="1">
      <alignment vertical="center"/>
    </xf>
    <xf numFmtId="0" fontId="54" fillId="2" borderId="0" xfId="55" applyFont="1" applyFill="1">
      <alignment vertical="center"/>
    </xf>
    <xf numFmtId="169" fontId="62" fillId="0" borderId="10" xfId="62" applyFont="1">
      <alignment vertical="center"/>
      <protection locked="0"/>
    </xf>
    <xf numFmtId="169" fontId="62" fillId="0" borderId="19" xfId="62" applyFont="1" applyBorder="1">
      <alignment vertical="center"/>
      <protection locked="0"/>
    </xf>
    <xf numFmtId="0" fontId="56" fillId="2" borderId="0" xfId="56" applyFont="1" applyFill="1">
      <alignment vertical="center"/>
    </xf>
    <xf numFmtId="0" fontId="62"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6" fillId="0" borderId="0" xfId="68" applyNumberFormat="1" applyFont="1" applyAlignment="1">
      <alignment horizontal="center" vertical="center"/>
    </xf>
    <xf numFmtId="172" fontId="67"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60"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2" fillId="2" borderId="0" xfId="68" quotePrefix="1" applyNumberFormat="1" applyFont="1" applyFill="1" applyAlignment="1">
      <alignment horizontal="right" vertical="center"/>
    </xf>
    <xf numFmtId="168" fontId="43" fillId="2" borderId="0" xfId="68" applyFont="1" applyFill="1">
      <alignment vertical="center"/>
    </xf>
    <xf numFmtId="0" fontId="67" fillId="0" borderId="0" xfId="72" applyFont="1" applyAlignment="1">
      <alignment horizontal="left" vertical="center"/>
    </xf>
    <xf numFmtId="0" fontId="67" fillId="0" borderId="0" xfId="72" applyFont="1" applyAlignment="1">
      <alignment horizontal="right" vertical="center"/>
    </xf>
    <xf numFmtId="178" fontId="43" fillId="0" borderId="0" xfId="67" applyFont="1" applyAlignment="1">
      <alignment horizontal="right" vertical="center"/>
    </xf>
    <xf numFmtId="177" fontId="66" fillId="0" borderId="0" xfId="66" applyFont="1" applyAlignment="1">
      <alignment horizontal="right" vertical="center"/>
    </xf>
    <xf numFmtId="0" fontId="65" fillId="0" borderId="0" xfId="56" applyFont="1" applyAlignment="1">
      <alignment horizontal="right" vertical="center"/>
    </xf>
    <xf numFmtId="172" fontId="43" fillId="0" borderId="0" xfId="68" applyNumberFormat="1" applyFont="1" applyAlignment="1">
      <alignment horizontal="right" vertical="center"/>
    </xf>
    <xf numFmtId="0" fontId="67" fillId="0" borderId="2" xfId="72" applyFont="1" applyBorder="1" applyAlignment="1">
      <alignment horizontal="left" vertical="center"/>
    </xf>
    <xf numFmtId="0" fontId="67" fillId="0" borderId="2" xfId="72" applyFont="1" applyBorder="1" applyAlignment="1">
      <alignment horizontal="right" vertical="center"/>
    </xf>
    <xf numFmtId="0" fontId="56" fillId="0" borderId="2" xfId="56" applyFont="1" applyBorder="1" applyAlignment="1">
      <alignment horizontal="left" vertical="center"/>
    </xf>
    <xf numFmtId="168" fontId="66" fillId="0" borderId="2" xfId="68" applyFont="1" applyBorder="1" applyAlignment="1">
      <alignment horizontal="right" vertical="center"/>
    </xf>
    <xf numFmtId="0" fontId="57"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6" fillId="0" borderId="0" xfId="69" applyFont="1">
      <alignment vertical="center"/>
    </xf>
    <xf numFmtId="172" fontId="66" fillId="0" borderId="0" xfId="68" applyNumberFormat="1" applyFont="1">
      <alignment vertical="center"/>
    </xf>
    <xf numFmtId="0" fontId="63" fillId="0" borderId="1" xfId="73" applyFont="1">
      <alignment horizontal="center" vertical="center"/>
    </xf>
    <xf numFmtId="0" fontId="62"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6"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6" fillId="0" borderId="0" xfId="56" applyFont="1" applyAlignment="1">
      <alignment horizontal="left" vertical="center"/>
    </xf>
    <xf numFmtId="0" fontId="58" fillId="2" borderId="0" xfId="53" applyFont="1" applyFill="1">
      <alignment vertical="center"/>
    </xf>
    <xf numFmtId="168" fontId="62" fillId="0" borderId="10" xfId="61" applyFont="1">
      <alignment vertical="center"/>
      <protection locked="0"/>
    </xf>
    <xf numFmtId="172" fontId="73" fillId="0" borderId="0" xfId="68" applyNumberFormat="1" applyFont="1">
      <alignment vertical="center"/>
    </xf>
    <xf numFmtId="0" fontId="65" fillId="0" borderId="0" xfId="56" applyFont="1">
      <alignment vertical="center"/>
    </xf>
    <xf numFmtId="0" fontId="74" fillId="0" borderId="0" xfId="56" applyFont="1">
      <alignment vertical="center"/>
    </xf>
    <xf numFmtId="169" fontId="43" fillId="0" borderId="0" xfId="69" applyFont="1">
      <alignment vertical="center"/>
    </xf>
    <xf numFmtId="0" fontId="58"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6" fillId="0" borderId="3" xfId="68" applyFont="1" applyBorder="1">
      <alignment vertical="center"/>
    </xf>
    <xf numFmtId="172" fontId="66"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5" fillId="2" borderId="0" xfId="56" applyFont="1" applyFill="1">
      <alignment vertical="center"/>
    </xf>
    <xf numFmtId="174" fontId="43" fillId="0" borderId="0" xfId="69" applyNumberFormat="1" applyFont="1">
      <alignment vertical="center"/>
    </xf>
    <xf numFmtId="174" fontId="62" fillId="0" borderId="10" xfId="62" applyNumberFormat="1" applyFont="1">
      <alignment vertical="center"/>
      <protection locked="0"/>
    </xf>
    <xf numFmtId="174" fontId="43" fillId="2" borderId="6" xfId="69" applyNumberFormat="1" applyFont="1" applyFill="1" applyBorder="1">
      <alignment vertical="center"/>
    </xf>
    <xf numFmtId="0" fontId="60" fillId="2" borderId="0" xfId="55" applyFont="1" applyFill="1">
      <alignment vertical="center"/>
    </xf>
    <xf numFmtId="174" fontId="43" fillId="0" borderId="6" xfId="69" applyNumberFormat="1" applyFont="1" applyBorder="1">
      <alignment vertical="center"/>
    </xf>
    <xf numFmtId="0" fontId="60" fillId="0" borderId="0" xfId="55" applyFont="1">
      <alignment vertical="center"/>
    </xf>
    <xf numFmtId="0" fontId="62" fillId="0" borderId="10" xfId="58" applyFont="1" applyAlignment="1">
      <alignment horizontal="center" vertical="center"/>
      <protection locked="0"/>
    </xf>
    <xf numFmtId="179" fontId="62"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6"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6" fillId="0" borderId="7" xfId="68" applyFont="1" applyBorder="1">
      <alignment vertical="center"/>
    </xf>
    <xf numFmtId="0" fontId="56" fillId="0" borderId="0" xfId="56" applyFont="1" applyFill="1">
      <alignment vertical="center"/>
    </xf>
    <xf numFmtId="0" fontId="56"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3" fillId="0" borderId="0" xfId="68" applyFont="1">
      <alignment vertical="center"/>
    </xf>
    <xf numFmtId="168" fontId="62" fillId="0" borderId="38" xfId="68" applyFont="1" applyBorder="1">
      <alignment vertical="center"/>
    </xf>
    <xf numFmtId="168" fontId="43" fillId="0" borderId="39" xfId="68" applyFont="1" applyBorder="1">
      <alignment vertical="center"/>
    </xf>
    <xf numFmtId="168" fontId="43" fillId="0" borderId="40" xfId="68" applyFont="1" applyBorder="1">
      <alignment vertical="center"/>
    </xf>
    <xf numFmtId="0" fontId="10" fillId="0" borderId="0" xfId="105" applyFill="1" applyBorder="1">
      <alignment vertical="center"/>
    </xf>
    <xf numFmtId="0" fontId="56" fillId="0" borderId="0" xfId="56" applyFont="1">
      <alignment vertical="center"/>
    </xf>
    <xf numFmtId="0" fontId="54" fillId="0" borderId="0" xfId="55" applyFont="1">
      <alignment vertical="center"/>
    </xf>
    <xf numFmtId="0" fontId="0" fillId="2" borderId="0" xfId="0" applyFill="1">
      <alignment vertical="center"/>
    </xf>
    <xf numFmtId="0" fontId="56" fillId="0" borderId="0" xfId="56" applyFont="1">
      <alignment vertical="center"/>
    </xf>
    <xf numFmtId="0" fontId="54" fillId="0" borderId="0" xfId="55" applyFont="1">
      <alignment vertical="center"/>
    </xf>
    <xf numFmtId="0" fontId="56" fillId="0" borderId="0" xfId="56" applyFont="1" applyBorder="1">
      <alignment vertical="center"/>
    </xf>
    <xf numFmtId="0" fontId="78" fillId="0" borderId="0" xfId="56" applyFont="1">
      <alignment vertical="center"/>
    </xf>
    <xf numFmtId="0" fontId="56"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6"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6" fillId="0" borderId="0" xfId="56" applyFont="1" applyAlignment="1">
      <alignment horizontal="left" vertical="center"/>
    </xf>
    <xf numFmtId="0" fontId="7" fillId="0" borderId="0" xfId="0" applyFont="1" applyFill="1" applyAlignment="1">
      <alignment vertical="top" wrapText="1"/>
    </xf>
    <xf numFmtId="0" fontId="0" fillId="0" borderId="0" xfId="0" applyFill="1" applyAlignment="1">
      <alignment vertical="top"/>
    </xf>
    <xf numFmtId="0" fontId="56" fillId="0" borderId="0" xfId="56" applyFont="1" applyFill="1">
      <alignment vertical="center"/>
    </xf>
    <xf numFmtId="0" fontId="42" fillId="0" borderId="0" xfId="56" applyFont="1" applyFill="1">
      <alignment vertical="center"/>
    </xf>
    <xf numFmtId="0" fontId="56" fillId="0" borderId="0" xfId="56" applyFont="1" applyAlignment="1">
      <alignment horizontal="left" vertical="center"/>
    </xf>
    <xf numFmtId="0" fontId="0" fillId="2" borderId="0" xfId="0" applyFill="1">
      <alignment vertical="center"/>
    </xf>
    <xf numFmtId="178" fontId="67" fillId="2" borderId="0" xfId="72" applyNumberFormat="1" applyFont="1" applyFill="1" applyAlignment="1">
      <alignment horizontal="right" vertical="center"/>
    </xf>
    <xf numFmtId="177" fontId="66" fillId="2" borderId="0" xfId="66" applyNumberFormat="1" applyFont="1" applyFill="1" applyAlignment="1">
      <alignment horizontal="right" vertical="center"/>
    </xf>
    <xf numFmtId="0" fontId="65"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2" fillId="0" borderId="41" xfId="61" applyFont="1" applyBorder="1">
      <alignment vertical="center"/>
      <protection locked="0"/>
    </xf>
    <xf numFmtId="168" fontId="43" fillId="2" borderId="42" xfId="68" applyFont="1" applyFill="1" applyBorder="1">
      <alignment vertical="center"/>
    </xf>
    <xf numFmtId="172" fontId="43" fillId="2" borderId="0" xfId="68" applyNumberFormat="1" applyFont="1" applyFill="1" applyBorder="1">
      <alignment vertical="center"/>
    </xf>
    <xf numFmtId="172" fontId="66" fillId="2" borderId="3" xfId="68" applyNumberFormat="1" applyFont="1" applyFill="1" applyBorder="1">
      <alignment vertical="center"/>
    </xf>
    <xf numFmtId="168" fontId="43" fillId="2" borderId="43" xfId="68" applyFont="1" applyFill="1" applyBorder="1">
      <alignment vertical="center"/>
    </xf>
    <xf numFmtId="0" fontId="56" fillId="0" borderId="0" xfId="56" applyFont="1" applyFill="1">
      <alignment vertical="center"/>
    </xf>
    <xf numFmtId="0" fontId="42" fillId="0" borderId="0" xfId="56" applyFont="1" applyFill="1">
      <alignment vertical="center"/>
    </xf>
    <xf numFmtId="0" fontId="0" fillId="2" borderId="0" xfId="0" applyFill="1">
      <alignment vertical="center"/>
    </xf>
    <xf numFmtId="0" fontId="56"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7" fillId="0" borderId="0" xfId="72" applyNumberFormat="1" applyFont="1" applyAlignment="1">
      <alignment horizontal="right" vertical="center"/>
    </xf>
    <xf numFmtId="177" fontId="66" fillId="0" borderId="0" xfId="66" applyNumberFormat="1" applyFont="1" applyAlignment="1">
      <alignment horizontal="right" vertical="center"/>
    </xf>
    <xf numFmtId="0" fontId="65" fillId="0" borderId="2" xfId="56" applyFont="1" applyBorder="1" applyAlignment="1">
      <alignment horizontal="right" vertical="center"/>
    </xf>
    <xf numFmtId="168" fontId="44" fillId="0" borderId="9" xfId="68" applyFont="1" applyFill="1" applyBorder="1">
      <alignment vertical="center"/>
    </xf>
    <xf numFmtId="168" fontId="43" fillId="0" borderId="42" xfId="68" applyFont="1" applyFill="1" applyBorder="1">
      <alignment vertical="center"/>
    </xf>
    <xf numFmtId="168" fontId="44" fillId="0" borderId="8" xfId="68" applyFont="1" applyFill="1" applyBorder="1">
      <alignment vertical="center"/>
    </xf>
    <xf numFmtId="0" fontId="65"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6"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2" fillId="0" borderId="19" xfId="61" applyNumberFormat="1" applyFont="1" applyBorder="1">
      <alignment vertical="center"/>
      <protection locked="0"/>
    </xf>
    <xf numFmtId="168" fontId="43" fillId="2" borderId="0" xfId="68" applyFont="1" applyFill="1" applyBorder="1">
      <alignment vertical="center"/>
    </xf>
    <xf numFmtId="0" fontId="63" fillId="2" borderId="0" xfId="72" applyFont="1" applyFill="1" applyBorder="1" applyAlignment="1">
      <alignment horizontal="right" vertical="center"/>
    </xf>
    <xf numFmtId="169" fontId="75"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44"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2" fillId="0" borderId="45" xfId="61" applyFont="1" applyBorder="1">
      <alignment vertical="center"/>
      <protection locked="0"/>
    </xf>
    <xf numFmtId="0" fontId="76" fillId="0" borderId="0" xfId="54" applyFont="1" applyFill="1">
      <alignment vertical="center"/>
    </xf>
    <xf numFmtId="0" fontId="62" fillId="0" borderId="0" xfId="0" applyFont="1">
      <alignment vertical="center"/>
    </xf>
    <xf numFmtId="172" fontId="66" fillId="2" borderId="0" xfId="68" applyNumberFormat="1" applyFont="1" applyFill="1" applyBorder="1">
      <alignment vertical="center"/>
    </xf>
    <xf numFmtId="172" fontId="66" fillId="0" borderId="0" xfId="68" applyNumberFormat="1" applyFont="1" applyFill="1" applyBorder="1">
      <alignment vertical="center"/>
    </xf>
    <xf numFmtId="0" fontId="0" fillId="2" borderId="0" xfId="0" applyFill="1">
      <alignment vertical="center"/>
    </xf>
    <xf numFmtId="0" fontId="56" fillId="2" borderId="0" xfId="56" applyFont="1" applyFill="1" applyAlignment="1">
      <alignment vertical="center" wrapText="1"/>
    </xf>
    <xf numFmtId="0" fontId="56" fillId="2" borderId="0" xfId="56" applyFont="1" applyFill="1" applyAlignment="1">
      <alignment vertical="center"/>
    </xf>
    <xf numFmtId="0" fontId="65" fillId="0" borderId="0" xfId="56" applyFont="1" applyAlignment="1">
      <alignment horizontal="center" vertical="center"/>
    </xf>
    <xf numFmtId="0" fontId="58" fillId="0" borderId="2" xfId="53" applyFont="1" applyBorder="1" applyAlignment="1">
      <alignment horizontal="left" vertical="center"/>
    </xf>
    <xf numFmtId="0" fontId="58" fillId="0" borderId="2" xfId="53" applyFont="1" applyBorder="1" applyAlignment="1">
      <alignment horizontal="center" vertical="center"/>
    </xf>
    <xf numFmtId="172" fontId="79" fillId="0" borderId="0" xfId="79" applyNumberFormat="1" applyFont="1" applyAlignment="1">
      <alignment horizontal="center" vertical="center"/>
    </xf>
    <xf numFmtId="172" fontId="80"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6" fillId="0" borderId="0" xfId="56" applyFont="1" applyAlignment="1">
      <alignment horizontal="center" vertical="center"/>
    </xf>
    <xf numFmtId="0" fontId="56" fillId="0" borderId="0" xfId="56" applyFont="1" applyAlignment="1">
      <alignment horizontal="left" vertical="center"/>
    </xf>
    <xf numFmtId="0" fontId="45" fillId="0" borderId="0" xfId="76">
      <alignment vertical="center"/>
    </xf>
    <xf numFmtId="0" fontId="82" fillId="0" borderId="1" xfId="65" applyFont="1" applyBorder="1" applyAlignment="1">
      <alignment horizontal="center" vertical="center"/>
      <protection locked="0"/>
    </xf>
    <xf numFmtId="0" fontId="45" fillId="0" borderId="0" xfId="76">
      <alignment vertical="center"/>
    </xf>
    <xf numFmtId="0" fontId="56" fillId="0" borderId="0" xfId="56" applyFont="1" applyAlignment="1">
      <alignment horizontal="left" vertical="center"/>
    </xf>
    <xf numFmtId="0" fontId="5" fillId="0" borderId="0" xfId="78" applyAlignment="1">
      <alignment horizontal="center" vertical="center"/>
    </xf>
    <xf numFmtId="0" fontId="0" fillId="2" borderId="0" xfId="0" applyFill="1" applyBorder="1">
      <alignment vertical="center"/>
    </xf>
    <xf numFmtId="168" fontId="62" fillId="0" borderId="19" xfId="61" applyFont="1" applyBorder="1">
      <alignment vertical="center"/>
      <protection locked="0"/>
    </xf>
    <xf numFmtId="168" fontId="62" fillId="0" borderId="46" xfId="61" applyFont="1" applyBorder="1">
      <alignment vertical="center"/>
      <protection locked="0"/>
    </xf>
    <xf numFmtId="0" fontId="0" fillId="2" borderId="0" xfId="0" applyFill="1">
      <alignment vertical="center"/>
    </xf>
    <xf numFmtId="0" fontId="45" fillId="0" borderId="0" xfId="76">
      <alignment vertical="center"/>
    </xf>
    <xf numFmtId="0" fontId="55" fillId="0" borderId="21" xfId="87" applyFont="1" applyBorder="1" applyAlignment="1">
      <alignment horizontal="left" vertical="center" wrapText="1" indent="1"/>
    </xf>
    <xf numFmtId="0" fontId="55" fillId="0" borderId="22" xfId="87" applyFont="1" applyBorder="1" applyAlignment="1">
      <alignment horizontal="left" vertical="center" wrapText="1" indent="1"/>
    </xf>
    <xf numFmtId="0" fontId="55" fillId="0" borderId="23" xfId="87" applyFont="1" applyBorder="1" applyAlignment="1">
      <alignment horizontal="left" vertical="center" wrapText="1" indent="1"/>
    </xf>
    <xf numFmtId="0" fontId="55" fillId="0" borderId="24" xfId="87" applyFont="1" applyBorder="1" applyAlignment="1">
      <alignment horizontal="left" vertical="center" wrapText="1" indent="1"/>
    </xf>
    <xf numFmtId="0" fontId="55" fillId="0" borderId="0" xfId="87" applyFont="1" applyBorder="1" applyAlignment="1">
      <alignment horizontal="left" vertical="center" wrapText="1" indent="1"/>
    </xf>
    <xf numFmtId="0" fontId="55" fillId="0" borderId="25" xfId="87" applyFont="1" applyBorder="1" applyAlignment="1">
      <alignment horizontal="left" vertical="center" wrapText="1" indent="1"/>
    </xf>
    <xf numFmtId="0" fontId="55" fillId="0" borderId="26" xfId="87" applyFont="1" applyBorder="1" applyAlignment="1">
      <alignment horizontal="left" vertical="center" wrapText="1" indent="1"/>
    </xf>
    <xf numFmtId="0" fontId="55" fillId="0" borderId="27" xfId="87" applyFont="1" applyBorder="1" applyAlignment="1">
      <alignment horizontal="left" vertical="center" wrapText="1" indent="1"/>
    </xf>
    <xf numFmtId="0" fontId="55" fillId="0" borderId="28" xfId="87" applyFont="1" applyBorder="1" applyAlignment="1">
      <alignment horizontal="left" vertical="center" wrapText="1" indent="1"/>
    </xf>
    <xf numFmtId="0" fontId="56"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173"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4" fillId="0" borderId="0" xfId="55" applyFont="1" applyFill="1" applyAlignment="1">
      <alignment vertical="top"/>
    </xf>
    <xf numFmtId="0" fontId="56" fillId="0" borderId="0" xfId="56" applyFont="1" applyFill="1">
      <alignment vertical="center"/>
    </xf>
    <xf numFmtId="0" fontId="45" fillId="0" borderId="0" xfId="76" applyFill="1">
      <alignment vertical="center"/>
    </xf>
    <xf numFmtId="0" fontId="56" fillId="0" borderId="0" xfId="56" quotePrefix="1" applyFont="1" applyFill="1">
      <alignment vertical="center"/>
    </xf>
    <xf numFmtId="0" fontId="42" fillId="0" borderId="0" xfId="56" applyFont="1" applyFill="1">
      <alignment vertical="center"/>
    </xf>
    <xf numFmtId="0" fontId="54" fillId="0" borderId="0" xfId="55" applyFont="1" applyFill="1">
      <alignment vertical="center"/>
    </xf>
    <xf numFmtId="0" fontId="6" fillId="0" borderId="0" xfId="0" quotePrefix="1" applyFont="1" applyFill="1" applyAlignment="1">
      <alignment horizontal="right" vertical="top"/>
    </xf>
    <xf numFmtId="0" fontId="56" fillId="0" borderId="0" xfId="56" applyFont="1" applyFill="1" applyAlignment="1">
      <alignment vertical="top" wrapText="1"/>
    </xf>
    <xf numFmtId="0" fontId="6" fillId="0" borderId="0" xfId="0" applyFont="1" applyFill="1" applyAlignment="1">
      <alignment vertical="top"/>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center" vertical="center"/>
    </xf>
    <xf numFmtId="0" fontId="45" fillId="0" borderId="0" xfId="76" quotePrefix="1" applyBorder="1">
      <alignment vertical="center"/>
    </xf>
    <xf numFmtId="0" fontId="45" fillId="0" borderId="0" xfId="76" applyBorder="1">
      <alignment vertical="center"/>
    </xf>
    <xf numFmtId="0" fontId="45" fillId="0" borderId="0" xfId="76" quotePrefix="1">
      <alignment vertical="center"/>
    </xf>
    <xf numFmtId="0" fontId="0" fillId="0" borderId="0" xfId="0">
      <alignment vertical="center"/>
    </xf>
    <xf numFmtId="0" fontId="56" fillId="0" borderId="0" xfId="56" applyFont="1" applyAlignment="1">
      <alignment horizontal="left" vertical="center"/>
    </xf>
    <xf numFmtId="0" fontId="56" fillId="0" borderId="0" xfId="56" applyFont="1" applyAlignment="1">
      <alignment horizontal="center" vertical="center"/>
    </xf>
    <xf numFmtId="0" fontId="56" fillId="0" borderId="0" xfId="56" applyFont="1" applyAlignment="1">
      <alignment horizontal="center" vertical="top"/>
    </xf>
    <xf numFmtId="0" fontId="56" fillId="0" borderId="0" xfId="56" applyFont="1" applyAlignment="1">
      <alignment horizontal="left" vertical="top" wrapText="1"/>
    </xf>
    <xf numFmtId="0" fontId="57" fillId="0" borderId="2" xfId="54" applyFont="1" applyBorder="1" applyAlignment="1">
      <alignment horizontal="center" vertical="center"/>
    </xf>
    <xf numFmtId="0" fontId="5" fillId="0" borderId="0" xfId="77" applyAlignment="1">
      <alignment horizontal="center" vertical="top"/>
    </xf>
    <xf numFmtId="0" fontId="45" fillId="0" borderId="0" xfId="76" applyAlignment="1">
      <alignment horizontal="center" vertical="top"/>
    </xf>
    <xf numFmtId="0" fontId="62" fillId="0" borderId="18" xfId="58" applyFont="1" applyBorder="1" applyAlignment="1">
      <alignment horizontal="center" vertical="top"/>
      <protection locked="0"/>
    </xf>
    <xf numFmtId="0" fontId="62" fillId="0" borderId="19" xfId="58" applyFont="1" applyBorder="1" applyAlignment="1">
      <alignment horizontal="center" vertical="top"/>
      <protection locked="0"/>
    </xf>
    <xf numFmtId="0" fontId="0" fillId="2" borderId="0" xfId="0" applyFill="1">
      <alignment vertical="center"/>
    </xf>
    <xf numFmtId="0" fontId="0" fillId="3" borderId="0" xfId="0" applyFill="1" applyBorder="1">
      <alignment vertical="center"/>
    </xf>
    <xf numFmtId="0" fontId="61" fillId="0" borderId="0" xfId="55" applyFont="1" applyAlignment="1">
      <alignment horizontal="center" vertical="top"/>
    </xf>
    <xf numFmtId="0" fontId="41" fillId="0" borderId="0" xfId="55" applyFont="1" applyAlignment="1">
      <alignment horizontal="center" vertical="top"/>
    </xf>
    <xf numFmtId="0" fontId="60" fillId="0" borderId="0" xfId="55" applyFont="1" applyAlignment="1">
      <alignment horizontal="center" vertical="top"/>
    </xf>
    <xf numFmtId="0" fontId="54" fillId="0" borderId="0" xfId="55" applyFont="1" applyAlignment="1">
      <alignment horizontal="center" vertical="top"/>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6" fillId="2" borderId="0" xfId="68" applyNumberFormat="1" applyFont="1" applyFill="1" applyAlignment="1">
      <alignment horizontal="center" vertical="center"/>
    </xf>
    <xf numFmtId="0" fontId="42" fillId="2" borderId="0" xfId="56" applyFont="1" applyFill="1" applyAlignment="1">
      <alignment horizontal="center" vertical="center"/>
    </xf>
    <xf numFmtId="0" fontId="64" fillId="2" borderId="0" xfId="65" applyFont="1" applyFill="1" applyAlignment="1">
      <alignment horizontal="center" vertical="center"/>
      <protection locked="0"/>
    </xf>
    <xf numFmtId="0" fontId="62" fillId="2" borderId="0" xfId="65" applyFont="1" applyFill="1" applyAlignment="1">
      <alignment horizontal="center" vertical="center"/>
      <protection locked="0"/>
    </xf>
    <xf numFmtId="172" fontId="62" fillId="0" borderId="18" xfId="61" applyNumberFormat="1" applyFont="1" applyBorder="1" applyAlignment="1">
      <alignment horizontal="center" vertical="center"/>
      <protection locked="0"/>
    </xf>
    <xf numFmtId="172" fontId="62" fillId="0" borderId="19" xfId="61" applyNumberFormat="1" applyFont="1" applyBorder="1" applyAlignment="1">
      <alignment horizontal="center" vertical="center"/>
      <protection locked="0"/>
    </xf>
    <xf numFmtId="0" fontId="62" fillId="0" borderId="18" xfId="58" applyFont="1" applyBorder="1" applyAlignment="1">
      <alignment horizontal="center" vertical="center"/>
      <protection locked="0"/>
    </xf>
    <xf numFmtId="0" fontId="62" fillId="0" borderId="19" xfId="58" applyFont="1" applyBorder="1" applyAlignment="1">
      <alignment horizontal="center" vertical="center"/>
      <protection locked="0"/>
    </xf>
    <xf numFmtId="178" fontId="62" fillId="0" borderId="18" xfId="60" applyFont="1" applyBorder="1" applyAlignment="1">
      <alignment horizontal="center" vertical="center"/>
      <protection locked="0"/>
    </xf>
    <xf numFmtId="178" fontId="62" fillId="0" borderId="19" xfId="60" applyFont="1" applyBorder="1" applyAlignment="1">
      <alignment horizontal="center" vertical="center"/>
      <protection locked="0"/>
    </xf>
    <xf numFmtId="0" fontId="45" fillId="2" borderId="0" xfId="76" applyFill="1">
      <alignment vertical="center"/>
    </xf>
    <xf numFmtId="0" fontId="56" fillId="2" borderId="0" xfId="56" applyFont="1" applyFill="1" applyAlignment="1">
      <alignment horizontal="center" vertical="center"/>
    </xf>
    <xf numFmtId="172" fontId="62" fillId="2" borderId="20" xfId="68" applyNumberFormat="1" applyFont="1" applyFill="1" applyBorder="1" applyAlignment="1">
      <alignment horizontal="center" vertical="center"/>
    </xf>
    <xf numFmtId="0" fontId="65" fillId="2" borderId="0" xfId="56" applyFont="1" applyFill="1" applyAlignment="1">
      <alignment horizontal="center" vertical="center"/>
    </xf>
    <xf numFmtId="0" fontId="77" fillId="0" borderId="0" xfId="87" applyFont="1" applyFill="1" applyBorder="1" applyAlignment="1">
      <alignment horizontal="center" vertical="center"/>
    </xf>
    <xf numFmtId="0" fontId="77" fillId="35" borderId="29" xfId="87" applyFont="1" applyFill="1" applyBorder="1" applyAlignment="1">
      <alignment horizontal="center" vertical="center"/>
    </xf>
    <xf numFmtId="0" fontId="77" fillId="35" borderId="30" xfId="87" applyFont="1" applyFill="1" applyBorder="1" applyAlignment="1">
      <alignment horizontal="center" vertical="center"/>
    </xf>
    <xf numFmtId="0" fontId="77" fillId="35" borderId="31"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7" fillId="37" borderId="35" xfId="87" applyFont="1" applyFill="1" applyBorder="1" applyAlignment="1">
      <alignment horizontal="center" vertical="center"/>
    </xf>
    <xf numFmtId="0" fontId="77" fillId="37" borderId="36" xfId="87" applyFont="1" applyFill="1" applyBorder="1" applyAlignment="1">
      <alignment horizontal="center" vertical="center"/>
    </xf>
    <xf numFmtId="0" fontId="77" fillId="37" borderId="37"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77" fillId="36" borderId="32" xfId="87" applyFont="1" applyFill="1" applyBorder="1" applyAlignment="1">
      <alignment horizontal="center" vertical="center"/>
    </xf>
    <xf numFmtId="0" fontId="77" fillId="36" borderId="33" xfId="87" applyFont="1" applyFill="1" applyBorder="1" applyAlignment="1">
      <alignment horizontal="center" vertical="center"/>
    </xf>
    <xf numFmtId="0" fontId="77" fillId="36" borderId="34" xfId="87" applyFont="1" applyFill="1" applyBorder="1" applyAlignment="1">
      <alignment horizontal="center" vertical="center"/>
    </xf>
  </cellXfs>
  <cellStyles count="106">
    <cellStyle name="%20 - Vurgu1" xfId="27" builtinId="30" hidden="1"/>
    <cellStyle name="%20 - Vurgu2" xfId="31" builtinId="34" hidden="1"/>
    <cellStyle name="%20 - Vurgu3" xfId="35" builtinId="38" hidden="1"/>
    <cellStyle name="%20 - Vurgu4" xfId="39" builtinId="42" hidden="1"/>
    <cellStyle name="%20 - Vurgu5" xfId="43" builtinId="46" hidden="1"/>
    <cellStyle name="%20 - Vurgu6" xfId="47" builtinId="50" hidden="1"/>
    <cellStyle name="%40 - Vurgu1" xfId="28" builtinId="31" hidden="1"/>
    <cellStyle name="%40 - Vurgu2" xfId="32" builtinId="35" hidden="1"/>
    <cellStyle name="%40 - Vurgu3" xfId="36" builtinId="39" hidden="1"/>
    <cellStyle name="%40 - Vurgu4" xfId="40" builtinId="43" hidden="1"/>
    <cellStyle name="%40 - Vurgu5" xfId="44" builtinId="47" hidden="1"/>
    <cellStyle name="%40 - Vurgu6" xfId="48" builtinId="51" hidden="1"/>
    <cellStyle name="%60 - Vurgu1" xfId="29" builtinId="32" hidden="1"/>
    <cellStyle name="%60 - Vurgu2" xfId="33" builtinId="36" hidden="1"/>
    <cellStyle name="%60 - Vurgu3" xfId="37" builtinId="40" hidden="1"/>
    <cellStyle name="%60 - Vurgu4" xfId="41" builtinId="44" hidden="1"/>
    <cellStyle name="%60 - Vurgu5" xfId="45" builtinId="48" hidden="1"/>
    <cellStyle name="%60 - Vurgu6" xfId="49" builtinId="52" hidden="1"/>
    <cellStyle name="Açıklama Metni" xfId="24" builtinId="53" hidden="1"/>
    <cellStyle name="Ana Başlık" xfId="13" builtinId="15" hidden="1"/>
    <cellStyle name="Assumption Currency." xfId="64" xr:uid="{00000000-0005-0000-0000-000018000000}"/>
    <cellStyle name="Assumption Date." xfId="60" xr:uid="{00000000-0005-0000-0000-000019000000}"/>
    <cellStyle name="Assumption Heading." xfId="58" xr:uid="{00000000-0005-0000-0000-00001A000000}"/>
    <cellStyle name="Assumption Multiple." xfId="63" xr:uid="{00000000-0005-0000-0000-00001B000000}"/>
    <cellStyle name="Assumption Number." xfId="61" xr:uid="{00000000-0005-0000-0000-00001C000000}"/>
    <cellStyle name="Assumption Percentage." xfId="62" xr:uid="{00000000-0005-0000-0000-00001D000000}"/>
    <cellStyle name="Assumption Year." xfId="59" xr:uid="{00000000-0005-0000-0000-00001E000000}"/>
    <cellStyle name="Bağlı Hücre" xfId="20" builtinId="24" hidden="1"/>
    <cellStyle name="Başlık 1" xfId="7" builtinId="16" hidden="1" customBuiltin="1"/>
    <cellStyle name="Başlık 2" xfId="8" builtinId="17" hidden="1" customBuiltin="1"/>
    <cellStyle name="Başlık 3" xfId="9" builtinId="18" hidden="1" customBuiltin="1"/>
    <cellStyle name="Başlık 4" xfId="10" builtinId="19" hidden="1" customBuiltin="1"/>
    <cellStyle name="Binlik Ayracı [0]" xfId="3" builtinId="6" hidden="1"/>
    <cellStyle name="Cell Link." xfId="65" xr:uid="{00000000-0005-0000-0000-000021000000}"/>
    <cellStyle name="Çıkış" xfId="18" builtinId="21" hidden="1"/>
    <cellStyle name="Currency." xfId="71" xr:uid="{00000000-0005-0000-0000-000027000000}"/>
    <cellStyle name="Date." xfId="67" xr:uid="{00000000-0005-0000-0000-000028000000}"/>
    <cellStyle name="Giriş" xfId="17" builtinId="20" hidden="1"/>
    <cellStyle name="Heading 1." xfId="53" xr:uid="{00000000-0005-0000-0000-00002D000000}"/>
    <cellStyle name="Heading 2." xfId="54" xr:uid="{00000000-0005-0000-0000-00002F000000}"/>
    <cellStyle name="Heading 3." xfId="55" xr:uid="{00000000-0005-0000-0000-000031000000}"/>
    <cellStyle name="Heading 4." xfId="56" xr:uid="{00000000-0005-0000-0000-000033000000}"/>
    <cellStyle name="Hesaplama" xfId="19" builtinId="22" hidden="1"/>
    <cellStyle name="Hyperlink Arrow." xfId="77" xr:uid="{00000000-0005-0000-0000-000036000000}"/>
    <cellStyle name="Hyperlink Check." xfId="78" xr:uid="{00000000-0005-0000-0000-000037000000}"/>
    <cellStyle name="Hyperlink Text." xfId="76" xr:uid="{00000000-0005-0000-0000-000038000000}"/>
    <cellStyle name="Hyperlink TOC 1." xfId="79" xr:uid="{00000000-0005-0000-0000-000039000000}"/>
    <cellStyle name="Hyperlink TOC 2." xfId="80" xr:uid="{00000000-0005-0000-0000-00003A000000}"/>
    <cellStyle name="Hyperlink TOC 3." xfId="81" xr:uid="{00000000-0005-0000-0000-00003B000000}"/>
    <cellStyle name="Hyperlink TOC 4." xfId="82" xr:uid="{00000000-0005-0000-0000-00003C000000}"/>
    <cellStyle name="İşaretli Hücre" xfId="21" builtinId="23" hidden="1"/>
    <cellStyle name="İyi" xfId="14" builtinId="26" hidden="1"/>
    <cellStyle name="İzlenen Köprü" xfId="6" builtinId="9" hidden="1"/>
    <cellStyle name="Köprü" xfId="11" builtinId="8" hidden="1"/>
    <cellStyle name="Köprü" xfId="1" builtinId="8"/>
    <cellStyle name="Kötü" xfId="15" builtinId="27" hidden="1"/>
    <cellStyle name="Lookup Table Heading." xfId="73" xr:uid="{00000000-0005-0000-0000-00003F000000}"/>
    <cellStyle name="Lookup Table Label." xfId="75" xr:uid="{00000000-0005-0000-0000-000040000000}"/>
    <cellStyle name="Lookup Table Number." xfId="74" xr:uid="{00000000-0005-0000-0000-000041000000}"/>
    <cellStyle name="Model Name." xfId="52" xr:uid="{00000000-0005-0000-0000-000042000000}"/>
    <cellStyle name="Multiple." xfId="70" xr:uid="{00000000-0005-0000-0000-000043000000}"/>
    <cellStyle name="Normal" xfId="0" builtinId="0" customBuiltin="1"/>
    <cellStyle name="Not" xfId="23" builtinId="10" hidden="1"/>
    <cellStyle name="Nötr" xfId="16" builtinId="28" hidden="1"/>
    <cellStyle name="Number." xfId="68" xr:uid="{00000000-0005-0000-0000-000047000000}"/>
    <cellStyle name="ParaBirimi" xfId="4" builtinId="4" hidden="1"/>
    <cellStyle name="ParaBirimi [0]" xfId="5" builtinId="7" hidden="1"/>
    <cellStyle name="Percentage." xfId="69" xr:uid="{00000000-0005-0000-0000-00004A000000}"/>
    <cellStyle name="Period Title." xfId="72" xr:uid="{00000000-0005-0000-0000-00004B000000}"/>
    <cellStyle name="Presentation Currency." xfId="94" xr:uid="{00000000-0005-0000-0000-00004C000000}"/>
    <cellStyle name="Presentation Date." xfId="96" xr:uid="{00000000-0005-0000-0000-00004D000000}"/>
    <cellStyle name="Presentation Heading 1." xfId="86" xr:uid="{00000000-0005-0000-0000-00004E000000}"/>
    <cellStyle name="Presentation Heading 2." xfId="87" xr:uid="{00000000-0005-0000-0000-00004F000000}"/>
    <cellStyle name="Presentation Heading 3." xfId="88" xr:uid="{00000000-0005-0000-0000-000050000000}"/>
    <cellStyle name="Presentation Heading 4." xfId="89" xr:uid="{00000000-0005-0000-0000-000051000000}"/>
    <cellStyle name="Presentation Hyperlink Arrow." xfId="99" xr:uid="{00000000-0005-0000-0000-000052000000}"/>
    <cellStyle name="Presentation Hyperlink Check." xfId="100" xr:uid="{00000000-0005-0000-0000-000053000000}"/>
    <cellStyle name="Presentation Hyperlink Text." xfId="98" xr:uid="{00000000-0005-0000-0000-000054000000}"/>
    <cellStyle name="Presentation Model Name." xfId="85" xr:uid="{00000000-0005-0000-0000-000055000000}"/>
    <cellStyle name="Presentation Multiple." xfId="93" xr:uid="{00000000-0005-0000-0000-000056000000}"/>
    <cellStyle name="Presentation Normal." xfId="105" xr:uid="{00000000-0005-0000-0000-000057000000}"/>
    <cellStyle name="Presentation Number." xfId="91" xr:uid="{00000000-0005-0000-0000-000058000000}"/>
    <cellStyle name="Presentation Percentage." xfId="92" xr:uid="{00000000-0005-0000-0000-000059000000}"/>
    <cellStyle name="Presentation Period Title." xfId="97" xr:uid="{00000000-0005-0000-0000-00005A000000}"/>
    <cellStyle name="Presentation Section Number." xfId="84" xr:uid="{00000000-0005-0000-0000-00005B000000}"/>
    <cellStyle name="Presentation Sheet Title." xfId="83" xr:uid="{00000000-0005-0000-0000-00005C000000}"/>
    <cellStyle name="Presentation Sub Total." xfId="90" xr:uid="{00000000-0005-0000-0000-00005D000000}"/>
    <cellStyle name="Presentation TOC 1." xfId="101" xr:uid="{00000000-0005-0000-0000-00005E000000}"/>
    <cellStyle name="Presentation TOC 2." xfId="102" xr:uid="{00000000-0005-0000-0000-00005F000000}"/>
    <cellStyle name="Presentation TOC 3." xfId="103" xr:uid="{00000000-0005-0000-0000-000060000000}"/>
    <cellStyle name="Presentation TOC 4." xfId="104" xr:uid="{00000000-0005-0000-0000-000061000000}"/>
    <cellStyle name="Presentation Year." xfId="95" xr:uid="{00000000-0005-0000-0000-000062000000}"/>
    <cellStyle name="Section Number." xfId="51" xr:uid="{00000000-0005-0000-0000-000063000000}"/>
    <cellStyle name="Sheet Title." xfId="50" xr:uid="{00000000-0005-0000-0000-000064000000}"/>
    <cellStyle name="Sub Total." xfId="57" xr:uid="{00000000-0005-0000-0000-000065000000}"/>
    <cellStyle name="Toplam" xfId="25" builtinId="25" hidden="1"/>
    <cellStyle name="Uyarı Metni" xfId="22" builtinId="11" hidden="1"/>
    <cellStyle name="Virgül" xfId="2" builtinId="3" hidden="1"/>
    <cellStyle name="Vurgu1" xfId="26" builtinId="29" hidden="1"/>
    <cellStyle name="Vurgu2" xfId="30" builtinId="33" hidden="1"/>
    <cellStyle name="Vurgu3" xfId="34" builtinId="37" hidden="1"/>
    <cellStyle name="Vurgu4" xfId="38" builtinId="41" hidden="1"/>
    <cellStyle name="Vurgu5" xfId="42" builtinId="45" hidden="1"/>
    <cellStyle name="Vurgu6" xfId="46" builtinId="49" hidden="1"/>
    <cellStyle name="Year." xfId="66" xr:uid="{00000000-0005-0000-0000-000069000000}"/>
    <cellStyle name="Yüzde" xfId="12" builtinId="5" hidden="1"/>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mruColors>
      <color rgb="FF0069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BS_Sum_P_MS!$AU$11</c:f>
          <c:strCache>
            <c:ptCount val="1"/>
            <c:pt idx="0">
              <c:v>Revenue</c:v>
            </c:pt>
          </c:strCache>
        </c:strRef>
      </c:tx>
      <c:overlay val="0"/>
      <c:txPr>
        <a:bodyPr/>
        <a:lstStyle/>
        <a:p>
          <a:pPr>
            <a:defRPr lang="en-AU" sz="900"/>
          </a:pPr>
          <a:endParaRPr lang="tr-TR"/>
        </a:p>
      </c:txPr>
    </c:title>
    <c:autoTitleDeleted val="0"/>
    <c:plotArea>
      <c:layout>
        <c:manualLayout>
          <c:layoutTarget val="inner"/>
          <c:xMode val="edge"/>
          <c:yMode val="edge"/>
          <c:x val="0.12544252863340766"/>
          <c:y val="0.21723051962362808"/>
          <c:w val="0.81794968189792217"/>
          <c:h val="0.55381287289400161"/>
        </c:manualLayout>
      </c:layout>
      <c:barChart>
        <c:barDir val="col"/>
        <c:grouping val="stacked"/>
        <c:varyColors val="0"/>
        <c:ser>
          <c:idx val="0"/>
          <c:order val="0"/>
          <c:tx>
            <c:strRef>
              <c:f>BS_Sum_P_MS!$AQ$13</c:f>
              <c:strCache>
                <c:ptCount val="1"/>
                <c:pt idx="0">
                  <c:v>Revenue (Historical)</c:v>
                </c:pt>
              </c:strCache>
            </c:strRef>
          </c:tx>
          <c:spPr>
            <a:solidFill>
              <a:srgbClr val="4F81BD"/>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250</c:v>
                </c:pt>
                <c:pt idx="1">
                  <c:v>128.125</c:v>
                </c:pt>
                <c:pt idx="2">
                  <c:v>131.328125</c:v>
                </c:pt>
                <c:pt idx="3">
                  <c:v>0</c:v>
                </c:pt>
                <c:pt idx="4">
                  <c:v>0</c:v>
                </c:pt>
                <c:pt idx="5">
                  <c:v>0</c:v>
                </c:pt>
                <c:pt idx="6">
                  <c:v>0</c:v>
                </c:pt>
                <c:pt idx="7">
                  <c:v>0</c:v>
                </c:pt>
              </c:numCache>
            </c:numRef>
          </c:val>
          <c:extLst>
            <c:ext xmlns:c16="http://schemas.microsoft.com/office/drawing/2014/chart" uri="{C3380CC4-5D6E-409C-BE32-E72D297353CC}">
              <c16:uniqueId val="{00000000-FBB8-41D7-9694-FF1AA791B1F2}"/>
            </c:ext>
          </c:extLst>
        </c:ser>
        <c:ser>
          <c:idx val="1"/>
          <c:order val="1"/>
          <c:tx>
            <c:strRef>
              <c:f>BS_Sum_P_MS!$AQ$14</c:f>
              <c:strCache>
                <c:ptCount val="1"/>
                <c:pt idx="0">
                  <c:v>Revenue (Forecast)</c:v>
                </c:pt>
              </c:strCache>
            </c:strRef>
          </c:tx>
          <c:spPr>
            <a:solidFill>
              <a:srgbClr val="4F81BD">
                <a:alpha val="50000"/>
              </a:srgbClr>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extLst>
            <c:ext xmlns:c16="http://schemas.microsoft.com/office/drawing/2014/chart" uri="{C3380CC4-5D6E-409C-BE32-E72D297353CC}">
              <c16:uniqueId val="{00000001-FBB8-41D7-9694-FF1AA791B1F2}"/>
            </c:ext>
          </c:extLst>
        </c:ser>
        <c:dLbls>
          <c:showLegendKey val="0"/>
          <c:showVal val="0"/>
          <c:showCatName val="0"/>
          <c:showSerName val="0"/>
          <c:showPercent val="0"/>
          <c:showBubbleSize val="0"/>
        </c:dLbls>
        <c:gapWidth val="150"/>
        <c:overlap val="100"/>
        <c:axId val="117232000"/>
        <c:axId val="117233536"/>
      </c:barChart>
      <c:catAx>
        <c:axId val="117232000"/>
        <c:scaling>
          <c:orientation val="minMax"/>
        </c:scaling>
        <c:delete val="0"/>
        <c:axPos val="b"/>
        <c:numFmt formatCode="General" sourceLinked="0"/>
        <c:majorTickMark val="out"/>
        <c:minorTickMark val="none"/>
        <c:tickLblPos val="nextTo"/>
        <c:txPr>
          <a:bodyPr/>
          <a:lstStyle/>
          <a:p>
            <a:pPr>
              <a:defRPr lang="en-AU"/>
            </a:pPr>
            <a:endParaRPr lang="tr-TR"/>
          </a:p>
        </c:txPr>
        <c:crossAx val="117233536"/>
        <c:crosses val="autoZero"/>
        <c:auto val="1"/>
        <c:lblAlgn val="ctr"/>
        <c:lblOffset val="100"/>
        <c:noMultiLvlLbl val="0"/>
      </c:catAx>
      <c:valAx>
        <c:axId val="117233536"/>
        <c:scaling>
          <c:orientation val="minMax"/>
        </c:scaling>
        <c:delete val="0"/>
        <c:axPos val="l"/>
        <c:numFmt formatCode="_(#,##0_);\(#,##0\);_(&quot;-&quot;_)" sourceLinked="1"/>
        <c:majorTickMark val="out"/>
        <c:minorTickMark val="none"/>
        <c:tickLblPos val="nextTo"/>
        <c:txPr>
          <a:bodyPr/>
          <a:lstStyle/>
          <a:p>
            <a:pPr>
              <a:defRPr lang="en-AU"/>
            </a:pPr>
            <a:endParaRPr lang="tr-TR"/>
          </a:p>
        </c:txPr>
        <c:crossAx val="117232000"/>
        <c:crosses val="autoZero"/>
        <c:crossBetween val="between"/>
      </c:valAx>
    </c:plotArea>
    <c:legend>
      <c:legendPos val="t"/>
      <c:layout>
        <c:manualLayout>
          <c:xMode val="edge"/>
          <c:yMode val="edge"/>
          <c:x val="0.26768147404731435"/>
          <c:y val="0.12310185185185253"/>
          <c:w val="0.44516292801634721"/>
          <c:h val="0.14817551542141263"/>
        </c:manualLayout>
      </c:layout>
      <c:overlay val="0"/>
      <c:txPr>
        <a:bodyPr/>
        <a:lstStyle/>
        <a:p>
          <a:pPr>
            <a:defRPr lang="en-AU"/>
          </a:pPr>
          <a:endParaRPr lang="tr-TR"/>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tr-TR"/>
    </a:p>
  </c:txPr>
  <c:printSettings>
    <c:headerFooter/>
    <c:pageMargins b="0.75000000000000466" l="0.70000000000000062" r="0.70000000000000062" t="0.750000000000004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BS_Sum_P_MS!$AU$32</c:f>
          <c:strCache>
            <c:ptCount val="1"/>
            <c:pt idx="0">
              <c:v>Net Assets - 2010(A)</c:v>
            </c:pt>
          </c:strCache>
        </c:strRef>
      </c:tx>
      <c:overlay val="0"/>
      <c:txPr>
        <a:bodyPr/>
        <a:lstStyle/>
        <a:p>
          <a:pPr>
            <a:defRPr lang="en-AU" sz="900"/>
          </a:pPr>
          <a:endParaRPr lang="tr-TR"/>
        </a:p>
      </c:txPr>
    </c:title>
    <c:autoTitleDeleted val="0"/>
    <c:plotArea>
      <c:layout/>
      <c:barChart>
        <c:barDir val="col"/>
        <c:grouping val="stacked"/>
        <c:varyColors val="0"/>
        <c:ser>
          <c:idx val="0"/>
          <c:order val="0"/>
          <c:invertIfNegative val="0"/>
          <c:dPt>
            <c:idx val="1"/>
            <c:invertIfNegative val="0"/>
            <c:bubble3D val="0"/>
            <c:spPr>
              <a:noFill/>
            </c:spPr>
            <c:extLst>
              <c:ext xmlns:c16="http://schemas.microsoft.com/office/drawing/2014/chart" uri="{C3380CC4-5D6E-409C-BE32-E72D297353CC}">
                <c16:uniqueId val="{00000001-8C7D-41F0-B877-5E18E296A5B3}"/>
              </c:ext>
            </c:extLst>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extLst>
            <c:ext xmlns:c16="http://schemas.microsoft.com/office/drawing/2014/chart" uri="{C3380CC4-5D6E-409C-BE32-E72D297353CC}">
              <c16:uniqueId val="{00000002-8C7D-41F0-B877-5E18E296A5B3}"/>
            </c:ext>
          </c:extLst>
        </c:ser>
        <c:ser>
          <c:idx val="1"/>
          <c:order val="1"/>
          <c:spPr>
            <a:effectLst>
              <a:outerShdw blurRad="50800" dist="38100" dir="2700000" algn="tl" rotWithShape="0">
                <a:prstClr val="black">
                  <a:alpha val="40000"/>
                </a:prstClr>
              </a:outerShdw>
            </a:effectLst>
          </c:spPr>
          <c:invertIfNegative val="0"/>
          <c:dPt>
            <c:idx val="0"/>
            <c:invertIfNegative val="0"/>
            <c:bubble3D val="0"/>
            <c:spPr>
              <a:solidFill>
                <a:schemeClr val="accent1"/>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4-8C7D-41F0-B877-5E18E296A5B3}"/>
              </c:ext>
            </c:extLst>
          </c:dPt>
          <c:dPt>
            <c:idx val="1"/>
            <c:invertIfNegative val="0"/>
            <c:bubble3D val="0"/>
            <c:spPr>
              <a:solidFill>
                <a:schemeClr val="accent2"/>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6-8C7D-41F0-B877-5E18E296A5B3}"/>
              </c:ext>
            </c:extLst>
          </c:dPt>
          <c:dPt>
            <c:idx val="2"/>
            <c:invertIfNegative val="0"/>
            <c:bubble3D val="0"/>
            <c:spPr>
              <a:solidFill>
                <a:schemeClr val="accent3"/>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8-8C7D-41F0-B877-5E18E296A5B3}"/>
              </c:ext>
            </c:extLst>
          </c:dPt>
          <c:dLbls>
            <c:spPr>
              <a:noFill/>
              <a:ln>
                <a:noFill/>
              </a:ln>
              <a:effectLst/>
            </c:spPr>
            <c:txPr>
              <a:bodyPr/>
              <a:lstStyle/>
              <a:p>
                <a:pPr>
                  <a:defRPr lang="en-AU">
                    <a:solidFill>
                      <a:schemeClr val="bg1"/>
                    </a:solidFill>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extLst>
            <c:ext xmlns:c16="http://schemas.microsoft.com/office/drawing/2014/chart" uri="{C3380CC4-5D6E-409C-BE32-E72D297353CC}">
              <c16:uniqueId val="{00000009-8C7D-41F0-B877-5E18E296A5B3}"/>
            </c:ext>
          </c:extLst>
        </c:ser>
        <c:dLbls>
          <c:showLegendKey val="0"/>
          <c:showVal val="0"/>
          <c:showCatName val="0"/>
          <c:showSerName val="0"/>
          <c:showPercent val="0"/>
          <c:showBubbleSize val="0"/>
        </c:dLbls>
        <c:gapWidth val="25"/>
        <c:overlap val="100"/>
        <c:axId val="117076736"/>
        <c:axId val="117078272"/>
      </c:barChart>
      <c:catAx>
        <c:axId val="117076736"/>
        <c:scaling>
          <c:orientation val="minMax"/>
        </c:scaling>
        <c:delete val="0"/>
        <c:axPos val="b"/>
        <c:numFmt formatCode="General" sourceLinked="0"/>
        <c:majorTickMark val="out"/>
        <c:minorTickMark val="none"/>
        <c:tickLblPos val="nextTo"/>
        <c:txPr>
          <a:bodyPr/>
          <a:lstStyle/>
          <a:p>
            <a:pPr>
              <a:defRPr lang="en-AU"/>
            </a:pPr>
            <a:endParaRPr lang="tr-TR"/>
          </a:p>
        </c:txPr>
        <c:crossAx val="117078272"/>
        <c:crosses val="autoZero"/>
        <c:auto val="1"/>
        <c:lblAlgn val="ctr"/>
        <c:lblOffset val="100"/>
        <c:noMultiLvlLbl val="0"/>
      </c:catAx>
      <c:valAx>
        <c:axId val="117078272"/>
        <c:scaling>
          <c:orientation val="minMax"/>
        </c:scaling>
        <c:delete val="0"/>
        <c:axPos val="l"/>
        <c:numFmt formatCode="_(#,##0.0_);\(#,##0.0\);_(&quot;-&quot;_)" sourceLinked="1"/>
        <c:majorTickMark val="out"/>
        <c:minorTickMark val="none"/>
        <c:tickLblPos val="nextTo"/>
        <c:txPr>
          <a:bodyPr/>
          <a:lstStyle/>
          <a:p>
            <a:pPr>
              <a:defRPr lang="en-AU"/>
            </a:pPr>
            <a:endParaRPr lang="tr-TR"/>
          </a:p>
        </c:txPr>
        <c:crossAx val="117076736"/>
        <c:crosses val="autoZero"/>
        <c:crossBetween val="between"/>
      </c:valAx>
    </c:plotArea>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tr-TR"/>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BS_Sum_P_MS!$AU$43</c:f>
          <c:strCache>
            <c:ptCount val="1"/>
            <c:pt idx="0">
              <c:v>EBITDA Breakdown</c:v>
            </c:pt>
          </c:strCache>
        </c:strRef>
      </c:tx>
      <c:overlay val="0"/>
      <c:txPr>
        <a:bodyPr/>
        <a:lstStyle/>
        <a:p>
          <a:pPr>
            <a:defRPr lang="en-AU" sz="900"/>
          </a:pPr>
          <a:endParaRPr lang="tr-TR"/>
        </a:p>
      </c:txPr>
    </c:title>
    <c:autoTitleDeleted val="0"/>
    <c:plotArea>
      <c:layout>
        <c:manualLayout>
          <c:layoutTarget val="inner"/>
          <c:xMode val="edge"/>
          <c:yMode val="edge"/>
          <c:x val="6.4797227644595154E-2"/>
          <c:y val="0.28469234232750196"/>
          <c:w val="0.921692511277316"/>
          <c:h val="0.56815208931381589"/>
        </c:manualLayout>
      </c:layout>
      <c:barChart>
        <c:barDir val="col"/>
        <c:grouping val="stacked"/>
        <c:varyColors val="0"/>
        <c:ser>
          <c:idx val="0"/>
          <c:order val="0"/>
          <c:tx>
            <c:strRef>
              <c:f>BS_Sum_P_MS!$AQ$45</c:f>
              <c:strCache>
                <c:ptCount val="1"/>
                <c:pt idx="0">
                  <c:v>Revenue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250</c:v>
                </c:pt>
                <c:pt idx="1">
                  <c:v>128.125</c:v>
                </c:pt>
                <c:pt idx="2">
                  <c:v>131.328125</c:v>
                </c:pt>
                <c:pt idx="3">
                  <c:v>0</c:v>
                </c:pt>
                <c:pt idx="4">
                  <c:v>0</c:v>
                </c:pt>
                <c:pt idx="5">
                  <c:v>0</c:v>
                </c:pt>
                <c:pt idx="6">
                  <c:v>0</c:v>
                </c:pt>
                <c:pt idx="7">
                  <c:v>0</c:v>
                </c:pt>
              </c:numCache>
            </c:numRef>
          </c:val>
          <c:extLst>
            <c:ext xmlns:c16="http://schemas.microsoft.com/office/drawing/2014/chart" uri="{C3380CC4-5D6E-409C-BE32-E72D297353CC}">
              <c16:uniqueId val="{00000000-58FC-4635-BD9A-469E53F26273}"/>
            </c:ext>
          </c:extLst>
        </c:ser>
        <c:ser>
          <c:idx val="1"/>
          <c:order val="1"/>
          <c:tx>
            <c:strRef>
              <c:f>BS_Sum_P_MS!$AQ$46</c:f>
              <c:strCache>
                <c:ptCount val="1"/>
                <c:pt idx="0">
                  <c:v>Cost of Goods Sold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extLst>
            <c:ext xmlns:c16="http://schemas.microsoft.com/office/drawing/2014/chart" uri="{C3380CC4-5D6E-409C-BE32-E72D297353CC}">
              <c16:uniqueId val="{00000001-58FC-4635-BD9A-469E53F26273}"/>
            </c:ext>
          </c:extLst>
        </c:ser>
        <c:ser>
          <c:idx val="2"/>
          <c:order val="2"/>
          <c:tx>
            <c:strRef>
              <c:f>BS_Sum_P_MS!$AQ$47</c:f>
              <c:strCache>
                <c:ptCount val="1"/>
                <c:pt idx="0">
                  <c:v>Operating Expenditure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extLst>
            <c:ext xmlns:c16="http://schemas.microsoft.com/office/drawing/2014/chart" uri="{C3380CC4-5D6E-409C-BE32-E72D297353CC}">
              <c16:uniqueId val="{00000002-58FC-4635-BD9A-469E53F26273}"/>
            </c:ext>
          </c:extLst>
        </c:ser>
        <c:ser>
          <c:idx val="3"/>
          <c:order val="3"/>
          <c:tx>
            <c:strRef>
              <c:f>BS_Sum_P_MS!$AQ$48</c:f>
              <c:strCache>
                <c:ptCount val="1"/>
                <c:pt idx="0">
                  <c:v>Revenue (Forecast)</c:v>
                </c:pt>
              </c:strCache>
            </c:strRef>
          </c:tx>
          <c:spPr>
            <a:solidFill>
              <a:srgbClr val="4F81BD">
                <a:alpha val="50000"/>
              </a:srgbClr>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extLst>
            <c:ext xmlns:c16="http://schemas.microsoft.com/office/drawing/2014/chart" uri="{C3380CC4-5D6E-409C-BE32-E72D297353CC}">
              <c16:uniqueId val="{00000003-58FC-4635-BD9A-469E53F26273}"/>
            </c:ext>
          </c:extLst>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extLst>
            <c:ext xmlns:c16="http://schemas.microsoft.com/office/drawing/2014/chart" uri="{C3380CC4-5D6E-409C-BE32-E72D297353CC}">
              <c16:uniqueId val="{00000004-58FC-4635-BD9A-469E53F26273}"/>
            </c:ext>
          </c:extLst>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extLst>
            <c:ext xmlns:c16="http://schemas.microsoft.com/office/drawing/2014/chart" uri="{C3380CC4-5D6E-409C-BE32-E72D297353CC}">
              <c16:uniqueId val="{00000005-58FC-4635-BD9A-469E53F26273}"/>
            </c:ext>
          </c:extLst>
        </c:ser>
        <c:dLbls>
          <c:showLegendKey val="0"/>
          <c:showVal val="0"/>
          <c:showCatName val="0"/>
          <c:showSerName val="0"/>
          <c:showPercent val="0"/>
          <c:showBubbleSize val="0"/>
        </c:dLbls>
        <c:gapWidth val="150"/>
        <c:overlap val="100"/>
        <c:axId val="129714816"/>
        <c:axId val="129721088"/>
      </c:barChart>
      <c:lineChart>
        <c:grouping val="standard"/>
        <c:varyColors val="0"/>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185</c:v>
                </c:pt>
                <c:pt idx="1">
                  <c:v>61.5</c:v>
                </c:pt>
                <c:pt idx="2">
                  <c:v>63.037500000000001</c:v>
                </c:pt>
                <c:pt idx="3">
                  <c:v>64.613437500000003</c:v>
                </c:pt>
                <c:pt idx="4">
                  <c:v>66.22877343750001</c:v>
                </c:pt>
                <c:pt idx="5">
                  <c:v>67.884492773437501</c:v>
                </c:pt>
                <c:pt idx="6">
                  <c:v>69.58160509277343</c:v>
                </c:pt>
                <c:pt idx="7">
                  <c:v>71.321145220092745</c:v>
                </c:pt>
              </c:numCache>
            </c:numRef>
          </c:val>
          <c:smooth val="0"/>
          <c:extLst>
            <c:ext xmlns:c16="http://schemas.microsoft.com/office/drawing/2014/chart" uri="{C3380CC4-5D6E-409C-BE32-E72D297353CC}">
              <c16:uniqueId val="{00000006-58FC-4635-BD9A-469E53F26273}"/>
            </c:ext>
          </c:extLst>
        </c:ser>
        <c:dLbls>
          <c:showLegendKey val="0"/>
          <c:showVal val="0"/>
          <c:showCatName val="0"/>
          <c:showSerName val="0"/>
          <c:showPercent val="0"/>
          <c:showBubbleSize val="0"/>
        </c:dLbls>
        <c:marker val="1"/>
        <c:smooth val="0"/>
        <c:axId val="129714816"/>
        <c:axId val="129721088"/>
      </c:lineChart>
      <c:catAx>
        <c:axId val="129714816"/>
        <c:scaling>
          <c:orientation val="minMax"/>
        </c:scaling>
        <c:delete val="0"/>
        <c:axPos val="b"/>
        <c:numFmt formatCode="General" sourceLinked="1"/>
        <c:majorTickMark val="out"/>
        <c:minorTickMark val="none"/>
        <c:tickLblPos val="low"/>
        <c:txPr>
          <a:bodyPr/>
          <a:lstStyle/>
          <a:p>
            <a:pPr>
              <a:defRPr lang="en-AU"/>
            </a:pPr>
            <a:endParaRPr lang="tr-TR"/>
          </a:p>
        </c:txPr>
        <c:crossAx val="129721088"/>
        <c:crosses val="autoZero"/>
        <c:auto val="1"/>
        <c:lblAlgn val="ctr"/>
        <c:lblOffset val="100"/>
        <c:noMultiLvlLbl val="0"/>
      </c:catAx>
      <c:valAx>
        <c:axId val="129721088"/>
        <c:scaling>
          <c:orientation val="minMax"/>
        </c:scaling>
        <c:delete val="0"/>
        <c:axPos val="l"/>
        <c:numFmt formatCode="_(#,##0_);\(#,##0\);_(&quot;-&quot;_)" sourceLinked="1"/>
        <c:majorTickMark val="out"/>
        <c:minorTickMark val="none"/>
        <c:tickLblPos val="nextTo"/>
        <c:txPr>
          <a:bodyPr/>
          <a:lstStyle/>
          <a:p>
            <a:pPr>
              <a:defRPr lang="en-AU"/>
            </a:pPr>
            <a:endParaRPr lang="tr-TR"/>
          </a:p>
        </c:txPr>
        <c:crossAx val="129714816"/>
        <c:crosses val="autoZero"/>
        <c:crossBetween val="between"/>
      </c:valAx>
    </c:plotArea>
    <c:legend>
      <c:legendPos val="t"/>
      <c:layout>
        <c:manualLayout>
          <c:xMode val="edge"/>
          <c:yMode val="edge"/>
          <c:x val="0.14018584724263231"/>
          <c:y val="0.10425608794268015"/>
          <c:w val="0.76600764737276961"/>
          <c:h val="0.20812858411603621"/>
        </c:manualLayout>
      </c:layout>
      <c:overlay val="0"/>
      <c:txPr>
        <a:bodyPr/>
        <a:lstStyle/>
        <a:p>
          <a:pPr>
            <a:defRPr lang="en-AU"/>
          </a:pPr>
          <a:endParaRPr lang="tr-TR"/>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tr-TR"/>
    </a:p>
  </c:txPr>
  <c:printSettings>
    <c:headerFooter/>
    <c:pageMargins b="0.75000000000000466" l="0.70000000000000062" r="0.70000000000000062" t="0.750000000000004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BS_Sum_P_MS!$AU$18</c:f>
          <c:strCache>
            <c:ptCount val="1"/>
            <c:pt idx="0">
              <c:v>Cost of Goods Sold</c:v>
            </c:pt>
          </c:strCache>
        </c:strRef>
      </c:tx>
      <c:overlay val="0"/>
      <c:txPr>
        <a:bodyPr/>
        <a:lstStyle/>
        <a:p>
          <a:pPr>
            <a:defRPr lang="en-AU" sz="900"/>
          </a:pPr>
          <a:endParaRPr lang="tr-TR"/>
        </a:p>
      </c:txPr>
    </c:title>
    <c:autoTitleDeleted val="0"/>
    <c:plotArea>
      <c:layout>
        <c:manualLayout>
          <c:layoutTarget val="inner"/>
          <c:xMode val="edge"/>
          <c:yMode val="edge"/>
          <c:x val="0.11313297459735661"/>
          <c:y val="0.27588255418586022"/>
          <c:w val="0.84857961234447288"/>
          <c:h val="0.50774180385912004"/>
        </c:manualLayout>
      </c:layout>
      <c:barChart>
        <c:barDir val="col"/>
        <c:grouping val="stacked"/>
        <c:varyColors val="0"/>
        <c:ser>
          <c:idx val="0"/>
          <c:order val="0"/>
          <c:tx>
            <c:strRef>
              <c:f>BS_Sum_P_MS!$AQ$20</c:f>
              <c:strCache>
                <c:ptCount val="1"/>
                <c:pt idx="0">
                  <c:v>Cost of Goods Sold (Historical)</c:v>
                </c:pt>
              </c:strCache>
            </c:strRef>
          </c:tx>
          <c:spPr>
            <a:solidFill>
              <a:srgbClr val="C0504D"/>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extLst>
            <c:ext xmlns:c16="http://schemas.microsoft.com/office/drawing/2014/chart" uri="{C3380CC4-5D6E-409C-BE32-E72D297353CC}">
              <c16:uniqueId val="{00000000-42FA-41D7-9AF2-7E2E2E4F97C9}"/>
            </c:ext>
          </c:extLst>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extLst>
            <c:ext xmlns:c16="http://schemas.microsoft.com/office/drawing/2014/chart" uri="{C3380CC4-5D6E-409C-BE32-E72D297353CC}">
              <c16:uniqueId val="{00000001-42FA-41D7-9AF2-7E2E2E4F97C9}"/>
            </c:ext>
          </c:extLst>
        </c:ser>
        <c:dLbls>
          <c:showLegendKey val="0"/>
          <c:showVal val="0"/>
          <c:showCatName val="0"/>
          <c:showSerName val="0"/>
          <c:showPercent val="0"/>
          <c:showBubbleSize val="0"/>
        </c:dLbls>
        <c:gapWidth val="150"/>
        <c:overlap val="100"/>
        <c:axId val="129756160"/>
        <c:axId val="129757952"/>
      </c:barChart>
      <c:catAx>
        <c:axId val="129756160"/>
        <c:scaling>
          <c:orientation val="minMax"/>
        </c:scaling>
        <c:delete val="0"/>
        <c:axPos val="b"/>
        <c:numFmt formatCode="General" sourceLinked="0"/>
        <c:majorTickMark val="out"/>
        <c:minorTickMark val="none"/>
        <c:tickLblPos val="nextTo"/>
        <c:txPr>
          <a:bodyPr/>
          <a:lstStyle/>
          <a:p>
            <a:pPr>
              <a:defRPr lang="en-AU"/>
            </a:pPr>
            <a:endParaRPr lang="tr-TR"/>
          </a:p>
        </c:txPr>
        <c:crossAx val="129757952"/>
        <c:crosses val="autoZero"/>
        <c:auto val="1"/>
        <c:lblAlgn val="ctr"/>
        <c:lblOffset val="100"/>
        <c:noMultiLvlLbl val="0"/>
      </c:catAx>
      <c:valAx>
        <c:axId val="129757952"/>
        <c:scaling>
          <c:orientation val="minMax"/>
        </c:scaling>
        <c:delete val="0"/>
        <c:axPos val="l"/>
        <c:numFmt formatCode="_(#,##0_);\(#,##0\);_(&quot;-&quot;_)" sourceLinked="1"/>
        <c:majorTickMark val="out"/>
        <c:minorTickMark val="none"/>
        <c:tickLblPos val="nextTo"/>
        <c:txPr>
          <a:bodyPr/>
          <a:lstStyle/>
          <a:p>
            <a:pPr>
              <a:defRPr lang="en-AU"/>
            </a:pPr>
            <a:endParaRPr lang="tr-TR"/>
          </a:p>
        </c:txPr>
        <c:crossAx val="129756160"/>
        <c:crosses val="autoZero"/>
        <c:crossBetween val="between"/>
      </c:valAx>
    </c:plotArea>
    <c:legend>
      <c:legendPos val="t"/>
      <c:layout>
        <c:manualLayout>
          <c:xMode val="edge"/>
          <c:yMode val="edge"/>
          <c:x val="0.16047671748441447"/>
          <c:y val="0.12310185185185257"/>
          <c:w val="0.73614726725850921"/>
          <c:h val="0.16702369881342521"/>
        </c:manualLayout>
      </c:layout>
      <c:overlay val="0"/>
      <c:txPr>
        <a:bodyPr/>
        <a:lstStyle/>
        <a:p>
          <a:pPr>
            <a:defRPr lang="en-AU"/>
          </a:pPr>
          <a:endParaRPr lang="tr-TR"/>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tr-TR"/>
    </a:p>
  </c:txPr>
  <c:printSettings>
    <c:headerFooter/>
    <c:pageMargins b="0.75000000000000488" l="0.70000000000000062" r="0.70000000000000062" t="0.750000000000004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BS_Sum_P_MS!$AU$25</c:f>
          <c:strCache>
            <c:ptCount val="1"/>
            <c:pt idx="0">
              <c:v>Operating Expenditure</c:v>
            </c:pt>
          </c:strCache>
        </c:strRef>
      </c:tx>
      <c:overlay val="0"/>
      <c:txPr>
        <a:bodyPr/>
        <a:lstStyle/>
        <a:p>
          <a:pPr>
            <a:defRPr lang="en-AU" sz="900"/>
          </a:pPr>
          <a:endParaRPr lang="tr-TR"/>
        </a:p>
      </c:txPr>
    </c:title>
    <c:autoTitleDeleted val="0"/>
    <c:plotArea>
      <c:layout>
        <c:manualLayout>
          <c:layoutTarget val="inner"/>
          <c:xMode val="edge"/>
          <c:yMode val="edge"/>
          <c:x val="0.12844793982062958"/>
          <c:y val="0.25496860643532054"/>
          <c:w val="0.83326464712119364"/>
          <c:h val="0.54123361826528682"/>
        </c:manualLayout>
      </c:layout>
      <c:barChart>
        <c:barDir val="col"/>
        <c:grouping val="stacked"/>
        <c:varyColors val="0"/>
        <c:ser>
          <c:idx val="0"/>
          <c:order val="0"/>
          <c:tx>
            <c:strRef>
              <c:f>BS_Sum_P_MS!$AQ$27</c:f>
              <c:strCache>
                <c:ptCount val="1"/>
                <c:pt idx="0">
                  <c:v>Operating Expenditure (Historical)</c:v>
                </c:pt>
              </c:strCache>
            </c:strRef>
          </c:tx>
          <c:spPr>
            <a:solidFill>
              <a:schemeClr val="accent3"/>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extLst>
            <c:ext xmlns:c16="http://schemas.microsoft.com/office/drawing/2014/chart" uri="{C3380CC4-5D6E-409C-BE32-E72D297353CC}">
              <c16:uniqueId val="{00000000-AB9F-41E5-86EB-6166D055ACF1}"/>
            </c:ext>
          </c:extLst>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extLst>
            <c:ext xmlns:c16="http://schemas.microsoft.com/office/drawing/2014/chart" uri="{C3380CC4-5D6E-409C-BE32-E72D297353CC}">
              <c16:uniqueId val="{00000001-AB9F-41E5-86EB-6166D055ACF1}"/>
            </c:ext>
          </c:extLst>
        </c:ser>
        <c:dLbls>
          <c:showLegendKey val="0"/>
          <c:showVal val="0"/>
          <c:showCatName val="0"/>
          <c:showSerName val="0"/>
          <c:showPercent val="0"/>
          <c:showBubbleSize val="0"/>
        </c:dLbls>
        <c:gapWidth val="150"/>
        <c:overlap val="100"/>
        <c:axId val="129462272"/>
        <c:axId val="129463808"/>
      </c:barChart>
      <c:catAx>
        <c:axId val="129462272"/>
        <c:scaling>
          <c:orientation val="minMax"/>
        </c:scaling>
        <c:delete val="0"/>
        <c:axPos val="b"/>
        <c:numFmt formatCode="General" sourceLinked="0"/>
        <c:majorTickMark val="out"/>
        <c:minorTickMark val="none"/>
        <c:tickLblPos val="nextTo"/>
        <c:txPr>
          <a:bodyPr/>
          <a:lstStyle/>
          <a:p>
            <a:pPr>
              <a:defRPr lang="en-AU"/>
            </a:pPr>
            <a:endParaRPr lang="tr-TR"/>
          </a:p>
        </c:txPr>
        <c:crossAx val="129463808"/>
        <c:crosses val="autoZero"/>
        <c:auto val="1"/>
        <c:lblAlgn val="ctr"/>
        <c:lblOffset val="100"/>
        <c:noMultiLvlLbl val="0"/>
      </c:catAx>
      <c:valAx>
        <c:axId val="129463808"/>
        <c:scaling>
          <c:orientation val="minMax"/>
        </c:scaling>
        <c:delete val="0"/>
        <c:axPos val="l"/>
        <c:numFmt formatCode="_(#,##0_);\(#,##0\);_(&quot;-&quot;_)" sourceLinked="1"/>
        <c:majorTickMark val="out"/>
        <c:minorTickMark val="none"/>
        <c:tickLblPos val="nextTo"/>
        <c:txPr>
          <a:bodyPr/>
          <a:lstStyle/>
          <a:p>
            <a:pPr>
              <a:defRPr lang="en-AU"/>
            </a:pPr>
            <a:endParaRPr lang="tr-TR"/>
          </a:p>
        </c:txPr>
        <c:crossAx val="129462272"/>
        <c:crosses val="autoZero"/>
        <c:crossBetween val="between"/>
      </c:valAx>
    </c:plotArea>
    <c:legend>
      <c:legendPos val="t"/>
      <c:layout>
        <c:manualLayout>
          <c:xMode val="edge"/>
          <c:yMode val="edge"/>
          <c:x val="0.20259287184841079"/>
          <c:y val="0.12310185185185257"/>
          <c:w val="0.59289807679610962"/>
          <c:h val="0.13447171119172971"/>
        </c:manualLayout>
      </c:layout>
      <c:overlay val="0"/>
      <c:txPr>
        <a:bodyPr/>
        <a:lstStyle/>
        <a:p>
          <a:pPr>
            <a:defRPr lang="en-AU"/>
          </a:pPr>
          <a:endParaRPr lang="tr-TR"/>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tr-TR"/>
    </a:p>
  </c:txPr>
  <c:printSettings>
    <c:headerFooter/>
    <c:pageMargins b="0.75000000000000488" l="0.70000000000000062" r="0.70000000000000062" t="0.75000000000000488" header="0.30000000000000032" footer="0.30000000000000032"/>
    <c:pageSetup/>
  </c:printSettings>
</c:chartSpace>
</file>

<file path=xl/ctrlProps/ctrlProp1.xml><?xml version="1.0" encoding="utf-8"?>
<formControlPr xmlns="http://schemas.microsoft.com/office/spreadsheetml/2009/9/main" objectType="Drop" dropLines="31" dropStyle="combo" dx="13" fmlaLink="DD_TS_Fin_YE_Day" fmlaRange="LU_Mth_Days" sel="31" val="0"/>
</file>

<file path=xl/ctrlProps/ctrlProp10.xml><?xml version="1.0" encoding="utf-8"?>
<formControlPr xmlns="http://schemas.microsoft.com/office/spreadsheetml/2009/9/main" objectType="CheckBox" checked="Checked" fmlaLink="CB_Err_Chks_Show_Msg" lockText="1" noThreeD="1"/>
</file>

<file path=xl/ctrlProps/ctrlProp11.xml><?xml version="1.0" encoding="utf-8"?>
<formControlPr xmlns="http://schemas.microsoft.com/office/spreadsheetml/2009/9/main" objectType="CheckBox" checked="Checked" fmlaLink="CB_Sens_Chks_Show_Msg" lockText="1" noThreeD="1"/>
</file>

<file path=xl/ctrlProps/ctrlProp12.xml><?xml version="1.0" encoding="utf-8"?>
<formControlPr xmlns="http://schemas.microsoft.com/office/spreadsheetml/2009/9/main" objectType="CheckBox" checked="Checked" fmlaLink="CB_Alt_Chks_Show_Msg" lockText="1" noThreeD="1"/>
</file>

<file path=xl/ctrlProps/ctrlProp2.xml><?xml version="1.0" encoding="utf-8"?>
<formControlPr xmlns="http://schemas.microsoft.com/office/spreadsheetml/2009/9/main" objectType="Drop" dropLines="12" dropStyle="combo" dx="13" fmlaLink="DD_TS_Fin_YE_Mth" fmlaRange="LU_Mth_Names" sel="12" val="0"/>
</file>

<file path=xl/ctrlProps/ctrlProp3.xml><?xml version="1.0" encoding="utf-8"?>
<formControlPr xmlns="http://schemas.microsoft.com/office/spreadsheetml/2009/9/main" objectType="Drop" dropLines="4" dropStyle="combo" dx="13" fmlaLink="DD_TS_Denom" fmlaRange="LU_Denom" sel="2" val="0"/>
</file>

<file path=xl/ctrlProps/ctrlProp4.xml><?xml version="1.0" encoding="utf-8"?>
<formControlPr xmlns="http://schemas.microsoft.com/office/spreadsheetml/2009/9/main" objectType="CheckBox" checked="Checked" fmlaLink="CB_TS_Show_Hist_Fcast_Pers" lockText="1"/>
</file>

<file path=xl/ctrlProps/ctrlProp5.xml><?xml version="1.0" encoding="utf-8"?>
<formControlPr xmlns="http://schemas.microsoft.com/office/spreadsheetml/2009/9/main" objectType="Drop" dropLines="4" dropStyle="combo" dx="13" fmlaLink="DD_TS_Data_Term_Basis" fmlaRange="LU_Data_Term_Basis" sel="1" val="0"/>
</file>

<file path=xl/ctrlProps/ctrlProp6.xml><?xml version="1.0" encoding="utf-8"?>
<formControlPr xmlns="http://schemas.microsoft.com/office/spreadsheetml/2009/9/main" objectType="Drop" dropLines="2" dropStyle="combo" dx="16" fmlaLink="DD_Eq_Ord_Div_Meth" fmlaRange="LU_Eq_Ord_Div_Meth" sel="1" val="0"/>
</file>

<file path=xl/ctrlProps/ctrlProp7.xml><?xml version="1.0" encoding="utf-8"?>
<formControlPr xmlns="http://schemas.microsoft.com/office/spreadsheetml/2009/9/main" objectType="CheckBox" fmlaLink="CB_Eq_Ord_Inc_Open_RP_In_NPAT" lockText="1"/>
</file>

<file path=xl/ctrlProps/ctrlProp8.xml><?xml version="1.0" encoding="utf-8"?>
<formControlPr xmlns="http://schemas.microsoft.com/office/spreadsheetml/2009/9/main" objectType="CheckBox" fmlaLink="CB_Eq_Ord_Cash_Limit_Div" lockText="1"/>
</file>

<file path=xl/ctrlProps/ctrlProp9.xml><?xml version="1.0" encoding="utf-8"?>
<formControlPr xmlns="http://schemas.microsoft.com/office/spreadsheetml/2009/9/main" objectType="Drop" dropStyle="combo" dx="13" fmlaLink="$AU$34" fmlaRange="LU_Dashboard_Selected_Period"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466725</xdr:colOff>
          <xdr:row>13</xdr:row>
          <xdr:rowOff>0</xdr:rowOff>
        </xdr:to>
        <xdr:sp macro="" textlink="">
          <xdr:nvSpPr>
            <xdr:cNvPr id="117765" name="DD_TS_Fin_YE_Day" hidden="1">
              <a:extLst>
                <a:ext uri="{63B3BB69-23CF-44E3-9099-C40C66FF867C}">
                  <a14:compatExt spid="_x0000_s117765"/>
                </a:ext>
                <a:ext uri="{FF2B5EF4-FFF2-40B4-BE49-F238E27FC236}">
                  <a16:creationId xmlns:a16="http://schemas.microsoft.com/office/drawing/2014/main" id="{00000000-0008-0000-0A00-000005C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466725</xdr:colOff>
          <xdr:row>12</xdr:row>
          <xdr:rowOff>0</xdr:rowOff>
        </xdr:from>
        <xdr:to>
          <xdr:col>10</xdr:col>
          <xdr:colOff>666750</xdr:colOff>
          <xdr:row>13</xdr:row>
          <xdr:rowOff>0</xdr:rowOff>
        </xdr:to>
        <xdr:sp macro="" textlink="">
          <xdr:nvSpPr>
            <xdr:cNvPr id="117766" name="DD_TS_Fin_YE_Mth" hidden="1">
              <a:extLst>
                <a:ext uri="{63B3BB69-23CF-44E3-9099-C40C66FF867C}">
                  <a14:compatExt spid="_x0000_s117766"/>
                </a:ext>
                <a:ext uri="{FF2B5EF4-FFF2-40B4-BE49-F238E27FC236}">
                  <a16:creationId xmlns:a16="http://schemas.microsoft.com/office/drawing/2014/main" id="{00000000-0008-0000-0A00-000006C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0</xdr:rowOff>
        </xdr:from>
        <xdr:to>
          <xdr:col>11</xdr:col>
          <xdr:colOff>0</xdr:colOff>
          <xdr:row>16</xdr:row>
          <xdr:rowOff>66675</xdr:rowOff>
        </xdr:to>
        <xdr:sp macro="" textlink="">
          <xdr:nvSpPr>
            <xdr:cNvPr id="117767" name="DD_TS_Denom" hidden="1">
              <a:extLst>
                <a:ext uri="{63B3BB69-23CF-44E3-9099-C40C66FF867C}">
                  <a14:compatExt spid="_x0000_s117767"/>
                </a:ext>
                <a:ext uri="{FF2B5EF4-FFF2-40B4-BE49-F238E27FC236}">
                  <a16:creationId xmlns:a16="http://schemas.microsoft.com/office/drawing/2014/main" id="{00000000-0008-0000-0A00-000007C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533400</xdr:colOff>
          <xdr:row>30</xdr:row>
          <xdr:rowOff>0</xdr:rowOff>
        </xdr:from>
        <xdr:to>
          <xdr:col>10</xdr:col>
          <xdr:colOff>666750</xdr:colOff>
          <xdr:row>31</xdr:row>
          <xdr:rowOff>0</xdr:rowOff>
        </xdr:to>
        <xdr:sp macro="" textlink="">
          <xdr:nvSpPr>
            <xdr:cNvPr id="117768" name="CB_TS_Show_Hist_Fcast_Pers" hidden="1">
              <a:extLst>
                <a:ext uri="{63B3BB69-23CF-44E3-9099-C40C66FF867C}">
                  <a14:compatExt spid="_x0000_s117768"/>
                </a:ext>
                <a:ext uri="{FF2B5EF4-FFF2-40B4-BE49-F238E27FC236}">
                  <a16:creationId xmlns:a16="http://schemas.microsoft.com/office/drawing/2014/main" id="{00000000-0008-0000-0A00-000008CC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39</xdr:row>
          <xdr:rowOff>0</xdr:rowOff>
        </xdr:from>
        <xdr:to>
          <xdr:col>11</xdr:col>
          <xdr:colOff>0</xdr:colOff>
          <xdr:row>40</xdr:row>
          <xdr:rowOff>0</xdr:rowOff>
        </xdr:to>
        <xdr:sp macro="" textlink="">
          <xdr:nvSpPr>
            <xdr:cNvPr id="117769" name="DD_TS_Data_Term_Basis" hidden="1">
              <a:extLst>
                <a:ext uri="{63B3BB69-23CF-44E3-9099-C40C66FF867C}">
                  <a14:compatExt spid="_x0000_s117769"/>
                </a:ext>
                <a:ext uri="{FF2B5EF4-FFF2-40B4-BE49-F238E27FC236}">
                  <a16:creationId xmlns:a16="http://schemas.microsoft.com/office/drawing/2014/main" id="{00000000-0008-0000-0A00-000009C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91</xdr:row>
          <xdr:rowOff>0</xdr:rowOff>
        </xdr:from>
        <xdr:to>
          <xdr:col>10</xdr:col>
          <xdr:colOff>123825</xdr:colOff>
          <xdr:row>92</xdr:row>
          <xdr:rowOff>0</xdr:rowOff>
        </xdr:to>
        <xdr:sp macro="" textlink="">
          <xdr:nvSpPr>
            <xdr:cNvPr id="158721" name="Drop Down 1" hidden="1">
              <a:extLst>
                <a:ext uri="{63B3BB69-23CF-44E3-9099-C40C66FF867C}">
                  <a14:compatExt spid="_x0000_s158721"/>
                </a:ext>
                <a:ext uri="{FF2B5EF4-FFF2-40B4-BE49-F238E27FC236}">
                  <a16:creationId xmlns:a16="http://schemas.microsoft.com/office/drawing/2014/main" id="{00000000-0008-0000-1000-0000016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97</xdr:row>
          <xdr:rowOff>0</xdr:rowOff>
        </xdr:from>
        <xdr:to>
          <xdr:col>8</xdr:col>
          <xdr:colOff>504825</xdr:colOff>
          <xdr:row>98</xdr:row>
          <xdr:rowOff>0</xdr:rowOff>
        </xdr:to>
        <xdr:sp macro="" textlink="">
          <xdr:nvSpPr>
            <xdr:cNvPr id="158722" name="Check Box 2" hidden="1">
              <a:extLst>
                <a:ext uri="{63B3BB69-23CF-44E3-9099-C40C66FF867C}">
                  <a14:compatExt spid="_x0000_s158722"/>
                </a:ext>
                <a:ext uri="{FF2B5EF4-FFF2-40B4-BE49-F238E27FC236}">
                  <a16:creationId xmlns:a16="http://schemas.microsoft.com/office/drawing/2014/main" id="{00000000-0008-0000-1000-0000026C02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 Include Opening Retained Profits in NPAT?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98</xdr:row>
          <xdr:rowOff>0</xdr:rowOff>
        </xdr:from>
        <xdr:to>
          <xdr:col>8</xdr:col>
          <xdr:colOff>504825</xdr:colOff>
          <xdr:row>99</xdr:row>
          <xdr:rowOff>0</xdr:rowOff>
        </xdr:to>
        <xdr:sp macro="" textlink="">
          <xdr:nvSpPr>
            <xdr:cNvPr id="158723" name="Check Box 3" hidden="1">
              <a:extLst>
                <a:ext uri="{63B3BB69-23CF-44E3-9099-C40C66FF867C}">
                  <a14:compatExt spid="_x0000_s158723"/>
                </a:ext>
                <a:ext uri="{FF2B5EF4-FFF2-40B4-BE49-F238E27FC236}">
                  <a16:creationId xmlns:a16="http://schemas.microsoft.com/office/drawing/2014/main" id="{00000000-0008-0000-1000-0000036C02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 Limit dividends to prevent negative Cash at Bank?</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a:extLst>
            <a:ext uri="{FF2B5EF4-FFF2-40B4-BE49-F238E27FC236}">
              <a16:creationId xmlns:a16="http://schemas.microsoft.com/office/drawing/2014/main" id="{00000000-0008-0000-2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a:extLst>
            <a:ext uri="{FF2B5EF4-FFF2-40B4-BE49-F238E27FC236}">
              <a16:creationId xmlns:a16="http://schemas.microsoft.com/office/drawing/2014/main" id="{00000000-0008-0000-2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a:extLst>
            <a:ext uri="{FF2B5EF4-FFF2-40B4-BE49-F238E27FC236}">
              <a16:creationId xmlns:a16="http://schemas.microsoft.com/office/drawing/2014/main" id="{00000000-0008-0000-2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a:extLst>
            <a:ext uri="{FF2B5EF4-FFF2-40B4-BE49-F238E27FC236}">
              <a16:creationId xmlns:a16="http://schemas.microsoft.com/office/drawing/2014/main" id="{00000000-0008-0000-2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46</xdr:col>
          <xdr:colOff>0</xdr:colOff>
          <xdr:row>33</xdr:row>
          <xdr:rowOff>0</xdr:rowOff>
        </xdr:from>
        <xdr:to>
          <xdr:col>47</xdr:col>
          <xdr:colOff>0</xdr:colOff>
          <xdr:row>34</xdr:row>
          <xdr:rowOff>0</xdr:rowOff>
        </xdr:to>
        <xdr:sp macro="" textlink="">
          <xdr:nvSpPr>
            <xdr:cNvPr id="189442" name="Drop Down 2" hidden="1">
              <a:extLst>
                <a:ext uri="{63B3BB69-23CF-44E3-9099-C40C66FF867C}">
                  <a14:compatExt spid="_x0000_s189442"/>
                </a:ext>
                <a:ext uri="{FF2B5EF4-FFF2-40B4-BE49-F238E27FC236}">
                  <a16:creationId xmlns:a16="http://schemas.microsoft.com/office/drawing/2014/main" id="{00000000-0008-0000-2000-00000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8</xdr:col>
          <xdr:colOff>0</xdr:colOff>
          <xdr:row>9</xdr:row>
          <xdr:rowOff>0</xdr:rowOff>
        </xdr:to>
        <xdr:sp macro="" textlink="">
          <xdr:nvSpPr>
            <xdr:cNvPr id="120833" name="CB_Err_Chks_Show_Msg" hidden="1">
              <a:extLst>
                <a:ext uri="{63B3BB69-23CF-44E3-9099-C40C66FF867C}">
                  <a14:compatExt spid="_x0000_s120833"/>
                </a:ext>
                <a:ext uri="{FF2B5EF4-FFF2-40B4-BE49-F238E27FC236}">
                  <a16:creationId xmlns:a16="http://schemas.microsoft.com/office/drawing/2014/main" id="{00000000-0008-0000-2300-000001D8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 Include summary in model 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8</xdr:col>
          <xdr:colOff>0</xdr:colOff>
          <xdr:row>34</xdr:row>
          <xdr:rowOff>0</xdr:rowOff>
        </xdr:to>
        <xdr:sp macro="" textlink="">
          <xdr:nvSpPr>
            <xdr:cNvPr id="120834" name="CB_Sens_Chks_Show_Msg" hidden="1">
              <a:extLst>
                <a:ext uri="{63B3BB69-23CF-44E3-9099-C40C66FF867C}">
                  <a14:compatExt spid="_x0000_s120834"/>
                </a:ext>
                <a:ext uri="{FF2B5EF4-FFF2-40B4-BE49-F238E27FC236}">
                  <a16:creationId xmlns:a16="http://schemas.microsoft.com/office/drawing/2014/main" id="{00000000-0008-0000-2300-000002D8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 Include summary in model 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8</xdr:col>
          <xdr:colOff>0</xdr:colOff>
          <xdr:row>50</xdr:row>
          <xdr:rowOff>0</xdr:rowOff>
        </xdr:to>
        <xdr:sp macro="" textlink="">
          <xdr:nvSpPr>
            <xdr:cNvPr id="120835" name="CB_Alt_Chks_Show_Msg" hidden="1">
              <a:extLst>
                <a:ext uri="{63B3BB69-23CF-44E3-9099-C40C66FF867C}">
                  <a14:compatExt spid="_x0000_s120835"/>
                </a:ext>
                <a:ext uri="{FF2B5EF4-FFF2-40B4-BE49-F238E27FC236}">
                  <a16:creationId xmlns:a16="http://schemas.microsoft.com/office/drawing/2014/main" id="{00000000-0008-0000-2300-000003D8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 Include summary in model name?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stpracticemodelling.com/network/subscrib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7.vml"/><Relationship Id="rId7" Type="http://schemas.openxmlformats.org/officeDocument/2006/relationships/ctrlProp" Target="../ctrlProps/ctrlProp3.xml"/><Relationship Id="rId2" Type="http://schemas.openxmlformats.org/officeDocument/2006/relationships/drawing" Target="../drawings/drawing2.xml"/><Relationship Id="rId1" Type="http://schemas.openxmlformats.org/officeDocument/2006/relationships/printerSettings" Target="../printerSettings/printerSettings11.bin"/><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omments" Target="../comments1.xml"/><Relationship Id="rId4" Type="http://schemas.openxmlformats.org/officeDocument/2006/relationships/vmlDrawing" Target="../drawings/vmlDrawing8.vml"/><Relationship Id="rId9" Type="http://schemas.openxmlformats.org/officeDocument/2006/relationships/ctrlProp" Target="../ctrlProps/ctrlProp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xml"/><Relationship Id="rId1" Type="http://schemas.openxmlformats.org/officeDocument/2006/relationships/printerSettings" Target="../printerSettings/printerSettings17.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2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26.bin"/><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2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4.xml"/><Relationship Id="rId1" Type="http://schemas.openxmlformats.org/officeDocument/2006/relationships/printerSettings" Target="../printerSettings/printerSettings32.bin"/><Relationship Id="rId5" Type="http://schemas.openxmlformats.org/officeDocument/2006/relationships/ctrlProp" Target="../ctrlProps/ctrlProp9.xml"/><Relationship Id="rId4" Type="http://schemas.openxmlformats.org/officeDocument/2006/relationships/vmlDrawing" Target="../drawings/vmlDrawing23.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6.vml"/><Relationship Id="rId7" Type="http://schemas.openxmlformats.org/officeDocument/2006/relationships/ctrlProp" Target="../ctrlProps/ctrlProp12.xml"/><Relationship Id="rId2" Type="http://schemas.openxmlformats.org/officeDocument/2006/relationships/drawing" Target="../drawings/drawing5.xml"/><Relationship Id="rId1" Type="http://schemas.openxmlformats.org/officeDocument/2006/relationships/printerSettings" Target="../printerSettings/printerSettings36.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vmlDrawing" Target="../drawings/vmlDrawing27.vml"/></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7" Type="http://schemas.openxmlformats.org/officeDocument/2006/relationships/vmlDrawing" Target="../drawings/vmlDrawing3.vm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C3:N33"/>
  <sheetViews>
    <sheetView showGridLines="0" zoomScaleNormal="100" workbookViewId="0">
      <selection activeCell="P22" sqref="P22"/>
    </sheetView>
  </sheetViews>
  <sheetFormatPr defaultColWidth="11.83203125" defaultRowHeight="10.5" x14ac:dyDescent="0.15"/>
  <cols>
    <col min="3" max="6" width="3.83203125" customWidth="1"/>
  </cols>
  <sheetData>
    <row r="3" spans="3:14" ht="11.25" thickBot="1" x14ac:dyDescent="0.2"/>
    <row r="4" spans="3:14" x14ac:dyDescent="0.15">
      <c r="C4" s="271" t="s">
        <v>430</v>
      </c>
      <c r="D4" s="272"/>
      <c r="E4" s="272"/>
      <c r="F4" s="272"/>
      <c r="G4" s="272"/>
      <c r="H4" s="272"/>
      <c r="I4" s="272"/>
      <c r="J4" s="272"/>
      <c r="K4" s="272"/>
      <c r="L4" s="272"/>
      <c r="M4" s="272"/>
      <c r="N4" s="273"/>
    </row>
    <row r="5" spans="3:14" x14ac:dyDescent="0.15">
      <c r="C5" s="274"/>
      <c r="D5" s="275"/>
      <c r="E5" s="275"/>
      <c r="F5" s="275"/>
      <c r="G5" s="275"/>
      <c r="H5" s="275"/>
      <c r="I5" s="275"/>
      <c r="J5" s="275"/>
      <c r="K5" s="275"/>
      <c r="L5" s="275"/>
      <c r="M5" s="275"/>
      <c r="N5" s="276"/>
    </row>
    <row r="6" spans="3:14" ht="11.25" thickBot="1" x14ac:dyDescent="0.2">
      <c r="C6" s="277"/>
      <c r="D6" s="278"/>
      <c r="E6" s="278"/>
      <c r="F6" s="278"/>
      <c r="G6" s="278"/>
      <c r="H6" s="278"/>
      <c r="I6" s="278"/>
      <c r="J6" s="278"/>
      <c r="K6" s="278"/>
      <c r="L6" s="278"/>
      <c r="M6" s="278"/>
      <c r="N6" s="279"/>
    </row>
    <row r="9" spans="3:14" ht="18" x14ac:dyDescent="0.15">
      <c r="C9" s="1" t="s">
        <v>482</v>
      </c>
    </row>
    <row r="10" spans="3:14" ht="15" x14ac:dyDescent="0.15">
      <c r="C10" s="3" t="str">
        <f ca="1">"Example Best Practice Model 6.1"&amp;Err_Chks_Msg&amp;Sens_Chks_Msg&amp;Alt_Chks_Msg</f>
        <v>Example Best Practice Model 6.1</v>
      </c>
    </row>
    <row r="11" spans="3:14" x14ac:dyDescent="0.15">
      <c r="C11" s="270" t="s">
        <v>48</v>
      </c>
      <c r="D11" s="270"/>
      <c r="E11" s="270"/>
      <c r="F11" s="270"/>
      <c r="G11" s="270"/>
    </row>
    <row r="19" spans="3:14" x14ac:dyDescent="0.15">
      <c r="C19" s="25" t="s">
        <v>309</v>
      </c>
    </row>
    <row r="21" spans="3:14" x14ac:dyDescent="0.15">
      <c r="C21" s="25" t="s">
        <v>484</v>
      </c>
    </row>
    <row r="22" spans="3:14" x14ac:dyDescent="0.15">
      <c r="C22" s="36" t="s">
        <v>217</v>
      </c>
      <c r="D22" s="170" t="s">
        <v>595</v>
      </c>
    </row>
    <row r="23" spans="3:14" x14ac:dyDescent="0.15">
      <c r="C23" s="36" t="s">
        <v>217</v>
      </c>
      <c r="D23" s="280" t="s">
        <v>963</v>
      </c>
      <c r="E23" s="280"/>
      <c r="F23" s="280"/>
      <c r="G23" s="280"/>
      <c r="H23" s="280"/>
      <c r="I23" s="280"/>
      <c r="J23" s="280"/>
      <c r="K23" s="280"/>
      <c r="L23" s="280"/>
      <c r="M23" s="280"/>
      <c r="N23" s="280"/>
    </row>
    <row r="24" spans="3:14" x14ac:dyDescent="0.15">
      <c r="C24" s="110"/>
      <c r="D24" s="280"/>
      <c r="E24" s="280"/>
      <c r="F24" s="280"/>
      <c r="G24" s="280"/>
      <c r="H24" s="280"/>
      <c r="I24" s="280"/>
      <c r="J24" s="280"/>
      <c r="K24" s="280"/>
      <c r="L24" s="280"/>
      <c r="M24" s="280"/>
      <c r="N24" s="280"/>
    </row>
    <row r="25" spans="3:14" x14ac:dyDescent="0.15">
      <c r="C25" s="36" t="s">
        <v>217</v>
      </c>
      <c r="D25" s="170" t="s">
        <v>597</v>
      </c>
    </row>
    <row r="26" spans="3:14" s="15" customFormat="1" x14ac:dyDescent="0.15">
      <c r="C26" s="259" t="s">
        <v>217</v>
      </c>
      <c r="D26" s="170" t="s">
        <v>594</v>
      </c>
      <c r="E26" s="5"/>
      <c r="F26" s="5"/>
      <c r="G26" s="5"/>
      <c r="H26" s="5"/>
      <c r="I26" s="5"/>
      <c r="J26" s="5"/>
      <c r="K26" s="5"/>
      <c r="L26" s="5"/>
      <c r="M26" s="5"/>
    </row>
    <row r="27" spans="3:14" x14ac:dyDescent="0.15">
      <c r="C27" s="36" t="s">
        <v>217</v>
      </c>
      <c r="D27" s="147" t="s">
        <v>483</v>
      </c>
      <c r="H27" s="9" t="str">
        <f>Notes_BO!$B$1</f>
        <v>Model Notes</v>
      </c>
      <c r="I27" s="8"/>
    </row>
    <row r="32" spans="3:14" x14ac:dyDescent="0.15">
      <c r="J32" s="15"/>
    </row>
    <row r="33" spans="12:12" x14ac:dyDescent="0.15">
      <c r="L33" s="246"/>
    </row>
  </sheetData>
  <sheetProtection sheet="1" objects="1" scenarios="1"/>
  <mergeCells count="3">
    <mergeCell ref="C11:G11"/>
    <mergeCell ref="C4:N6"/>
    <mergeCell ref="D23:N24"/>
  </mergeCells>
  <hyperlinks>
    <hyperlink ref="H27:I27" location="HL_Sheet_Main" tooltip="Go to Notes" display="HL_Sheet_Main" xr:uid="{00000000-0004-0000-0000-000000000000}"/>
    <hyperlink ref="D26:M26" r:id="rId1" display="Subscribe to the Best Practice Modelling Network to be notified of new best practice example models." xr:uid="{00000000-0004-0000-0000-000001000000}"/>
    <hyperlink ref="C11" location="HL_Home" tooltip="Go to Table of Contents" display="HL_Home" xr:uid="{00000000-0004-0000-0000-000002000000}"/>
  </hyperlinks>
  <pageMargins left="0.39370078740157499" right="0.39370078740157499" top="0.59055118110236204" bottom="0.98425196850393704" header="0" footer="0.31496062992126"/>
  <pageSetup paperSize="9" orientation="landscape"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autoPageBreaks="0" fitToPage="1"/>
  </sheetPr>
  <dimension ref="C9:K20"/>
  <sheetViews>
    <sheetView showGridLines="0" zoomScaleNormal="100" workbookViewId="0"/>
  </sheetViews>
  <sheetFormatPr defaultColWidth="11.83203125" defaultRowHeight="10.5" x14ac:dyDescent="0.15"/>
  <cols>
    <col min="3" max="6" width="3.83203125" customWidth="1"/>
  </cols>
  <sheetData>
    <row r="9" spans="3:11" ht="18" x14ac:dyDescent="0.15">
      <c r="C9" s="1" t="s">
        <v>353</v>
      </c>
    </row>
    <row r="10" spans="3:11" ht="16.5" x14ac:dyDescent="0.15">
      <c r="C10" s="27" t="s">
        <v>529</v>
      </c>
    </row>
    <row r="11" spans="3:11" ht="15" x14ac:dyDescent="0.15">
      <c r="C11" s="2" t="str">
        <f ca="1">Model_Name</f>
        <v>Example Best Practice Model 6.1</v>
      </c>
    </row>
    <row r="12" spans="3:11" x14ac:dyDescent="0.15">
      <c r="C12" s="270" t="s">
        <v>48</v>
      </c>
      <c r="D12" s="270"/>
      <c r="E12" s="270"/>
      <c r="F12" s="270"/>
      <c r="G12" s="270"/>
    </row>
    <row r="13" spans="3:11" ht="12.75" x14ac:dyDescent="0.15">
      <c r="C13" s="11" t="s">
        <v>53</v>
      </c>
      <c r="D13" s="12" t="s">
        <v>102</v>
      </c>
      <c r="J13" s="24"/>
      <c r="K13" s="24"/>
    </row>
    <row r="14" spans="3:11" x14ac:dyDescent="0.15">
      <c r="J14" s="24"/>
      <c r="K14" s="24"/>
    </row>
    <row r="15" spans="3:11" x14ac:dyDescent="0.15">
      <c r="J15" s="24"/>
      <c r="K15" s="24"/>
    </row>
    <row r="16" spans="3:11" x14ac:dyDescent="0.15">
      <c r="J16" s="24"/>
      <c r="K16" s="24"/>
    </row>
    <row r="17" spans="3:3" x14ac:dyDescent="0.15">
      <c r="C17" s="25" t="s">
        <v>523</v>
      </c>
    </row>
    <row r="18" spans="3:3" x14ac:dyDescent="0.15">
      <c r="C18" s="177" t="s">
        <v>524</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xr:uid="{00000000-0004-0000-0900-000000000000}"/>
    <hyperlink ref="C13" location="HL_Sheet_Main_11" tooltip="Go to Previous Sheet" display="HL_Sheet_Main_11" xr:uid="{00000000-0004-0000-0900-000001000000}"/>
    <hyperlink ref="D13" location="HL_Blank_sheet_Example" tooltip="Go to Next Sheet" display="HL_Blank_sheet_Example" xr:uid="{00000000-0004-0000-09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autoPageBreaks="0"/>
  </sheetPr>
  <dimension ref="A1:K65"/>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ColWidth="9.33203125" defaultRowHeight="10.5" outlineLevelRow="2" x14ac:dyDescent="0.15"/>
  <cols>
    <col min="1" max="5" width="3.83203125" style="20" customWidth="1"/>
    <col min="6" max="256" width="11.83203125" style="20" customWidth="1"/>
    <col min="257" max="16384" width="9.33203125" style="20"/>
  </cols>
  <sheetData>
    <row r="1" spans="1:11" ht="18" x14ac:dyDescent="0.15">
      <c r="B1" s="42" t="s">
        <v>353</v>
      </c>
    </row>
    <row r="2" spans="1:11" ht="15" x14ac:dyDescent="0.15">
      <c r="B2" s="41" t="str">
        <f ca="1">Model_Name</f>
        <v>Example Best Practice Model 6.1</v>
      </c>
    </row>
    <row r="3" spans="1:11" x14ac:dyDescent="0.15">
      <c r="B3" s="332" t="s">
        <v>48</v>
      </c>
      <c r="C3" s="332"/>
      <c r="D3" s="332"/>
      <c r="E3" s="332"/>
      <c r="F3" s="332"/>
    </row>
    <row r="4" spans="1:11" ht="12.75" x14ac:dyDescent="0.15">
      <c r="A4" s="43" t="s">
        <v>51</v>
      </c>
      <c r="B4" s="44" t="s">
        <v>53</v>
      </c>
      <c r="C4" s="45" t="s">
        <v>102</v>
      </c>
      <c r="D4" s="79" t="s">
        <v>220</v>
      </c>
      <c r="E4" s="79" t="s">
        <v>221</v>
      </c>
      <c r="F4" s="46" t="s">
        <v>222</v>
      </c>
    </row>
    <row r="7" spans="1:11" ht="12.75" x14ac:dyDescent="0.15">
      <c r="B7" s="47" t="s">
        <v>353</v>
      </c>
    </row>
    <row r="9" spans="1:11" ht="11.25" x14ac:dyDescent="0.15">
      <c r="C9" s="48" t="s">
        <v>371</v>
      </c>
    </row>
    <row r="11" spans="1:11" x14ac:dyDescent="0.15">
      <c r="D11" s="49" t="s">
        <v>372</v>
      </c>
      <c r="J11" s="333" t="s">
        <v>202</v>
      </c>
      <c r="K11" s="333"/>
    </row>
    <row r="12" spans="1:11" x14ac:dyDescent="0.15">
      <c r="D12" s="49" t="s">
        <v>364</v>
      </c>
      <c r="J12" s="323" t="str">
        <f>Annual</f>
        <v>Annual</v>
      </c>
      <c r="K12" s="323"/>
    </row>
    <row r="13" spans="1:11" ht="15.75" customHeight="1" x14ac:dyDescent="0.15">
      <c r="D13" s="49" t="s">
        <v>373</v>
      </c>
      <c r="J13" s="53">
        <v>31</v>
      </c>
      <c r="K13" s="53">
        <v>12</v>
      </c>
    </row>
    <row r="14" spans="1:11" x14ac:dyDescent="0.15">
      <c r="D14" s="49" t="s">
        <v>374</v>
      </c>
      <c r="J14" s="330">
        <v>40179</v>
      </c>
      <c r="K14" s="331"/>
    </row>
    <row r="15" spans="1:11" x14ac:dyDescent="0.15">
      <c r="D15" s="49" t="s">
        <v>375</v>
      </c>
      <c r="J15" s="334">
        <v>8</v>
      </c>
      <c r="K15" s="334"/>
    </row>
    <row r="16" spans="1:11" ht="10.5" customHeight="1" outlineLevel="2" x14ac:dyDescent="0.15">
      <c r="D16" s="49" t="s">
        <v>376</v>
      </c>
      <c r="J16" s="323" t="str">
        <f>INDEX(LU_Period_Type_Names,MATCH(TS_Periodicity,LU_Periodicity,0))</f>
        <v>Year</v>
      </c>
      <c r="K16" s="323"/>
    </row>
    <row r="17" spans="3:11" ht="10.5" customHeight="1" outlineLevel="2" x14ac:dyDescent="0.15">
      <c r="D17" s="49" t="s">
        <v>377</v>
      </c>
      <c r="J17" s="335" t="str">
        <f>CHOOSE(MATCH(TS_Periodicity,LU_Periodicity,0),Yr_Name,"H","Q","M")</f>
        <v>Year</v>
      </c>
      <c r="K17" s="335"/>
    </row>
    <row r="18" spans="3:11" ht="10.5" customHeight="1" outlineLevel="2" x14ac:dyDescent="0.15">
      <c r="D18" s="49" t="s">
        <v>378</v>
      </c>
      <c r="J18" s="335" t="b">
        <f>OR(AND(DD_TS_Fin_YE_Day&gt;=28,DD_TS_Fin_YE_Mth=2),
DD_TS_Fin_YE_Day&gt;=DAY(EOMONTH(DATE(YEAR(TS_Start_Date),DD_TS_Fin_YE_Mth,1),0)))</f>
        <v>1</v>
      </c>
      <c r="K18" s="335"/>
    </row>
    <row r="19" spans="3:11" ht="10.5" customHeight="1" outlineLevel="2" x14ac:dyDescent="0.15">
      <c r="D19" s="49" t="s">
        <v>379</v>
      </c>
      <c r="J19" s="321">
        <f>IF(TS_Mth_End,DATE(YEAR(TS_Per_1_FY_End_Date)-IF(TS_Per_1_FY_End_Date=EOMONTH(DATE(YEAR(TS_Per_1_FY_End_Date),Mths_In_Yr,1),0),0,1),MOD(MONTH(TS_Per_1_FY_End_Date),Mths_In_Yr)+1,1),
EDATE(TS_Per_1_FY_End_Date,-Mths_In_Yr)+1)</f>
        <v>40179</v>
      </c>
      <c r="K19" s="321"/>
    </row>
    <row r="20" spans="3:11" ht="10.5" customHeight="1" outlineLevel="2" x14ac:dyDescent="0.15">
      <c r="D20" s="49" t="s">
        <v>380</v>
      </c>
      <c r="J20" s="321">
        <f>IF(TS_Mth_End,EOMONTH(DATE(YEAR(TS_Start_Date)+IF(MONTH(TS_Start_Date)&gt;DD_TS_Fin_YE_Mth,1,0),DD_TS_Fin_YE_Mth,1),0),
DATE(YEAR(TS_Start_Date)+IF(TS_Start_Date&gt;DATE(YEAR(TS_Start_Date),DD_TS_Fin_YE_Mth,DD_TS_Fin_YE_Day),1,0),DD_TS_Fin_YE_Mth,DD_TS_Fin_YE_Day))</f>
        <v>40543</v>
      </c>
      <c r="K20" s="321"/>
    </row>
    <row r="21" spans="3:11" ht="10.5" customHeight="1" outlineLevel="2" x14ac:dyDescent="0.15">
      <c r="D21" s="49" t="s">
        <v>369</v>
      </c>
      <c r="J21" s="320">
        <f>INDEX(LU_Pers_In_Yr,MATCH(TS_Periodicity,LU_Periodicity,0))</f>
        <v>1</v>
      </c>
      <c r="K21" s="320"/>
    </row>
    <row r="22" spans="3:11" ht="10.5" customHeight="1" outlineLevel="2" x14ac:dyDescent="0.15">
      <c r="D22" s="49" t="s">
        <v>381</v>
      </c>
      <c r="J22" s="320">
        <f>Mths_In_Yr/TS_Pers_In_Yr</f>
        <v>12</v>
      </c>
      <c r="K22" s="320"/>
    </row>
    <row r="23" spans="3:11" ht="10.5" customHeight="1" outlineLevel="2" x14ac:dyDescent="0.15">
      <c r="D23" s="49" t="s">
        <v>382</v>
      </c>
      <c r="J23" s="320">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0"/>
    </row>
    <row r="24" spans="3:11" ht="10.5" customHeight="1" outlineLevel="2" x14ac:dyDescent="0.15">
      <c r="D24" s="49" t="s">
        <v>383</v>
      </c>
      <c r="J24" s="321">
        <f>IF(TS_Mth_End,EOMONTH(EDATE(TS_Per_1_FY_Start_Date,(TS_Per_1_Number-1)*TS_Mths_In_Per-1),0)+1,
EDATE(TS_Per_1_FY_Start_Date,(TS_Per_1_Number-1)*TS_Mths_In_Per))</f>
        <v>40179</v>
      </c>
      <c r="K24" s="321"/>
    </row>
    <row r="25" spans="3:11" ht="10.5" customHeight="1" outlineLevel="2" x14ac:dyDescent="0.15">
      <c r="D25" s="49" t="s">
        <v>201</v>
      </c>
      <c r="J25" s="321">
        <f>IF(TS_Mth_End,EOMONTH(EDATE(TS_Per_1_FY_Start_Date,TS_Per_1_Number*TS_Mths_In_Per-1),0),
EDATE(TS_Per_1_FY_Start_Date,TS_Per_1_Number*TS_Mths_In_Per)-1)</f>
        <v>40543</v>
      </c>
      <c r="K25" s="321"/>
    </row>
    <row r="26" spans="3:11" ht="15.75" customHeight="1" x14ac:dyDescent="0.15">
      <c r="D26" s="49" t="s">
        <v>87</v>
      </c>
      <c r="J26" s="324">
        <v>2</v>
      </c>
      <c r="K26" s="325"/>
    </row>
    <row r="27" spans="3:11" ht="10.5" customHeight="1" outlineLevel="2" x14ac:dyDescent="0.15">
      <c r="D27" s="49" t="s">
        <v>384</v>
      </c>
      <c r="J27" s="323" t="str">
        <f>INDEX(LU_Denom,DD_TS_Denom)</f>
        <v>$Millions</v>
      </c>
      <c r="K27" s="323"/>
    </row>
    <row r="29" spans="3:11" ht="11.25" x14ac:dyDescent="0.15">
      <c r="C29" s="48" t="s">
        <v>385</v>
      </c>
    </row>
    <row r="31" spans="3:11" ht="17.25" customHeight="1" x14ac:dyDescent="0.15">
      <c r="D31" s="49" t="s">
        <v>386</v>
      </c>
      <c r="J31" s="324" t="b">
        <v>1</v>
      </c>
      <c r="K31" s="325"/>
    </row>
    <row r="32" spans="3:11" x14ac:dyDescent="0.15">
      <c r="D32" s="49" t="s">
        <v>387</v>
      </c>
      <c r="J32" s="326">
        <v>3</v>
      </c>
      <c r="K32" s="327"/>
    </row>
    <row r="33" spans="3:11" x14ac:dyDescent="0.15">
      <c r="D33" s="49" t="s">
        <v>388</v>
      </c>
      <c r="J33" s="326">
        <v>0</v>
      </c>
      <c r="K33" s="327"/>
    </row>
    <row r="34" spans="3:11" ht="10.5" customHeight="1" outlineLevel="2" x14ac:dyDescent="0.15">
      <c r="D34" s="49" t="s">
        <v>389</v>
      </c>
      <c r="J34" s="328" t="s">
        <v>407</v>
      </c>
      <c r="K34" s="329"/>
    </row>
    <row r="35" spans="3:11" ht="10.5" customHeight="1" outlineLevel="2" x14ac:dyDescent="0.15">
      <c r="D35" s="49" t="s">
        <v>390</v>
      </c>
      <c r="J35" s="328" t="s">
        <v>408</v>
      </c>
      <c r="K35" s="329"/>
    </row>
    <row r="36" spans="3:11" ht="10.5" customHeight="1" outlineLevel="2" x14ac:dyDescent="0.15">
      <c r="D36" s="49" t="s">
        <v>391</v>
      </c>
      <c r="J36" s="328" t="s">
        <v>409</v>
      </c>
      <c r="K36" s="329"/>
    </row>
    <row r="38" spans="3:11" ht="11.25" x14ac:dyDescent="0.15">
      <c r="C38" s="48" t="s">
        <v>392</v>
      </c>
    </row>
    <row r="40" spans="3:11" ht="15.75" customHeight="1" x14ac:dyDescent="0.15">
      <c r="D40" s="49" t="s">
        <v>360</v>
      </c>
      <c r="J40" s="324">
        <v>1</v>
      </c>
      <c r="K40" s="325"/>
    </row>
    <row r="41" spans="3:11" x14ac:dyDescent="0.15">
      <c r="D41" s="49" t="s">
        <v>393</v>
      </c>
      <c r="J41" s="326">
        <v>3</v>
      </c>
      <c r="K41" s="327"/>
    </row>
    <row r="42" spans="3:11" x14ac:dyDescent="0.15">
      <c r="D42" s="49" t="s">
        <v>394</v>
      </c>
      <c r="J42" s="330">
        <v>41275</v>
      </c>
      <c r="K42" s="331"/>
    </row>
    <row r="43" spans="3:11" outlineLevel="2" x14ac:dyDescent="0.15"/>
    <row r="44" spans="3:11" outlineLevel="2" x14ac:dyDescent="0.15">
      <c r="D44" s="50" t="s">
        <v>395</v>
      </c>
    </row>
    <row r="45" spans="3:11" outlineLevel="2" x14ac:dyDescent="0.15"/>
    <row r="46" spans="3:11" ht="10.5" customHeight="1" outlineLevel="2" x14ac:dyDescent="0.15">
      <c r="E46" s="49" t="s">
        <v>396</v>
      </c>
      <c r="J46" s="321">
        <f>TS_Proj_Start_Date-1</f>
        <v>41274</v>
      </c>
      <c r="K46" s="321"/>
    </row>
    <row r="47" spans="3:11" ht="10.5" customHeight="1" outlineLevel="2" x14ac:dyDescent="0.15">
      <c r="E47" s="49" t="s">
        <v>397</v>
      </c>
      <c r="J47" s="322">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2"/>
    </row>
    <row r="48" spans="3:11" ht="10.5" customHeight="1" outlineLevel="2" x14ac:dyDescent="0.15">
      <c r="E48" s="49" t="s">
        <v>398</v>
      </c>
      <c r="J48" s="320">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0"/>
    </row>
    <row r="49" spans="3:11" ht="10.5" customHeight="1" outlineLevel="2" x14ac:dyDescent="0.15">
      <c r="E49" s="49" t="s">
        <v>399</v>
      </c>
      <c r="J49" s="323"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23"/>
    </row>
    <row r="50" spans="3:11" outlineLevel="2" x14ac:dyDescent="0.15"/>
    <row r="51" spans="3:11" outlineLevel="2" x14ac:dyDescent="0.15">
      <c r="D51" s="50" t="s">
        <v>400</v>
      </c>
    </row>
    <row r="52" spans="3:11" outlineLevel="2" x14ac:dyDescent="0.15"/>
    <row r="53" spans="3:11" ht="10.5" customHeight="1" outlineLevel="2" x14ac:dyDescent="0.15">
      <c r="E53" s="49" t="s">
        <v>401</v>
      </c>
      <c r="J53" s="321">
        <f>IF(DD_TS_Data_Term_Basis=1,IF(TS_Mth_End,EOMONTH(EDATE(TS_Per_1_FY_Start_Date,(TS_Per_1_Number+TS_Data_Pers_Ass-1)*TS_Mths_In_Per-1),0),
EDATE(TS_Per_1_FY_Start_Date,(TS_Per_1_Number+TS_Data_Pers_Ass-1)*TS_Mths_In_Per)-1)+1,TS_Proj_Start_Date_Ass)</f>
        <v>41275</v>
      </c>
      <c r="K53" s="321"/>
    </row>
    <row r="54" spans="3:11" ht="10.5" customHeight="1" outlineLevel="2" x14ac:dyDescent="0.15">
      <c r="E54" s="49" t="s">
        <v>379</v>
      </c>
      <c r="J54" s="321">
        <f>IF(TS_Mth_End,DATE(YEAR(TS_Proj_Per_1_FY_End_Date)-IF(TS_Proj_Per_1_FY_End_Date=EOMONTH(DATE(YEAR(TS_Proj_Per_1_FY_End_Date),Mths_In_Yr,1),0),0,1),MOD(MONTH(TS_Proj_Per_1_FY_End_Date),Mths_In_Yr)+1,1),
EDATE(TS_Proj_Per_1_FY_End_Date,-Mths_In_Yr)+1)</f>
        <v>41275</v>
      </c>
      <c r="K54" s="321"/>
    </row>
    <row r="55" spans="3:11" ht="10.5" customHeight="1" outlineLevel="2" x14ac:dyDescent="0.15">
      <c r="E55" s="49" t="s">
        <v>380</v>
      </c>
      <c r="J55" s="321">
        <f>IF(TS_Mth_End,EOMONTH(DATE(YEAR(TS_Proj_Start_Date)+IF(MONTH(TS_Proj_Start_Date)&gt;DD_TS_Fin_YE_Mth,1,0),DD_TS_Fin_YE_Mth,1),0),
DATE(YEAR(TS_Proj_Start_Date)+IF(TS_Proj_Start_Date&gt;DATE(YEAR(TS_Proj_Start_Date),DD_TS_Fin_YE_Mth,DD_TS_Fin_YE_Day),1,0),DD_TS_Fin_YE_Mth,DD_TS_Fin_YE_Day))</f>
        <v>41639</v>
      </c>
      <c r="K55" s="321"/>
    </row>
    <row r="56" spans="3:11" ht="10.5" customHeight="1" outlineLevel="2" x14ac:dyDescent="0.15">
      <c r="E56" s="49" t="s">
        <v>382</v>
      </c>
      <c r="J56" s="320">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0"/>
    </row>
    <row r="57" spans="3:11" ht="10.5" customHeight="1" outlineLevel="2" x14ac:dyDescent="0.15">
      <c r="E57" s="49" t="s">
        <v>383</v>
      </c>
      <c r="J57" s="321">
        <f>IF(TS_Mth_End,EOMONTH(EDATE(TS_Proj_Per_1_FY_Start_Date,(TS_Proj_Per_1_Number-1)*TS_Mths_In_Per-1),0)+
1,EDATE(TS_Proj_Per_1_FY_Start_Date,(TS_Proj_Per_1_Number-1)*TS_Mths_In_Per))</f>
        <v>41275</v>
      </c>
      <c r="K57" s="321"/>
    </row>
    <row r="58" spans="3:11" ht="10.5" customHeight="1" outlineLevel="2" x14ac:dyDescent="0.15">
      <c r="E58" s="49" t="s">
        <v>201</v>
      </c>
      <c r="J58" s="321">
        <f>IF(TS_Mth_End,EOMONTH(EDATE(TS_Proj_Per_1_FY_Start_Date,TS_Proj_Per_1_Number*TS_Mths_In_Per-1),0),
EDATE(TS_Proj_Per_1_FY_Start_Date,TS_Proj_Per_1_Number*TS_Mths_In_Per)-1)</f>
        <v>41639</v>
      </c>
      <c r="K58" s="321"/>
    </row>
    <row r="60" spans="3:11" x14ac:dyDescent="0.15">
      <c r="C60" s="50" t="s">
        <v>218</v>
      </c>
    </row>
    <row r="61" spans="3:11" x14ac:dyDescent="0.15">
      <c r="C61" s="51" t="s">
        <v>217</v>
      </c>
      <c r="D61" s="49" t="s">
        <v>402</v>
      </c>
    </row>
    <row r="62" spans="3:11" x14ac:dyDescent="0.15">
      <c r="C62" s="51" t="s">
        <v>217</v>
      </c>
      <c r="D62" s="49" t="s">
        <v>403</v>
      </c>
    </row>
    <row r="63" spans="3:11" x14ac:dyDescent="0.15">
      <c r="C63" s="51" t="s">
        <v>217</v>
      </c>
      <c r="D63" s="49" t="s">
        <v>404</v>
      </c>
    </row>
    <row r="64" spans="3:11" x14ac:dyDescent="0.15">
      <c r="C64" s="51" t="s">
        <v>217</v>
      </c>
      <c r="D64" s="52" t="s">
        <v>405</v>
      </c>
    </row>
    <row r="65" spans="3:4" x14ac:dyDescent="0.15">
      <c r="C65" s="51" t="s">
        <v>217</v>
      </c>
      <c r="D65" s="52" t="s">
        <v>406</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9">
    <dataValidation type="whole" showDropDown="1" showErrorMessage="1" errorTitle="0 Cell Link" error="The value in a 0 cell link must be a whole number within the control's lookup range rows." sqref="J13" xr:uid="{00000000-0002-0000-0A00-000000000000}">
      <formula1>1</formula1>
      <formula2>ROWS(LU_Mth_Days )</formula2>
    </dataValidation>
    <dataValidation type="whole" showDropDown="1" showErrorMessage="1" errorTitle="0 Cell Link" error="The value in a 0 cell link must be a whole number within the control's lookup range rows." sqref="K13" xr:uid="{00000000-0002-0000-0A00-000001000000}">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xr:uid="{00000000-0002-0000-0A00-000002000000}">
      <formula1>1</formula1>
      <formula2>2862773</formula2>
    </dataValidation>
    <dataValidation type="whole" showDropDown="1" showErrorMessage="1" errorTitle="Periods" error="The entered number of periods must be a whole number between 1 and 249." sqref="J15" xr:uid="{00000000-0002-0000-0A00-000003000000}">
      <formula1>1</formula1>
      <formula2>249</formula2>
    </dataValidation>
    <dataValidation type="whole" showDropDown="1" showErrorMessage="1" errorTitle="0 Cell Link" error="The value in a 0 cell link must be a whole number within the control's lookup range rows." sqref="J26" xr:uid="{00000000-0002-0000-0A00-000004000000}">
      <formula1>1</formula1>
      <formula2>ROWS(LU_Denom )</formula2>
    </dataValidation>
    <dataValidation type="custom" showDropDown="1" showErrorMessage="1" errorTitle="6 Cell Link" error="The value in an option button cell link must be either &quot;TRUE&quot; or &quot;FALSE&quot;" sqref="J31" xr:uid="{00000000-0002-0000-0A00-000005000000}">
      <formula1>ISLOGICAL(J31)</formula1>
    </dataValidation>
    <dataValidation type="whole" operator="greaterThanOrEqual" showDropDown="1" showErrorMessage="1" errorTitle="Invalid Assumption" error="Assumption must be a whole number greater than or equal to zero." sqref="J41 J32:J33" xr:uid="{00000000-0002-0000-0A00-000006000000}">
      <formula1>0</formula1>
    </dataValidation>
    <dataValidation type="whole" showDropDown="1" showErrorMessage="1" errorTitle="0 Cell Link" error="The value in a 0 cell link must be a whole number within the control's lookup range rows." sqref="J40" xr:uid="{00000000-0002-0000-0A00-000008000000}">
      <formula1>1</formula1>
      <formula2>ROWS(LU_Data_Term_Basis )</formula2>
    </dataValidation>
    <dataValidation type="custom" showErrorMessage="1" errorTitle="Invalid Assumption" error="Assumption must be a number." sqref="J42" xr:uid="{00000000-0002-0000-0A00-00000A000000}">
      <formula1>NOT(ISERROR(J42/1))</formula1>
    </dataValidation>
  </dataValidations>
  <hyperlinks>
    <hyperlink ref="B3" location="HL_Home" tooltip="Go to Table of Contents" display="HL_Home" xr:uid="{00000000-0004-0000-0A00-000000000000}"/>
    <hyperlink ref="A4" location="$B$5" tooltip="Go to Top of Sheet" display="$B$5" xr:uid="{00000000-0004-0000-0A00-000001000000}"/>
    <hyperlink ref="B4" location="HL_Sheet_Main_4" tooltip="Go to Previous Sheet" display="HL_Sheet_Main_4" xr:uid="{00000000-0004-0000-0A00-000002000000}"/>
    <hyperlink ref="C4" location="HL_Sheet_Main_8" tooltip="Go to Next Sheet" display="HL_Sheet_Main_8" xr:uid="{00000000-0004-0000-0A00-000003000000}"/>
    <hyperlink ref="D4" location="HL_Err_Chk" tooltip="Go to Error Checks" display="HL_Err_Chk" xr:uid="{00000000-0004-0000-0A00-000004000000}"/>
    <hyperlink ref="E4" location="HL_Sens_Chk" tooltip="Go to Sensitivity Checks" display="HL_Sens_Chk" xr:uid="{00000000-0004-0000-0A00-000005000000}"/>
    <hyperlink ref="F4" location="HL_Alt_Chk" tooltip="Go to Alert Checks" display="HL_Alt_Chk" xr:uid="{00000000-0004-0000-0A00-000006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17765" r:id="rId5" name="DD_TS_Fin_YE_Day">
              <controlPr defaultSize="0" autoFill="0" autoPict="0">
                <anchor moveWithCells="1">
                  <from>
                    <xdr:col>9</xdr:col>
                    <xdr:colOff>0</xdr:colOff>
                    <xdr:row>12</xdr:row>
                    <xdr:rowOff>0</xdr:rowOff>
                  </from>
                  <to>
                    <xdr:col>9</xdr:col>
                    <xdr:colOff>466725</xdr:colOff>
                    <xdr:row>13</xdr:row>
                    <xdr:rowOff>0</xdr:rowOff>
                  </to>
                </anchor>
              </controlPr>
            </control>
          </mc:Choice>
        </mc:AlternateContent>
        <mc:AlternateContent xmlns:mc="http://schemas.openxmlformats.org/markup-compatibility/2006">
          <mc:Choice Requires="x14">
            <control shapeId="117766" r:id="rId6" name="DD_TS_Fin_YE_Mth">
              <controlPr defaultSize="0" autoFill="0" autoPict="0">
                <anchor moveWithCells="1">
                  <from>
                    <xdr:col>9</xdr:col>
                    <xdr:colOff>466725</xdr:colOff>
                    <xdr:row>12</xdr:row>
                    <xdr:rowOff>0</xdr:rowOff>
                  </from>
                  <to>
                    <xdr:col>10</xdr:col>
                    <xdr:colOff>666750</xdr:colOff>
                    <xdr:row>13</xdr:row>
                    <xdr:rowOff>0</xdr:rowOff>
                  </to>
                </anchor>
              </controlPr>
            </control>
          </mc:Choice>
        </mc:AlternateContent>
        <mc:AlternateContent xmlns:mc="http://schemas.openxmlformats.org/markup-compatibility/2006">
          <mc:Choice Requires="x14">
            <control shapeId="117767" r:id="rId7" name="DD_TS_Denom">
              <controlPr defaultSize="0" autoFill="0" autoPict="0">
                <anchor moveWithCells="1">
                  <from>
                    <xdr:col>9</xdr:col>
                    <xdr:colOff>0</xdr:colOff>
                    <xdr:row>15</xdr:row>
                    <xdr:rowOff>0</xdr:rowOff>
                  </from>
                  <to>
                    <xdr:col>11</xdr:col>
                    <xdr:colOff>0</xdr:colOff>
                    <xdr:row>16</xdr:row>
                    <xdr:rowOff>66675</xdr:rowOff>
                  </to>
                </anchor>
              </controlPr>
            </control>
          </mc:Choice>
        </mc:AlternateContent>
        <mc:AlternateContent xmlns:mc="http://schemas.openxmlformats.org/markup-compatibility/2006">
          <mc:Choice Requires="x14">
            <control shapeId="117768" r:id="rId8" name="CB_TS_Show_Hist_Fcast_Pers">
              <controlPr defaultSize="0" autoFill="0" autoLine="0" autoPict="0">
                <anchor moveWithCells="1">
                  <from>
                    <xdr:col>9</xdr:col>
                    <xdr:colOff>533400</xdr:colOff>
                    <xdr:row>30</xdr:row>
                    <xdr:rowOff>0</xdr:rowOff>
                  </from>
                  <to>
                    <xdr:col>10</xdr:col>
                    <xdr:colOff>666750</xdr:colOff>
                    <xdr:row>31</xdr:row>
                    <xdr:rowOff>0</xdr:rowOff>
                  </to>
                </anchor>
              </controlPr>
            </control>
          </mc:Choice>
        </mc:AlternateContent>
        <mc:AlternateContent xmlns:mc="http://schemas.openxmlformats.org/markup-compatibility/2006">
          <mc:Choice Requires="x14">
            <control shapeId="117769" r:id="rId9" name="DD_TS_Data_Term_Basis">
              <controlPr defaultSize="0" autoFill="0" autoPict="0">
                <anchor moveWithCells="1">
                  <from>
                    <xdr:col>9</xdr:col>
                    <xdr:colOff>0</xdr:colOff>
                    <xdr:row>39</xdr:row>
                    <xdr:rowOff>0</xdr:rowOff>
                  </from>
                  <to>
                    <xdr:col>11</xdr:col>
                    <xdr:colOff>0</xdr:colOff>
                    <xdr:row>40</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557</v>
      </c>
    </row>
    <row r="10" spans="3:7" ht="16.5" x14ac:dyDescent="0.15">
      <c r="C10" s="27" t="s">
        <v>531</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82" t="s">
        <v>544</v>
      </c>
    </row>
    <row r="19" spans="3:3" x14ac:dyDescent="0.15">
      <c r="C19" s="182"/>
    </row>
    <row r="20" spans="3:3" x14ac:dyDescent="0.15">
      <c r="C20" s="182"/>
    </row>
  </sheetData>
  <sheetProtection sheet="1" objects="1" scenarios="1"/>
  <mergeCells count="1">
    <mergeCell ref="C12:G12"/>
  </mergeCells>
  <hyperlinks>
    <hyperlink ref="C12" location="HL_Home" tooltip="Go to Table of Contents" display="HL_Home" xr:uid="{00000000-0004-0000-0B00-000000000000}"/>
    <hyperlink ref="C13" location="HL_Blank_sheet_Example" tooltip="Go to Previous Sheet" display="HL_Blank_sheet_Example" xr:uid="{00000000-0004-0000-0B00-000001000000}"/>
    <hyperlink ref="D13" location="HL_Sheet_Main_21" tooltip="Go to Next Sheet" display="HL_Sheet_Main_21" xr:uid="{00000000-0004-0000-0B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autoPageBreaks="0"/>
  </sheetPr>
  <dimension ref="A1:Q43"/>
  <sheetViews>
    <sheetView showGridLines="0" zoomScale="131" zoomScaleNormal="100" workbookViewId="0">
      <pane xSplit="1" ySplit="13" topLeftCell="B14" activePane="bottomRight" state="frozen"/>
      <selection activeCell="D23" sqref="D23:N24"/>
      <selection pane="topRight" activeCell="D23" sqref="D23:N24"/>
      <selection pane="bottomLeft" activeCell="D23" sqref="D23:N24"/>
      <selection pane="bottomRight" activeCell="J19" sqref="J19"/>
    </sheetView>
  </sheetViews>
  <sheetFormatPr defaultColWidth="12.83203125" defaultRowHeight="10.5" outlineLevelRow="2" x14ac:dyDescent="0.15"/>
  <cols>
    <col min="1" max="5" width="3.83203125" style="181" customWidth="1"/>
    <col min="6" max="9" width="12.83203125" style="181"/>
    <col min="10" max="10" width="12.83203125" style="269"/>
    <col min="11" max="12" width="12.83203125" style="181"/>
    <col min="13" max="17" width="12.83203125" style="181" customWidth="1"/>
    <col min="18" max="16384" width="12.83203125" style="181"/>
  </cols>
  <sheetData>
    <row r="1" spans="1:17" ht="18" x14ac:dyDescent="0.15">
      <c r="A1" s="266"/>
      <c r="B1" s="42" t="s">
        <v>547</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47</v>
      </c>
    </row>
    <row r="18" spans="3:17" x14ac:dyDescent="0.15">
      <c r="D18" s="65" t="s">
        <v>245</v>
      </c>
      <c r="J18" s="267">
        <v>250</v>
      </c>
      <c r="K18" s="267">
        <v>128.125</v>
      </c>
      <c r="L18" s="114">
        <v>131.328125</v>
      </c>
      <c r="M18" s="114">
        <v>134.611328125</v>
      </c>
      <c r="N18" s="114">
        <v>137.97661132812499</v>
      </c>
      <c r="O18" s="114">
        <v>141.4260266113281</v>
      </c>
      <c r="P18" s="114">
        <v>144.96167727661128</v>
      </c>
      <c r="Q18" s="114">
        <v>148.58571920852654</v>
      </c>
    </row>
    <row r="19" spans="3:17" x14ac:dyDescent="0.15">
      <c r="D19" s="65" t="s">
        <v>487</v>
      </c>
      <c r="J19" s="267">
        <v>-25</v>
      </c>
      <c r="K19" s="267">
        <v>-25.624999999999996</v>
      </c>
      <c r="L19" s="114">
        <v>-26.265624999999993</v>
      </c>
      <c r="M19" s="114">
        <v>-26.922265624999991</v>
      </c>
      <c r="N19" s="114">
        <v>-27.59532226562499</v>
      </c>
      <c r="O19" s="114">
        <v>-28.285205322265611</v>
      </c>
      <c r="P19" s="114">
        <v>-28.992335455322248</v>
      </c>
      <c r="Q19" s="114">
        <v>-29.717143841705301</v>
      </c>
    </row>
    <row r="20" spans="3:17" x14ac:dyDescent="0.15">
      <c r="J20" s="82"/>
      <c r="K20" s="82"/>
      <c r="L20" s="82"/>
      <c r="M20" s="82"/>
      <c r="N20" s="82"/>
      <c r="O20" s="82"/>
      <c r="P20" s="82"/>
      <c r="Q20" s="82"/>
    </row>
    <row r="21" spans="3:17" ht="11.25" x14ac:dyDescent="0.15">
      <c r="C21" s="61" t="s">
        <v>496</v>
      </c>
      <c r="J21" s="193">
        <f t="shared" ref="J21:Q21" si="8">J18+J19</f>
        <v>225</v>
      </c>
      <c r="K21" s="193">
        <f t="shared" si="8"/>
        <v>102.5</v>
      </c>
      <c r="L21" s="193">
        <f t="shared" si="8"/>
        <v>105.0625</v>
      </c>
      <c r="M21" s="193">
        <f t="shared" si="8"/>
        <v>107.68906250000001</v>
      </c>
      <c r="N21" s="193">
        <f t="shared" si="8"/>
        <v>110.3812890625</v>
      </c>
      <c r="O21" s="193">
        <f t="shared" si="8"/>
        <v>113.14082128906249</v>
      </c>
      <c r="P21" s="193">
        <f t="shared" si="8"/>
        <v>115.96934182128904</v>
      </c>
      <c r="Q21" s="193">
        <f t="shared" si="8"/>
        <v>118.86857536682123</v>
      </c>
    </row>
    <row r="22" spans="3:17" x14ac:dyDescent="0.15">
      <c r="J22" s="82"/>
      <c r="K22" s="82"/>
      <c r="L22" s="82"/>
      <c r="M22" s="82"/>
      <c r="N22" s="82"/>
      <c r="O22" s="82"/>
      <c r="P22" s="82"/>
      <c r="Q22" s="82"/>
    </row>
    <row r="23" spans="3:17" x14ac:dyDescent="0.15">
      <c r="D23" s="65" t="s">
        <v>257</v>
      </c>
      <c r="J23" s="267">
        <v>-40</v>
      </c>
      <c r="K23" s="267">
        <v>-41</v>
      </c>
      <c r="L23" s="114">
        <v>-42.024999999999999</v>
      </c>
      <c r="M23" s="114">
        <v>-43.075624999999995</v>
      </c>
      <c r="N23" s="114">
        <v>-44.152515624999992</v>
      </c>
      <c r="O23" s="114">
        <v>-45.256328515624986</v>
      </c>
      <c r="P23" s="114">
        <v>-46.387736728515605</v>
      </c>
      <c r="Q23" s="114">
        <v>-47.547430146728495</v>
      </c>
    </row>
    <row r="24" spans="3:17" x14ac:dyDescent="0.15">
      <c r="J24" s="82"/>
      <c r="K24" s="82"/>
      <c r="L24" s="82"/>
      <c r="M24" s="82"/>
      <c r="N24" s="82"/>
      <c r="O24" s="82"/>
      <c r="P24" s="82"/>
      <c r="Q24" s="82"/>
    </row>
    <row r="25" spans="3:17" ht="11.25" x14ac:dyDescent="0.15">
      <c r="C25" s="61" t="s">
        <v>10</v>
      </c>
      <c r="J25" s="193">
        <f>J21+J23</f>
        <v>185</v>
      </c>
      <c r="K25" s="193">
        <f t="shared" ref="K25:Q25" si="9">K21+K23</f>
        <v>61.5</v>
      </c>
      <c r="L25" s="193">
        <f t="shared" si="9"/>
        <v>63.037500000000001</v>
      </c>
      <c r="M25" s="193">
        <f t="shared" si="9"/>
        <v>64.613437500000003</v>
      </c>
      <c r="N25" s="193">
        <f t="shared" si="9"/>
        <v>66.22877343750001</v>
      </c>
      <c r="O25" s="193">
        <f t="shared" si="9"/>
        <v>67.884492773437501</v>
      </c>
      <c r="P25" s="193">
        <f t="shared" si="9"/>
        <v>69.58160509277343</v>
      </c>
      <c r="Q25" s="193">
        <f t="shared" si="9"/>
        <v>71.321145220092745</v>
      </c>
    </row>
    <row r="26" spans="3:17" x14ac:dyDescent="0.15">
      <c r="J26" s="82"/>
      <c r="K26" s="82"/>
      <c r="L26" s="82"/>
      <c r="M26" s="82"/>
      <c r="N26" s="82"/>
      <c r="O26" s="82"/>
      <c r="P26" s="82"/>
      <c r="Q26" s="82"/>
    </row>
    <row r="27" spans="3:17" x14ac:dyDescent="0.15">
      <c r="E27" s="65" t="s">
        <v>438</v>
      </c>
      <c r="J27" s="267">
        <v>-13.5</v>
      </c>
      <c r="K27" s="267">
        <v>-13.837499999999999</v>
      </c>
      <c r="L27" s="114">
        <v>-14.183437499999997</v>
      </c>
      <c r="M27" s="114">
        <v>-14.538023437499994</v>
      </c>
      <c r="N27" s="114">
        <v>-14.901474023437492</v>
      </c>
      <c r="O27" s="114">
        <v>-15.274010874023428</v>
      </c>
      <c r="P27" s="114">
        <v>-15.655861145874013</v>
      </c>
      <c r="Q27" s="114">
        <v>-16.047257674520861</v>
      </c>
    </row>
    <row r="28" spans="3:17" x14ac:dyDescent="0.15">
      <c r="E28" s="65" t="s">
        <v>495</v>
      </c>
      <c r="J28" s="268">
        <v>-0.625</v>
      </c>
      <c r="K28" s="268">
        <v>-0.640625</v>
      </c>
      <c r="L28" s="198">
        <v>-0.65664062499999998</v>
      </c>
      <c r="M28" s="198">
        <v>-0.67305664062499992</v>
      </c>
      <c r="N28" s="198">
        <v>-0.68988305664062488</v>
      </c>
      <c r="O28" s="198">
        <v>-0.70713013305664041</v>
      </c>
      <c r="P28" s="198">
        <v>-0.72480838638305634</v>
      </c>
      <c r="Q28" s="198">
        <v>-0.74292859604263273</v>
      </c>
    </row>
    <row r="29" spans="3:17" x14ac:dyDescent="0.15">
      <c r="D29" s="65" t="s">
        <v>497</v>
      </c>
      <c r="J29" s="199">
        <f>SUM(J27:J28)</f>
        <v>-14.125</v>
      </c>
      <c r="K29" s="199">
        <f t="shared" ref="K29:Q29" si="10">SUM(K27:K28)</f>
        <v>-14.478124999999999</v>
      </c>
      <c r="L29" s="199">
        <f t="shared" si="10"/>
        <v>-14.840078124999996</v>
      </c>
      <c r="M29" s="199">
        <f t="shared" si="10"/>
        <v>-15.211080078124994</v>
      </c>
      <c r="N29" s="199">
        <f t="shared" si="10"/>
        <v>-15.591357080078117</v>
      </c>
      <c r="O29" s="199">
        <f t="shared" si="10"/>
        <v>-15.981141007080069</v>
      </c>
      <c r="P29" s="199">
        <f t="shared" si="10"/>
        <v>-16.38066953225707</v>
      </c>
      <c r="Q29" s="199">
        <f t="shared" si="10"/>
        <v>-16.790186270563492</v>
      </c>
    </row>
    <row r="30" spans="3:17" x14ac:dyDescent="0.15">
      <c r="J30" s="82"/>
      <c r="K30" s="82"/>
      <c r="L30" s="82"/>
      <c r="M30" s="82"/>
      <c r="N30" s="82"/>
      <c r="O30" s="82"/>
      <c r="P30" s="82"/>
      <c r="Q30" s="82"/>
    </row>
    <row r="31" spans="3:17" ht="11.25" x14ac:dyDescent="0.15">
      <c r="C31" s="61" t="s">
        <v>11</v>
      </c>
      <c r="J31" s="193">
        <f t="shared" ref="J31:Q31" si="11">J25+J29</f>
        <v>170.875</v>
      </c>
      <c r="K31" s="193">
        <f t="shared" si="11"/>
        <v>47.021875000000001</v>
      </c>
      <c r="L31" s="193">
        <f t="shared" si="11"/>
        <v>48.197421875000003</v>
      </c>
      <c r="M31" s="193">
        <f t="shared" si="11"/>
        <v>49.40235742187501</v>
      </c>
      <c r="N31" s="193">
        <f t="shared" si="11"/>
        <v>50.637416357421891</v>
      </c>
      <c r="O31" s="193">
        <f t="shared" si="11"/>
        <v>51.903351766357432</v>
      </c>
      <c r="P31" s="193">
        <f t="shared" si="11"/>
        <v>53.200935560516356</v>
      </c>
      <c r="Q31" s="193">
        <f t="shared" si="11"/>
        <v>54.53095894952925</v>
      </c>
    </row>
    <row r="32" spans="3:17" x14ac:dyDescent="0.15">
      <c r="J32" s="82"/>
      <c r="K32" s="82"/>
      <c r="L32" s="82"/>
      <c r="M32" s="82"/>
      <c r="N32" s="82"/>
      <c r="O32" s="82"/>
      <c r="P32" s="82"/>
      <c r="Q32" s="82"/>
    </row>
    <row r="33" spans="3:17" x14ac:dyDescent="0.15">
      <c r="D33" s="65" t="s">
        <v>271</v>
      </c>
      <c r="J33" s="267">
        <v>-3.25</v>
      </c>
      <c r="K33" s="267">
        <v>-3.25</v>
      </c>
      <c r="L33" s="114">
        <v>-3.25</v>
      </c>
      <c r="M33" s="114">
        <v>-3.25</v>
      </c>
      <c r="N33" s="114">
        <v>-3.4125000000000001</v>
      </c>
      <c r="O33" s="114">
        <v>-3.5750000000000002</v>
      </c>
      <c r="P33" s="114">
        <v>-3.5750000000000002</v>
      </c>
      <c r="Q33" s="114">
        <v>-3.5750000000000002</v>
      </c>
    </row>
    <row r="34" spans="3:17" x14ac:dyDescent="0.15">
      <c r="J34" s="82"/>
      <c r="K34" s="82"/>
      <c r="L34" s="82"/>
      <c r="M34" s="82"/>
      <c r="N34" s="82"/>
      <c r="O34" s="82"/>
      <c r="P34" s="82"/>
      <c r="Q34" s="82"/>
    </row>
    <row r="35" spans="3:17" ht="11.25" x14ac:dyDescent="0.15">
      <c r="C35" s="61" t="s">
        <v>12</v>
      </c>
      <c r="J35" s="193">
        <f t="shared" ref="J35:Q35" si="12">J31+J33</f>
        <v>167.625</v>
      </c>
      <c r="K35" s="193">
        <f t="shared" si="12"/>
        <v>43.771875000000001</v>
      </c>
      <c r="L35" s="193">
        <f t="shared" si="12"/>
        <v>44.947421875000003</v>
      </c>
      <c r="M35" s="193">
        <f t="shared" si="12"/>
        <v>46.15235742187501</v>
      </c>
      <c r="N35" s="193">
        <f t="shared" si="12"/>
        <v>47.22491635742189</v>
      </c>
      <c r="O35" s="193">
        <f t="shared" si="12"/>
        <v>48.328351766357429</v>
      </c>
      <c r="P35" s="193">
        <f t="shared" si="12"/>
        <v>49.625935560516353</v>
      </c>
      <c r="Q35" s="193">
        <f t="shared" si="12"/>
        <v>50.955958949529247</v>
      </c>
    </row>
    <row r="36" spans="3:17" x14ac:dyDescent="0.15">
      <c r="J36" s="82"/>
      <c r="K36" s="82"/>
      <c r="L36" s="82"/>
      <c r="M36" s="82"/>
      <c r="N36" s="82"/>
      <c r="O36" s="82"/>
      <c r="P36" s="82"/>
      <c r="Q36" s="82"/>
    </row>
    <row r="37" spans="3:17" x14ac:dyDescent="0.15">
      <c r="D37" s="65" t="s">
        <v>7</v>
      </c>
      <c r="J37" s="267">
        <v>-12.7875</v>
      </c>
      <c r="K37" s="267">
        <v>-13.131562499999999</v>
      </c>
      <c r="L37" s="114">
        <v>-13.4842265625</v>
      </c>
      <c r="M37" s="114">
        <v>-13.845707226562503</v>
      </c>
      <c r="N37" s="114">
        <v>-14.167474907226566</v>
      </c>
      <c r="O37" s="114">
        <v>-14.498505529907227</v>
      </c>
      <c r="P37" s="114">
        <v>-14.887780668154907</v>
      </c>
      <c r="Q37" s="114">
        <v>-15.286787684858773</v>
      </c>
    </row>
    <row r="38" spans="3:17" x14ac:dyDescent="0.15">
      <c r="J38" s="82"/>
      <c r="K38" s="82"/>
      <c r="L38" s="82"/>
      <c r="M38" s="82"/>
      <c r="N38" s="82"/>
      <c r="O38" s="82"/>
      <c r="P38" s="82"/>
      <c r="Q38" s="82"/>
    </row>
    <row r="39" spans="3:17" ht="12.75" thickBot="1" x14ac:dyDescent="0.2">
      <c r="C39" s="194" t="s">
        <v>13</v>
      </c>
      <c r="J39" s="195">
        <f t="shared" ref="J39:Q39" si="13">J35+J37</f>
        <v>154.83750000000001</v>
      </c>
      <c r="K39" s="195">
        <f t="shared" si="13"/>
        <v>30.6403125</v>
      </c>
      <c r="L39" s="195">
        <f t="shared" si="13"/>
        <v>31.463195312500005</v>
      </c>
      <c r="M39" s="195">
        <f t="shared" si="13"/>
        <v>32.306650195312507</v>
      </c>
      <c r="N39" s="195">
        <f t="shared" si="13"/>
        <v>33.057441450195327</v>
      </c>
      <c r="O39" s="195">
        <f t="shared" si="13"/>
        <v>33.829846236450202</v>
      </c>
      <c r="P39" s="195">
        <f t="shared" si="13"/>
        <v>34.73815489236145</v>
      </c>
      <c r="Q39" s="195">
        <f t="shared" si="13"/>
        <v>35.669171264670474</v>
      </c>
    </row>
    <row r="40" spans="3:17" ht="11.25" thickTop="1" x14ac:dyDescent="0.15"/>
    <row r="41" spans="3:17" x14ac:dyDescent="0.15">
      <c r="C41" s="62" t="s">
        <v>218</v>
      </c>
    </row>
    <row r="42" spans="3:17" s="188" customFormat="1" x14ac:dyDescent="0.15">
      <c r="C42" s="81">
        <v>1</v>
      </c>
      <c r="D42" s="130" t="str">
        <f>"All assumptions are entered in "&amp;INDEX(LU_Denom,DD_TS_Denom)&amp;"."</f>
        <v>All assumptions are entered in $Millions.</v>
      </c>
      <c r="J42" s="269"/>
    </row>
    <row r="43" spans="3:17" x14ac:dyDescent="0.15">
      <c r="C43" s="81">
        <v>2</v>
      </c>
      <c r="D43" s="65" t="s">
        <v>550</v>
      </c>
    </row>
  </sheetData>
  <sheetProtection sheet="1" objects="1" scenarios="1"/>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xr:uid="{00000000-0002-0000-0C00-000000000000}">
      <formula1>NOT(ISERROR(J18/1))</formula1>
    </dataValidation>
  </dataValidations>
  <hyperlinks>
    <hyperlink ref="B3" location="HL_Home" tooltip="Go to Table of Contents" display="HL_Home" xr:uid="{00000000-0004-0000-0C00-000000000000}"/>
    <hyperlink ref="A4" location="$B$14" tooltip="Go to Top of Sheet" display="$B$14" xr:uid="{00000000-0004-0000-0C00-000001000000}"/>
    <hyperlink ref="B4" location="HL_Sheet_Main_8" tooltip="Go to Previous Sheet" display="HL_Sheet_Main_8" xr:uid="{00000000-0004-0000-0C00-000002000000}"/>
    <hyperlink ref="C4" location="HL_Sheet_Main_22" tooltip="Go to Next Sheet" display="HL_Sheet_Main_22" xr:uid="{00000000-0004-0000-0C00-000003000000}"/>
    <hyperlink ref="D4" location="HL_Err_Chk" tooltip="Go to Error Checks" display="HL_Err_Chk" xr:uid="{00000000-0004-0000-0C00-000004000000}"/>
    <hyperlink ref="E4" location="HL_Sens_Chk" tooltip="Go to Sensitivity Checks" display="HL_Sens_Chk" xr:uid="{00000000-0004-0000-0C00-000005000000}"/>
    <hyperlink ref="F4" location="HL_Alt_Chk" tooltip="Go to Alert Checks" display="HL_Alt_Chk" xr:uid="{00000000-0004-0000-0C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autoPageBreaks="0"/>
  </sheetPr>
  <dimension ref="A1:Q76"/>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12" width="12.83203125" style="181"/>
    <col min="13" max="17" width="12.83203125" style="181" customWidth="1"/>
    <col min="18" max="16384" width="12.83203125" style="181"/>
  </cols>
  <sheetData>
    <row r="1" spans="1:17" ht="18" x14ac:dyDescent="0.15">
      <c r="B1" s="42" t="s">
        <v>548</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I6" s="205"/>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0</v>
      </c>
      <c r="I16" s="207" t="s">
        <v>554</v>
      </c>
    </row>
    <row r="17" spans="3:17" x14ac:dyDescent="0.15">
      <c r="I17" s="208">
        <f>TS_Start_Date</f>
        <v>40179</v>
      </c>
    </row>
    <row r="18" spans="3:17" ht="11.25" x14ac:dyDescent="0.15">
      <c r="C18" s="61" t="s">
        <v>30</v>
      </c>
    </row>
    <row r="20" spans="3:17" s="230" customFormat="1" x14ac:dyDescent="0.15">
      <c r="E20" s="65" t="s">
        <v>300</v>
      </c>
      <c r="J20" s="232">
        <f>I22</f>
        <v>5</v>
      </c>
      <c r="K20" s="232">
        <f t="shared" ref="K20:Q20" si="8">J22</f>
        <v>7.5</v>
      </c>
      <c r="L20" s="232">
        <f t="shared" si="8"/>
        <v>12.148336900684967</v>
      </c>
      <c r="M20" s="232">
        <f t="shared" si="8"/>
        <v>24.635307976188827</v>
      </c>
      <c r="N20" s="232">
        <f t="shared" si="8"/>
        <v>37.449752117669078</v>
      </c>
      <c r="O20" s="232">
        <f t="shared" si="8"/>
        <v>55.514020321295732</v>
      </c>
      <c r="P20" s="232">
        <f t="shared" si="8"/>
        <v>68.879098355013014</v>
      </c>
      <c r="Q20" s="232">
        <f t="shared" si="8"/>
        <v>82.666715156101688</v>
      </c>
    </row>
    <row r="21" spans="3:17" s="230" customFormat="1" x14ac:dyDescent="0.15">
      <c r="E21" s="65" t="s">
        <v>579</v>
      </c>
      <c r="J21" s="243">
        <f>J22-J20</f>
        <v>2.5</v>
      </c>
      <c r="K21" s="243">
        <f t="shared" ref="K21:Q21" si="9">K22-K20</f>
        <v>4.6483369006849671</v>
      </c>
      <c r="L21" s="243">
        <f t="shared" si="9"/>
        <v>12.48697107550386</v>
      </c>
      <c r="M21" s="243">
        <f t="shared" si="9"/>
        <v>12.814444141480251</v>
      </c>
      <c r="N21" s="243">
        <f t="shared" si="9"/>
        <v>18.064268203626654</v>
      </c>
      <c r="O21" s="243">
        <f t="shared" si="9"/>
        <v>13.365078033717282</v>
      </c>
      <c r="P21" s="243">
        <f t="shared" si="9"/>
        <v>13.787616801088674</v>
      </c>
      <c r="Q21" s="243">
        <f t="shared" si="9"/>
        <v>14.149085792645892</v>
      </c>
    </row>
    <row r="22" spans="3:17" x14ac:dyDescent="0.15">
      <c r="D22" s="65" t="s">
        <v>512</v>
      </c>
      <c r="I22" s="114">
        <v>5</v>
      </c>
      <c r="J22" s="244">
        <v>7.5</v>
      </c>
      <c r="K22" s="244">
        <v>12.148336900684967</v>
      </c>
      <c r="L22" s="244">
        <v>24.635307976188827</v>
      </c>
      <c r="M22" s="244">
        <v>37.449752117669078</v>
      </c>
      <c r="N22" s="244">
        <v>55.514020321295732</v>
      </c>
      <c r="O22" s="244">
        <v>68.879098355013014</v>
      </c>
      <c r="P22" s="244">
        <v>82.666715156101688</v>
      </c>
      <c r="Q22" s="244">
        <v>96.815800948747579</v>
      </c>
    </row>
    <row r="23" spans="3:17" x14ac:dyDescent="0.15">
      <c r="D23" s="65" t="s">
        <v>317</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x14ac:dyDescent="0.15">
      <c r="D24" s="65" t="s">
        <v>506</v>
      </c>
      <c r="I24" s="114">
        <v>3</v>
      </c>
      <c r="J24" s="114">
        <v>3</v>
      </c>
      <c r="K24" s="114">
        <v>4</v>
      </c>
      <c r="L24" s="114">
        <v>5</v>
      </c>
      <c r="M24" s="114">
        <v>6</v>
      </c>
      <c r="N24" s="114">
        <v>7</v>
      </c>
      <c r="O24" s="114">
        <v>8</v>
      </c>
      <c r="P24" s="114">
        <v>9</v>
      </c>
      <c r="Q24" s="114">
        <v>10</v>
      </c>
    </row>
    <row r="25" spans="3:17" x14ac:dyDescent="0.15">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x14ac:dyDescent="0.15">
      <c r="I26" s="82"/>
      <c r="J26" s="82"/>
      <c r="K26" s="82"/>
      <c r="L26" s="82"/>
      <c r="M26" s="82"/>
      <c r="N26" s="82"/>
      <c r="O26" s="82"/>
      <c r="P26" s="82"/>
      <c r="Q26" s="82"/>
    </row>
    <row r="27" spans="3:17" ht="11.25" x14ac:dyDescent="0.15">
      <c r="C27" s="61" t="s">
        <v>31</v>
      </c>
      <c r="I27" s="82"/>
      <c r="J27" s="82"/>
      <c r="K27" s="82"/>
      <c r="L27" s="82"/>
      <c r="M27" s="82"/>
      <c r="N27" s="82"/>
      <c r="O27" s="82"/>
      <c r="P27" s="82"/>
      <c r="Q27" s="82"/>
    </row>
    <row r="28" spans="3:17" x14ac:dyDescent="0.15">
      <c r="I28" s="82"/>
      <c r="J28" s="82"/>
      <c r="K28" s="82"/>
      <c r="L28" s="82"/>
      <c r="M28" s="82"/>
      <c r="N28" s="82"/>
      <c r="O28" s="82"/>
      <c r="P28" s="82"/>
      <c r="Q28" s="82"/>
    </row>
    <row r="29" spans="3:17" x14ac:dyDescent="0.15">
      <c r="D29" s="65" t="s">
        <v>480</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x14ac:dyDescent="0.15">
      <c r="D30" s="65" t="s">
        <v>498</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x14ac:dyDescent="0.15">
      <c r="D31" s="65" t="s">
        <v>3</v>
      </c>
      <c r="I31" s="114">
        <v>0</v>
      </c>
      <c r="J31" s="114">
        <v>0</v>
      </c>
      <c r="K31" s="114">
        <v>0</v>
      </c>
      <c r="L31" s="114">
        <v>0</v>
      </c>
      <c r="M31" s="114">
        <v>0</v>
      </c>
      <c r="N31" s="114">
        <v>0</v>
      </c>
      <c r="O31" s="114">
        <v>0</v>
      </c>
      <c r="P31" s="114">
        <v>0</v>
      </c>
      <c r="Q31" s="114">
        <v>0</v>
      </c>
    </row>
    <row r="32" spans="3:17" x14ac:dyDescent="0.15">
      <c r="D32" s="65" t="s">
        <v>508</v>
      </c>
      <c r="I32" s="114">
        <v>4</v>
      </c>
      <c r="J32" s="114">
        <v>4</v>
      </c>
      <c r="K32" s="114">
        <v>5</v>
      </c>
      <c r="L32" s="114">
        <v>6</v>
      </c>
      <c r="M32" s="114">
        <v>7</v>
      </c>
      <c r="N32" s="114">
        <v>8</v>
      </c>
      <c r="O32" s="114">
        <v>9</v>
      </c>
      <c r="P32" s="114">
        <v>10</v>
      </c>
      <c r="Q32" s="114">
        <v>11</v>
      </c>
    </row>
    <row r="33" spans="3:17" x14ac:dyDescent="0.15">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x14ac:dyDescent="0.15">
      <c r="I34" s="82"/>
      <c r="J34" s="82"/>
      <c r="K34" s="82"/>
      <c r="L34" s="82"/>
      <c r="M34" s="82"/>
      <c r="N34" s="82"/>
      <c r="O34" s="82"/>
      <c r="P34" s="82"/>
      <c r="Q34" s="82"/>
    </row>
    <row r="35" spans="3:17" ht="11.25" x14ac:dyDescent="0.15">
      <c r="C35" s="61" t="s">
        <v>32</v>
      </c>
      <c r="I35" s="193">
        <f t="shared" ref="I35:Q35" si="12">I25+I33</f>
        <v>182.14897260273972</v>
      </c>
      <c r="J35" s="193">
        <f t="shared" si="12"/>
        <v>184.64897260273972</v>
      </c>
      <c r="K35" s="193">
        <f t="shared" si="12"/>
        <v>195.01353381849319</v>
      </c>
      <c r="L35" s="193">
        <f t="shared" si="12"/>
        <v>213.28014276102488</v>
      </c>
      <c r="M35" s="193">
        <f t="shared" si="12"/>
        <v>232.02843712944136</v>
      </c>
      <c r="N35" s="193">
        <f t="shared" si="12"/>
        <v>256.09467245836231</v>
      </c>
      <c r="O35" s="193">
        <f t="shared" si="12"/>
        <v>275.56176679550629</v>
      </c>
      <c r="P35" s="193">
        <f t="shared" si="12"/>
        <v>295.52139659611464</v>
      </c>
      <c r="Q35" s="193">
        <f t="shared" si="12"/>
        <v>316.01271697904082</v>
      </c>
    </row>
    <row r="36" spans="3:17" x14ac:dyDescent="0.15">
      <c r="I36" s="82"/>
      <c r="J36" s="82"/>
      <c r="K36" s="82"/>
      <c r="L36" s="82"/>
      <c r="M36" s="82"/>
      <c r="N36" s="82"/>
      <c r="O36" s="82"/>
      <c r="P36" s="82"/>
      <c r="Q36" s="82"/>
    </row>
    <row r="37" spans="3:17" ht="11.25" x14ac:dyDescent="0.15">
      <c r="C37" s="61" t="s">
        <v>33</v>
      </c>
      <c r="I37" s="82"/>
      <c r="J37" s="82"/>
      <c r="K37" s="82"/>
      <c r="L37" s="82"/>
      <c r="M37" s="82"/>
      <c r="N37" s="82"/>
      <c r="O37" s="82"/>
      <c r="P37" s="82"/>
      <c r="Q37" s="82"/>
    </row>
    <row r="38" spans="3:17" x14ac:dyDescent="0.15">
      <c r="I38" s="82"/>
      <c r="J38" s="82"/>
      <c r="K38" s="82"/>
      <c r="L38" s="82"/>
      <c r="M38" s="82"/>
      <c r="N38" s="82"/>
      <c r="O38" s="82"/>
      <c r="P38" s="82"/>
      <c r="Q38" s="82"/>
    </row>
    <row r="39" spans="3:17" x14ac:dyDescent="0.15">
      <c r="D39" s="65" t="s">
        <v>318</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x14ac:dyDescent="0.15">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x14ac:dyDescent="0.15">
      <c r="D41" s="65" t="s">
        <v>564</v>
      </c>
      <c r="I41" s="114">
        <v>0</v>
      </c>
      <c r="J41" s="114">
        <v>0</v>
      </c>
      <c r="K41" s="114">
        <v>0</v>
      </c>
      <c r="L41" s="114">
        <v>0</v>
      </c>
      <c r="M41" s="114">
        <v>0</v>
      </c>
      <c r="N41" s="114">
        <v>0</v>
      </c>
      <c r="O41" s="114">
        <v>0</v>
      </c>
      <c r="P41" s="114">
        <v>0</v>
      </c>
      <c r="Q41" s="114">
        <v>0</v>
      </c>
    </row>
    <row r="42" spans="3:17" x14ac:dyDescent="0.15">
      <c r="D42" s="65" t="s">
        <v>34</v>
      </c>
      <c r="I42" s="114">
        <v>0</v>
      </c>
      <c r="J42" s="114">
        <v>0</v>
      </c>
      <c r="K42" s="114">
        <v>0</v>
      </c>
      <c r="L42" s="114">
        <v>0</v>
      </c>
      <c r="M42" s="114">
        <v>0</v>
      </c>
      <c r="N42" s="114">
        <v>0</v>
      </c>
      <c r="O42" s="114">
        <v>0</v>
      </c>
      <c r="P42" s="114">
        <v>0</v>
      </c>
      <c r="Q42" s="114">
        <v>0</v>
      </c>
    </row>
    <row r="43" spans="3:17" x14ac:dyDescent="0.15">
      <c r="D43" s="65" t="s">
        <v>507</v>
      </c>
      <c r="I43" s="114">
        <v>5</v>
      </c>
      <c r="J43" s="114">
        <v>5</v>
      </c>
      <c r="K43" s="114">
        <v>6</v>
      </c>
      <c r="L43" s="114">
        <v>7</v>
      </c>
      <c r="M43" s="114">
        <v>8</v>
      </c>
      <c r="N43" s="114">
        <v>9</v>
      </c>
      <c r="O43" s="114">
        <v>10</v>
      </c>
      <c r="P43" s="114">
        <v>11</v>
      </c>
      <c r="Q43" s="114">
        <v>12</v>
      </c>
    </row>
    <row r="44" spans="3:17" x14ac:dyDescent="0.15">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x14ac:dyDescent="0.15">
      <c r="I45" s="82"/>
      <c r="J45" s="82"/>
      <c r="K45" s="82"/>
      <c r="L45" s="82"/>
      <c r="M45" s="82"/>
      <c r="N45" s="82"/>
      <c r="O45" s="82"/>
      <c r="P45" s="82"/>
      <c r="Q45" s="82"/>
    </row>
    <row r="46" spans="3:17" ht="11.25" x14ac:dyDescent="0.15">
      <c r="C46" s="61" t="s">
        <v>35</v>
      </c>
      <c r="I46" s="82"/>
      <c r="J46" s="82"/>
      <c r="K46" s="82"/>
      <c r="L46" s="82"/>
      <c r="M46" s="82"/>
      <c r="N46" s="82"/>
      <c r="O46" s="82"/>
      <c r="P46" s="82"/>
      <c r="Q46" s="82"/>
    </row>
    <row r="47" spans="3:17" x14ac:dyDescent="0.15">
      <c r="I47" s="82"/>
      <c r="J47" s="82"/>
      <c r="K47" s="82"/>
      <c r="L47" s="82"/>
      <c r="M47" s="82"/>
      <c r="N47" s="82"/>
      <c r="O47" s="82"/>
      <c r="P47" s="82"/>
      <c r="Q47" s="82"/>
    </row>
    <row r="48" spans="3:17" x14ac:dyDescent="0.15">
      <c r="D48" s="65" t="s">
        <v>275</v>
      </c>
      <c r="I48" s="114">
        <v>50</v>
      </c>
      <c r="J48" s="114">
        <v>50</v>
      </c>
      <c r="K48" s="114">
        <v>50</v>
      </c>
      <c r="L48" s="114">
        <v>50</v>
      </c>
      <c r="M48" s="114">
        <v>50</v>
      </c>
      <c r="N48" s="114">
        <v>55</v>
      </c>
      <c r="O48" s="114">
        <v>55</v>
      </c>
      <c r="P48" s="114">
        <v>55</v>
      </c>
      <c r="Q48" s="114">
        <v>55</v>
      </c>
    </row>
    <row r="49" spans="3:17" x14ac:dyDescent="0.15">
      <c r="D49" s="65" t="s">
        <v>4</v>
      </c>
      <c r="I49" s="114">
        <v>0</v>
      </c>
      <c r="J49" s="114">
        <v>0</v>
      </c>
      <c r="K49" s="114">
        <v>0</v>
      </c>
      <c r="L49" s="114">
        <v>0</v>
      </c>
      <c r="M49" s="114">
        <v>0</v>
      </c>
      <c r="N49" s="114">
        <v>0</v>
      </c>
      <c r="O49" s="114">
        <v>0</v>
      </c>
      <c r="P49" s="114">
        <v>0</v>
      </c>
      <c r="Q49" s="114">
        <v>0</v>
      </c>
    </row>
    <row r="50" spans="3:17" x14ac:dyDescent="0.15">
      <c r="D50" s="65" t="s">
        <v>509</v>
      </c>
      <c r="I50" s="114">
        <v>6</v>
      </c>
      <c r="J50" s="114">
        <v>6</v>
      </c>
      <c r="K50" s="114">
        <v>7</v>
      </c>
      <c r="L50" s="114">
        <v>8</v>
      </c>
      <c r="M50" s="114">
        <v>9</v>
      </c>
      <c r="N50" s="114">
        <v>10</v>
      </c>
      <c r="O50" s="114">
        <v>11</v>
      </c>
      <c r="P50" s="114">
        <v>12</v>
      </c>
      <c r="Q50" s="114">
        <v>13</v>
      </c>
    </row>
    <row r="51" spans="3:17" x14ac:dyDescent="0.15">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x14ac:dyDescent="0.15">
      <c r="I52" s="82"/>
      <c r="J52" s="82"/>
      <c r="K52" s="82"/>
      <c r="L52" s="82"/>
      <c r="M52" s="82"/>
      <c r="N52" s="82"/>
      <c r="O52" s="82"/>
      <c r="P52" s="82"/>
      <c r="Q52" s="82"/>
    </row>
    <row r="53" spans="3:17" ht="11.25" x14ac:dyDescent="0.15">
      <c r="C53" s="61" t="s">
        <v>36</v>
      </c>
      <c r="I53" s="193">
        <f t="shared" ref="I53:Q53" si="15">I44+I51</f>
        <v>81.80119863013698</v>
      </c>
      <c r="J53" s="193">
        <f t="shared" si="15"/>
        <v>81.80119863013698</v>
      </c>
      <c r="K53" s="193">
        <f t="shared" si="15"/>
        <v>84.34560359589041</v>
      </c>
      <c r="L53" s="193">
        <f t="shared" si="15"/>
        <v>86.880614882172125</v>
      </c>
      <c r="M53" s="193">
        <f t="shared" si="15"/>
        <v>89.47558415293237</v>
      </c>
      <c r="N53" s="193">
        <f t="shared" si="15"/>
        <v>97.013098756755682</v>
      </c>
      <c r="O53" s="193">
        <f t="shared" si="15"/>
        <v>99.565269975674568</v>
      </c>
      <c r="P53" s="193">
        <f t="shared" si="15"/>
        <v>102.15582233010218</v>
      </c>
      <c r="Q53" s="193">
        <f t="shared" si="15"/>
        <v>104.81255708069308</v>
      </c>
    </row>
    <row r="54" spans="3:17" x14ac:dyDescent="0.15">
      <c r="I54" s="82"/>
      <c r="J54" s="82"/>
      <c r="K54" s="82"/>
      <c r="L54" s="82"/>
      <c r="M54" s="82"/>
      <c r="N54" s="82"/>
      <c r="O54" s="82"/>
      <c r="P54" s="82"/>
      <c r="Q54" s="82"/>
    </row>
    <row r="55" spans="3:17" ht="12" thickBot="1" x14ac:dyDescent="0.2">
      <c r="C55" s="61" t="s">
        <v>37</v>
      </c>
      <c r="I55" s="195">
        <f t="shared" ref="I55:Q55" si="16">I35-I53</f>
        <v>100.34777397260274</v>
      </c>
      <c r="J55" s="195">
        <f t="shared" si="16"/>
        <v>102.84777397260274</v>
      </c>
      <c r="K55" s="195">
        <f t="shared" si="16"/>
        <v>110.66793022260278</v>
      </c>
      <c r="L55" s="195">
        <f t="shared" si="16"/>
        <v>126.39952787885275</v>
      </c>
      <c r="M55" s="195">
        <f t="shared" si="16"/>
        <v>142.55285297650897</v>
      </c>
      <c r="N55" s="195">
        <f t="shared" si="16"/>
        <v>159.08157370160663</v>
      </c>
      <c r="O55" s="195">
        <f t="shared" si="16"/>
        <v>175.99649681983172</v>
      </c>
      <c r="P55" s="195">
        <f t="shared" si="16"/>
        <v>193.36557426601246</v>
      </c>
      <c r="Q55" s="195">
        <f t="shared" si="16"/>
        <v>211.20015989834775</v>
      </c>
    </row>
    <row r="56" spans="3:17" ht="11.25" thickTop="1" x14ac:dyDescent="0.15">
      <c r="I56" s="82"/>
      <c r="J56" s="82"/>
      <c r="K56" s="82"/>
      <c r="L56" s="82"/>
      <c r="M56" s="82"/>
      <c r="N56" s="82"/>
      <c r="O56" s="82"/>
      <c r="P56" s="82"/>
      <c r="Q56" s="82"/>
    </row>
    <row r="57" spans="3:17" ht="11.25" x14ac:dyDescent="0.15">
      <c r="C57" s="61" t="s">
        <v>38</v>
      </c>
      <c r="I57" s="82"/>
      <c r="J57" s="82"/>
      <c r="K57" s="82"/>
      <c r="L57" s="82"/>
      <c r="M57" s="82"/>
      <c r="N57" s="82"/>
      <c r="O57" s="82"/>
      <c r="P57" s="82"/>
      <c r="Q57" s="82"/>
    </row>
    <row r="58" spans="3:17" x14ac:dyDescent="0.15">
      <c r="I58" s="82"/>
      <c r="J58" s="82"/>
      <c r="K58" s="82"/>
      <c r="L58" s="82"/>
      <c r="M58" s="82"/>
      <c r="N58" s="82"/>
      <c r="O58" s="82"/>
      <c r="P58" s="82"/>
      <c r="Q58" s="82"/>
    </row>
    <row r="59" spans="3:17" x14ac:dyDescent="0.15">
      <c r="D59" s="65" t="s">
        <v>292</v>
      </c>
      <c r="I59" s="114">
        <v>75</v>
      </c>
      <c r="J59" s="114">
        <v>75</v>
      </c>
      <c r="K59" s="114">
        <v>75</v>
      </c>
      <c r="L59" s="114">
        <v>75</v>
      </c>
      <c r="M59" s="114">
        <v>75</v>
      </c>
      <c r="N59" s="114">
        <v>75</v>
      </c>
      <c r="O59" s="114">
        <v>75</v>
      </c>
      <c r="P59" s="114">
        <v>75</v>
      </c>
      <c r="Q59" s="114">
        <v>75</v>
      </c>
    </row>
    <row r="60" spans="3:17" s="205" customFormat="1" x14ac:dyDescent="0.15">
      <c r="D60" s="65" t="s">
        <v>580</v>
      </c>
      <c r="I60" s="114">
        <v>5</v>
      </c>
      <c r="J60" s="114">
        <v>5</v>
      </c>
      <c r="K60" s="114">
        <v>5</v>
      </c>
      <c r="L60" s="114">
        <v>5</v>
      </c>
      <c r="M60" s="114">
        <v>5</v>
      </c>
      <c r="N60" s="114">
        <v>5</v>
      </c>
      <c r="O60" s="114">
        <v>5</v>
      </c>
      <c r="P60" s="114">
        <v>5</v>
      </c>
      <c r="Q60" s="114">
        <v>5</v>
      </c>
    </row>
    <row r="61" spans="3:17" s="205" customFormat="1" x14ac:dyDescent="0.15">
      <c r="E61" s="65" t="s">
        <v>555</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x14ac:dyDescent="0.15">
      <c r="E62" s="65" t="s">
        <v>556</v>
      </c>
      <c r="I62" s="240">
        <f>I55-SUM(I59:I61)</f>
        <v>0</v>
      </c>
      <c r="J62" s="240">
        <f t="shared" ref="J62:Q62" si="17">J55-SUM(J59:J61)</f>
        <v>0</v>
      </c>
      <c r="K62" s="240">
        <f t="shared" si="17"/>
        <v>0</v>
      </c>
      <c r="L62" s="240">
        <f t="shared" si="17"/>
        <v>0</v>
      </c>
      <c r="M62" s="240">
        <f t="shared" si="17"/>
        <v>0</v>
      </c>
      <c r="N62" s="240">
        <f t="shared" si="17"/>
        <v>0</v>
      </c>
      <c r="O62" s="240">
        <f t="shared" si="17"/>
        <v>0</v>
      </c>
      <c r="P62" s="240">
        <f t="shared" si="17"/>
        <v>0</v>
      </c>
      <c r="Q62" s="240">
        <f t="shared" si="17"/>
        <v>0</v>
      </c>
    </row>
    <row r="63" spans="3:17" x14ac:dyDescent="0.15">
      <c r="D63" s="65" t="s">
        <v>39</v>
      </c>
      <c r="I63" s="232">
        <f>SUM(I61:I62)</f>
        <v>20.347773972602738</v>
      </c>
      <c r="J63" s="232">
        <f t="shared" ref="J63:Q63" si="18">SUM(J61:J62)</f>
        <v>22.847773972602738</v>
      </c>
      <c r="K63" s="232">
        <f t="shared" si="18"/>
        <v>30.667930222602777</v>
      </c>
      <c r="L63" s="232">
        <f t="shared" si="18"/>
        <v>46.399527878852751</v>
      </c>
      <c r="M63" s="232">
        <f t="shared" si="18"/>
        <v>62.552852976508973</v>
      </c>
      <c r="N63" s="232">
        <f t="shared" si="18"/>
        <v>79.081573701606629</v>
      </c>
      <c r="O63" s="232">
        <f t="shared" si="18"/>
        <v>95.996496819831719</v>
      </c>
      <c r="P63" s="232">
        <f t="shared" si="18"/>
        <v>113.36557426601246</v>
      </c>
      <c r="Q63" s="232">
        <f t="shared" si="18"/>
        <v>131.20015989834775</v>
      </c>
    </row>
    <row r="64" spans="3:17" x14ac:dyDescent="0.15">
      <c r="I64" s="82"/>
      <c r="J64" s="82"/>
      <c r="K64" s="82"/>
      <c r="L64" s="82"/>
      <c r="M64" s="82"/>
      <c r="N64" s="82"/>
      <c r="O64" s="82"/>
      <c r="P64" s="82"/>
      <c r="Q64" s="82"/>
    </row>
    <row r="65" spans="3:17" ht="12" thickBot="1" x14ac:dyDescent="0.2">
      <c r="C65" s="128" t="str">
        <f>"Total "&amp;C57</f>
        <v>Total Equity</v>
      </c>
      <c r="I65" s="195">
        <f>I59+I60+I63</f>
        <v>100.34777397260274</v>
      </c>
      <c r="J65" s="195">
        <f t="shared" ref="J65:Q65" si="19">J59+J60+J63</f>
        <v>102.84777397260274</v>
      </c>
      <c r="K65" s="195">
        <f t="shared" si="19"/>
        <v>110.66793022260278</v>
      </c>
      <c r="L65" s="195">
        <f t="shared" si="19"/>
        <v>126.39952787885275</v>
      </c>
      <c r="M65" s="195">
        <f t="shared" si="19"/>
        <v>142.55285297650897</v>
      </c>
      <c r="N65" s="195">
        <f t="shared" si="19"/>
        <v>159.08157370160663</v>
      </c>
      <c r="O65" s="195">
        <f t="shared" si="19"/>
        <v>175.99649681983172</v>
      </c>
      <c r="P65" s="195">
        <f t="shared" si="19"/>
        <v>193.36557426601246</v>
      </c>
      <c r="Q65" s="195">
        <f t="shared" si="19"/>
        <v>211.20015989834775</v>
      </c>
    </row>
    <row r="66" spans="3:17" s="205" customFormat="1" ht="12" thickTop="1" x14ac:dyDescent="0.15">
      <c r="C66" s="128"/>
      <c r="I66" s="242"/>
      <c r="J66" s="242"/>
      <c r="K66" s="242"/>
      <c r="L66" s="242"/>
      <c r="M66" s="242"/>
      <c r="N66" s="242"/>
      <c r="O66" s="242"/>
      <c r="P66" s="242"/>
      <c r="Q66" s="242"/>
    </row>
    <row r="67" spans="3:17" s="205" customFormat="1" hidden="1" outlineLevel="2" x14ac:dyDescent="0.15">
      <c r="D67" s="65" t="s">
        <v>587</v>
      </c>
      <c r="I67" s="200">
        <f>IF(ISERROR(I55-I65),1,0)</f>
        <v>0</v>
      </c>
      <c r="J67" s="200">
        <f t="shared" ref="J67:Q67" si="20">IF(ISERROR(J55-J65),1,0)</f>
        <v>0</v>
      </c>
      <c r="K67" s="200">
        <f t="shared" si="20"/>
        <v>0</v>
      </c>
      <c r="L67" s="200">
        <f t="shared" si="20"/>
        <v>0</v>
      </c>
      <c r="M67" s="200">
        <f t="shared" si="20"/>
        <v>0</v>
      </c>
      <c r="N67" s="200">
        <f t="shared" si="20"/>
        <v>0</v>
      </c>
      <c r="O67" s="200">
        <f t="shared" si="20"/>
        <v>0</v>
      </c>
      <c r="P67" s="200">
        <f t="shared" si="20"/>
        <v>0</v>
      </c>
      <c r="Q67" s="200">
        <f t="shared" si="20"/>
        <v>0</v>
      </c>
    </row>
    <row r="68" spans="3:17" s="205" customFormat="1" hidden="1" outlineLevel="2" x14ac:dyDescent="0.15">
      <c r="D68" s="65" t="s">
        <v>552</v>
      </c>
      <c r="I68" s="201">
        <f>IF(I67&lt;&gt;0,0,(ROUND(I55-I65,5)&lt;&gt;0)*1)</f>
        <v>0</v>
      </c>
      <c r="J68" s="201">
        <f t="shared" ref="J68:Q68" si="21">IF(J67&lt;&gt;0,0,(ROUND(J55-J65,5)&lt;&gt;0)*1)</f>
        <v>0</v>
      </c>
      <c r="K68" s="201">
        <f t="shared" si="21"/>
        <v>0</v>
      </c>
      <c r="L68" s="201">
        <f t="shared" si="21"/>
        <v>0</v>
      </c>
      <c r="M68" s="201">
        <f t="shared" si="21"/>
        <v>0</v>
      </c>
      <c r="N68" s="201">
        <f t="shared" si="21"/>
        <v>0</v>
      </c>
      <c r="O68" s="201">
        <f t="shared" si="21"/>
        <v>0</v>
      </c>
      <c r="P68" s="201">
        <f t="shared" si="21"/>
        <v>0</v>
      </c>
      <c r="Q68" s="201">
        <f t="shared" si="21"/>
        <v>0</v>
      </c>
    </row>
    <row r="69" spans="3:17" s="205" customFormat="1" collapsed="1" x14ac:dyDescent="0.15">
      <c r="C69" s="65" t="s">
        <v>439</v>
      </c>
      <c r="H69" s="196">
        <f>IF(ISERROR(SUM(I69:Q69)),0,MIN(SUM(I69:Q69),1))</f>
        <v>0</v>
      </c>
      <c r="I69" s="197">
        <f t="shared" ref="I69:Q69" si="22">MIN(SUM(I67:I68),1)</f>
        <v>0</v>
      </c>
      <c r="J69" s="197">
        <f t="shared" si="22"/>
        <v>0</v>
      </c>
      <c r="K69" s="197">
        <f t="shared" si="22"/>
        <v>0</v>
      </c>
      <c r="L69" s="197">
        <f t="shared" si="22"/>
        <v>0</v>
      </c>
      <c r="M69" s="197">
        <f t="shared" si="22"/>
        <v>0</v>
      </c>
      <c r="N69" s="197">
        <f t="shared" si="22"/>
        <v>0</v>
      </c>
      <c r="O69" s="197">
        <f t="shared" si="22"/>
        <v>0</v>
      </c>
      <c r="P69" s="197">
        <f t="shared" si="22"/>
        <v>0</v>
      </c>
      <c r="Q69" s="197">
        <f t="shared" si="22"/>
        <v>0</v>
      </c>
    </row>
    <row r="70" spans="3:17" hidden="1" outlineLevel="2" x14ac:dyDescent="0.15">
      <c r="J70" s="230"/>
      <c r="K70" s="230"/>
      <c r="L70" s="230"/>
      <c r="M70" s="230"/>
      <c r="N70" s="230"/>
      <c r="O70" s="230"/>
      <c r="P70" s="230"/>
      <c r="Q70" s="230"/>
    </row>
    <row r="71" spans="3:17" hidden="1" outlineLevel="2" x14ac:dyDescent="0.15">
      <c r="D71" s="65" t="s">
        <v>551</v>
      </c>
      <c r="I71" s="247">
        <f>IF(I$12=0,0,IF(ISERROR(I22),1,IF(ROUND(I22,5)&lt;0,1,0)))</f>
        <v>0</v>
      </c>
      <c r="J71" s="247">
        <f>IF(J$12=0,0,IF(ISERROR(J22),1,IF(ROUND(J22,5)&lt;0,1,0)))</f>
        <v>0</v>
      </c>
      <c r="K71" s="247">
        <f t="shared" ref="K71:Q71" si="23">IF(K$12=0,0,IF(ISERROR(K22),1,IF(ROUND(K22,5)&lt;0,1,0)))</f>
        <v>0</v>
      </c>
      <c r="L71" s="247">
        <f t="shared" si="23"/>
        <v>0</v>
      </c>
      <c r="M71" s="247">
        <f t="shared" si="23"/>
        <v>0</v>
      </c>
      <c r="N71" s="247">
        <f t="shared" si="23"/>
        <v>0</v>
      </c>
      <c r="O71" s="247">
        <f t="shared" si="23"/>
        <v>0</v>
      </c>
      <c r="P71" s="247">
        <f t="shared" si="23"/>
        <v>0</v>
      </c>
      <c r="Q71" s="247">
        <f t="shared" si="23"/>
        <v>0</v>
      </c>
    </row>
    <row r="72" spans="3:17" hidden="1" outlineLevel="2" x14ac:dyDescent="0.15">
      <c r="D72" s="65" t="s">
        <v>552</v>
      </c>
      <c r="I72" s="201">
        <f>IF(OR(ISBLANK(I$12),I$12&lt;&gt;0),IF(ISERROR(I62),1,IF(ROUND(I62,5)&lt;&gt;0,1,0)),0)</f>
        <v>0</v>
      </c>
      <c r="J72" s="201">
        <f t="shared" ref="J72:Q72" si="24">IF(OR(ISBLANK(J$12),J$12&lt;&gt;0),IF(ISERROR(J62),1,IF(ROUND(J62,5)&lt;&gt;0,1,0)),0)</f>
        <v>0</v>
      </c>
      <c r="K72" s="201">
        <f t="shared" si="24"/>
        <v>0</v>
      </c>
      <c r="L72" s="201">
        <f t="shared" si="24"/>
        <v>0</v>
      </c>
      <c r="M72" s="201">
        <f t="shared" si="24"/>
        <v>0</v>
      </c>
      <c r="N72" s="201">
        <f t="shared" si="24"/>
        <v>0</v>
      </c>
      <c r="O72" s="201">
        <f t="shared" si="24"/>
        <v>0</v>
      </c>
      <c r="P72" s="201">
        <f t="shared" si="24"/>
        <v>0</v>
      </c>
      <c r="Q72" s="201">
        <f t="shared" si="24"/>
        <v>0</v>
      </c>
    </row>
    <row r="73" spans="3:17" collapsed="1" x14ac:dyDescent="0.15">
      <c r="C73" s="65" t="s">
        <v>553</v>
      </c>
      <c r="H73" s="196">
        <f>IF(ISERROR(SUM(I73:Q73)),0,MIN(SUM(I73:Q73),1))</f>
        <v>0</v>
      </c>
      <c r="I73" s="197">
        <f t="shared" ref="I73:Q73" si="25">MIN(SUM(I71:I72),1)</f>
        <v>0</v>
      </c>
      <c r="J73" s="197">
        <f t="shared" si="25"/>
        <v>0</v>
      </c>
      <c r="K73" s="197">
        <f t="shared" si="25"/>
        <v>0</v>
      </c>
      <c r="L73" s="197">
        <f t="shared" si="25"/>
        <v>0</v>
      </c>
      <c r="M73" s="197">
        <f t="shared" si="25"/>
        <v>0</v>
      </c>
      <c r="N73" s="197">
        <f t="shared" si="25"/>
        <v>0</v>
      </c>
      <c r="O73" s="197">
        <f t="shared" si="25"/>
        <v>0</v>
      </c>
      <c r="P73" s="197">
        <f t="shared" si="25"/>
        <v>0</v>
      </c>
      <c r="Q73" s="197">
        <f t="shared" si="25"/>
        <v>0</v>
      </c>
    </row>
    <row r="75" spans="3:17" x14ac:dyDescent="0.15">
      <c r="C75" s="62" t="s">
        <v>218</v>
      </c>
      <c r="D75" s="188"/>
    </row>
    <row r="76" spans="3:17" x14ac:dyDescent="0.15">
      <c r="C76" s="81">
        <v>1</v>
      </c>
      <c r="D76" s="130" t="str">
        <f>"All assumptions are entered in "&amp;INDEX(LU_Denom,DD_TS_Denom)&amp;"."</f>
        <v>All assumptions are entered in $Millions.</v>
      </c>
    </row>
  </sheetData>
  <sheetProtection sheet="1" objects="1" scenarios="1"/>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xr:uid="{00000000-0002-0000-0D00-000000000000}">
      <formula1>NOT(ISERROR(I22/1))</formula1>
    </dataValidation>
  </dataValidations>
  <hyperlinks>
    <hyperlink ref="B3" location="HL_Home" tooltip="Go to Table of Contents" display="HL_Home" xr:uid="{00000000-0004-0000-0D00-000000000000}"/>
    <hyperlink ref="A4" location="$B$14" tooltip="Go to Top of Sheet" display="$B$14" xr:uid="{00000000-0004-0000-0D00-000001000000}"/>
    <hyperlink ref="B4" location="HL_Sheet_Main_21" tooltip="Go to Previous Sheet" display="HL_Sheet_Main_21" xr:uid="{00000000-0004-0000-0D00-000002000000}"/>
    <hyperlink ref="C4" location="HL_Sheet_Main_23" tooltip="Go to Next Sheet" display="HL_Sheet_Main_23" xr:uid="{00000000-0004-0000-0D00-000003000000}"/>
    <hyperlink ref="D4" location="HL_Err_Chk" tooltip="Go to Error Checks" display="HL_Err_Chk" xr:uid="{00000000-0004-0000-0D00-000004000000}"/>
    <hyperlink ref="E4" location="HL_Sens_Chk" tooltip="Go to Sensitivity Checks" display="HL_Sens_Chk" xr:uid="{00000000-0004-0000-0D00-000005000000}"/>
    <hyperlink ref="F4" location="HL_Alt_Chk" tooltip="Go to Alert Checks" display="HL_Alt_Chk" xr:uid="{00000000-0004-0000-0D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autoPageBreaks="0"/>
  </sheetPr>
  <dimension ref="A1:Q54"/>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12" width="12.83203125" style="181"/>
    <col min="13" max="17" width="12.83203125" style="181" customWidth="1"/>
    <col min="18" max="16384" width="12.83203125" style="181"/>
  </cols>
  <sheetData>
    <row r="1" spans="1:17" ht="18" x14ac:dyDescent="0.15">
      <c r="B1" s="42" t="s">
        <v>549</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45</v>
      </c>
    </row>
    <row r="18" spans="3:17" ht="11.25" x14ac:dyDescent="0.15">
      <c r="C18" s="61" t="s">
        <v>15</v>
      </c>
    </row>
    <row r="20" spans="3:17" x14ac:dyDescent="0.15">
      <c r="E20" s="65" t="s">
        <v>245</v>
      </c>
      <c r="J20" s="114">
        <v>125</v>
      </c>
      <c r="K20" s="114">
        <v>128.125</v>
      </c>
      <c r="L20" s="114">
        <v>131.328125</v>
      </c>
      <c r="M20" s="114">
        <v>134.611328125</v>
      </c>
      <c r="N20" s="114">
        <v>137.97661132812499</v>
      </c>
      <c r="O20" s="114">
        <v>141.4260266113281</v>
      </c>
      <c r="P20" s="114">
        <v>144.96167727661128</v>
      </c>
      <c r="Q20" s="114">
        <v>148.58571920852654</v>
      </c>
    </row>
    <row r="21" spans="3:17" x14ac:dyDescent="0.15">
      <c r="E21" s="65" t="s">
        <v>445</v>
      </c>
      <c r="J21" s="198">
        <v>10.726027397260282</v>
      </c>
      <c r="K21" s="198">
        <v>-0.25684931506850717</v>
      </c>
      <c r="L21" s="198">
        <v>-0.23377849202785228</v>
      </c>
      <c r="M21" s="198">
        <v>-0.29934436756118998</v>
      </c>
      <c r="N21" s="198">
        <v>-0.27659861943493524</v>
      </c>
      <c r="O21" s="198">
        <v>-0.28351358492079726</v>
      </c>
      <c r="P21" s="198">
        <v>-0.25804771305121221</v>
      </c>
      <c r="Q21" s="198">
        <v>-0.3304201716500188</v>
      </c>
    </row>
    <row r="22" spans="3:17" x14ac:dyDescent="0.15">
      <c r="D22" s="65" t="s">
        <v>259</v>
      </c>
      <c r="J22" s="202">
        <f>J20+J21</f>
        <v>135.72602739726028</v>
      </c>
      <c r="K22" s="202">
        <f t="shared" ref="K22:Q22" si="8">K20+K21</f>
        <v>127.86815068493149</v>
      </c>
      <c r="L22" s="202">
        <f t="shared" si="8"/>
        <v>131.09434650797215</v>
      </c>
      <c r="M22" s="202">
        <f t="shared" si="8"/>
        <v>134.31198375743881</v>
      </c>
      <c r="N22" s="202">
        <f t="shared" si="8"/>
        <v>137.70001270869005</v>
      </c>
      <c r="O22" s="202">
        <f t="shared" si="8"/>
        <v>141.1425130264073</v>
      </c>
      <c r="P22" s="202">
        <f t="shared" si="8"/>
        <v>144.70362956356007</v>
      </c>
      <c r="Q22" s="202">
        <f t="shared" si="8"/>
        <v>148.25529903687652</v>
      </c>
    </row>
    <row r="23" spans="3:17" x14ac:dyDescent="0.15">
      <c r="D23" s="192"/>
      <c r="E23" s="65" t="s">
        <v>487</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x14ac:dyDescent="0.15">
      <c r="D24" s="192"/>
      <c r="E24" s="65" t="s">
        <v>257</v>
      </c>
      <c r="J24" s="114">
        <v>-40</v>
      </c>
      <c r="K24" s="114">
        <v>-41</v>
      </c>
      <c r="L24" s="114">
        <v>-42.024999999999999</v>
      </c>
      <c r="M24" s="114">
        <v>-43.075624999999995</v>
      </c>
      <c r="N24" s="114">
        <v>-44.152515624999992</v>
      </c>
      <c r="O24" s="114">
        <v>-45.256328515624986</v>
      </c>
      <c r="P24" s="114">
        <v>-46.387736728515605</v>
      </c>
      <c r="Q24" s="114">
        <v>-47.547430146728495</v>
      </c>
    </row>
    <row r="25" spans="3:17" x14ac:dyDescent="0.15">
      <c r="D25" s="192"/>
      <c r="E25" s="65" t="s">
        <v>446</v>
      </c>
      <c r="J25" s="198">
        <v>-7.9863013698630141</v>
      </c>
      <c r="K25" s="198">
        <v>0.20034246575342252</v>
      </c>
      <c r="L25" s="198">
        <v>0.18234722378171853</v>
      </c>
      <c r="M25" s="198">
        <v>0.2334886066977333</v>
      </c>
      <c r="N25" s="198">
        <v>0.21574692315924437</v>
      </c>
      <c r="O25" s="198">
        <v>0.22114059623822868</v>
      </c>
      <c r="P25" s="198">
        <v>0.20127721617994609</v>
      </c>
      <c r="Q25" s="198">
        <v>0.25772773388702319</v>
      </c>
    </row>
    <row r="26" spans="3:17" x14ac:dyDescent="0.15">
      <c r="D26" s="65" t="s">
        <v>264</v>
      </c>
      <c r="J26" s="202">
        <f>SUM(J23:J25)</f>
        <v>-72.986301369863014</v>
      </c>
      <c r="K26" s="202">
        <f t="shared" ref="K26:Q26" si="9">SUM(K23:K25)</f>
        <v>-66.424657534246577</v>
      </c>
      <c r="L26" s="202">
        <f t="shared" si="9"/>
        <v>-68.108277776218273</v>
      </c>
      <c r="M26" s="202">
        <f t="shared" si="9"/>
        <v>-69.764402018302249</v>
      </c>
      <c r="N26" s="202">
        <f t="shared" si="9"/>
        <v>-71.532090967465734</v>
      </c>
      <c r="O26" s="202">
        <f t="shared" si="9"/>
        <v>-73.320393241652368</v>
      </c>
      <c r="P26" s="202">
        <f t="shared" si="9"/>
        <v>-75.178794967657907</v>
      </c>
      <c r="Q26" s="202">
        <f t="shared" si="9"/>
        <v>-77.006846254546772</v>
      </c>
    </row>
    <row r="27" spans="3:17" x14ac:dyDescent="0.15">
      <c r="D27" s="65" t="s">
        <v>278</v>
      </c>
      <c r="J27" s="114">
        <v>-3.25</v>
      </c>
      <c r="K27" s="114">
        <v>-3.25</v>
      </c>
      <c r="L27" s="114">
        <v>-3.25</v>
      </c>
      <c r="M27" s="114">
        <v>-3.25</v>
      </c>
      <c r="N27" s="114">
        <v>-3.4125000000000001</v>
      </c>
      <c r="O27" s="114">
        <v>-3.5750000000000002</v>
      </c>
      <c r="P27" s="114">
        <v>-3.5750000000000002</v>
      </c>
      <c r="Q27" s="114">
        <v>-3.5750000000000002</v>
      </c>
    </row>
    <row r="28" spans="3:17" x14ac:dyDescent="0.15">
      <c r="D28" s="65" t="s">
        <v>501</v>
      </c>
      <c r="J28" s="114">
        <v>-3.5</v>
      </c>
      <c r="K28" s="114">
        <v>-12.7875</v>
      </c>
      <c r="L28" s="114">
        <v>-13.131562499999999</v>
      </c>
      <c r="M28" s="114">
        <v>-13.4842265625</v>
      </c>
      <c r="N28" s="114">
        <v>-13.845707226562503</v>
      </c>
      <c r="O28" s="114">
        <v>-14.167474907226566</v>
      </c>
      <c r="P28" s="114">
        <v>-14.498505529907227</v>
      </c>
      <c r="Q28" s="114">
        <v>-14.887780668154907</v>
      </c>
    </row>
    <row r="29" spans="3:17" x14ac:dyDescent="0.15">
      <c r="D29" s="65" t="s">
        <v>517</v>
      </c>
      <c r="J29" s="114">
        <v>-1</v>
      </c>
      <c r="K29" s="114">
        <v>-1</v>
      </c>
      <c r="L29" s="114">
        <v>-1</v>
      </c>
      <c r="M29" s="114">
        <v>-1</v>
      </c>
      <c r="N29" s="114">
        <v>-1</v>
      </c>
      <c r="O29" s="114">
        <v>-1</v>
      </c>
      <c r="P29" s="114">
        <v>-1</v>
      </c>
      <c r="Q29" s="114">
        <v>-1</v>
      </c>
    </row>
    <row r="30" spans="3:17" x14ac:dyDescent="0.15">
      <c r="D30" s="65" t="s">
        <v>518</v>
      </c>
      <c r="J30" s="114">
        <v>1</v>
      </c>
      <c r="K30" s="114">
        <v>1</v>
      </c>
      <c r="L30" s="114">
        <v>1</v>
      </c>
      <c r="M30" s="114">
        <v>1</v>
      </c>
      <c r="N30" s="114">
        <v>1</v>
      </c>
      <c r="O30" s="114">
        <v>1</v>
      </c>
      <c r="P30" s="114">
        <v>1</v>
      </c>
      <c r="Q30" s="114">
        <v>1</v>
      </c>
    </row>
    <row r="31" spans="3:17" x14ac:dyDescent="0.15">
      <c r="D31" s="134" t="str">
        <f>"Net "&amp;C18</f>
        <v>Net Cash Flow from Operating Activities</v>
      </c>
      <c r="J31" s="193">
        <f>J22+J26+SUM(J27:J30)</f>
        <v>55.989726027397268</v>
      </c>
      <c r="K31" s="193">
        <f t="shared" ref="K31:Q31" si="10">K22+K26+SUM(K27:K30)</f>
        <v>45.405993150684914</v>
      </c>
      <c r="L31" s="193">
        <f t="shared" si="10"/>
        <v>46.604506231753874</v>
      </c>
      <c r="M31" s="193">
        <f t="shared" si="10"/>
        <v>47.813355176636563</v>
      </c>
      <c r="N31" s="193">
        <f t="shared" si="10"/>
        <v>48.909714514661815</v>
      </c>
      <c r="O31" s="193">
        <f t="shared" si="10"/>
        <v>50.079644877528366</v>
      </c>
      <c r="P31" s="193">
        <f t="shared" si="10"/>
        <v>51.45132906599494</v>
      </c>
      <c r="Q31" s="193">
        <f t="shared" si="10"/>
        <v>52.785672114174844</v>
      </c>
    </row>
    <row r="32" spans="3:17" x14ac:dyDescent="0.15">
      <c r="J32" s="82"/>
      <c r="K32" s="82"/>
      <c r="L32" s="82"/>
      <c r="M32" s="82"/>
      <c r="N32" s="82"/>
      <c r="O32" s="82"/>
      <c r="P32" s="82"/>
      <c r="Q32" s="82"/>
    </row>
    <row r="33" spans="3:17" ht="11.25" x14ac:dyDescent="0.15">
      <c r="C33" s="61" t="s">
        <v>16</v>
      </c>
      <c r="J33" s="82"/>
      <c r="K33" s="82"/>
      <c r="L33" s="82"/>
      <c r="M33" s="82"/>
      <c r="N33" s="82"/>
      <c r="O33" s="82"/>
      <c r="P33" s="82"/>
      <c r="Q33" s="82"/>
    </row>
    <row r="34" spans="3:17" x14ac:dyDescent="0.15">
      <c r="J34" s="82"/>
      <c r="K34" s="82"/>
      <c r="L34" s="82"/>
      <c r="M34" s="82"/>
      <c r="N34" s="82"/>
      <c r="O34" s="82"/>
      <c r="P34" s="82"/>
      <c r="Q34" s="82"/>
    </row>
    <row r="35" spans="3:17" x14ac:dyDescent="0.15">
      <c r="D35" s="65" t="s">
        <v>491</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x14ac:dyDescent="0.15">
      <c r="D36" s="65" t="s">
        <v>492</v>
      </c>
      <c r="J36" s="114">
        <v>-2.5</v>
      </c>
      <c r="K36" s="114">
        <v>-2.5625</v>
      </c>
      <c r="L36" s="114">
        <v>-2.6265624999999999</v>
      </c>
      <c r="M36" s="114">
        <v>-2.6922265624999997</v>
      </c>
      <c r="N36" s="114">
        <v>-2.7595322265624995</v>
      </c>
      <c r="O36" s="114">
        <v>-2.8285205322265616</v>
      </c>
      <c r="P36" s="114">
        <v>-2.8992335455322253</v>
      </c>
      <c r="Q36" s="114">
        <v>-2.9717143841705309</v>
      </c>
    </row>
    <row r="37" spans="3:17" x14ac:dyDescent="0.15">
      <c r="D37" s="65" t="s">
        <v>519</v>
      </c>
      <c r="J37" s="114">
        <v>-1</v>
      </c>
      <c r="K37" s="114">
        <v>-1</v>
      </c>
      <c r="L37" s="114">
        <v>-1</v>
      </c>
      <c r="M37" s="114">
        <v>-1</v>
      </c>
      <c r="N37" s="114">
        <v>-1</v>
      </c>
      <c r="O37" s="114">
        <v>-1</v>
      </c>
      <c r="P37" s="114">
        <v>-1</v>
      </c>
      <c r="Q37" s="114">
        <v>-1</v>
      </c>
    </row>
    <row r="38" spans="3:17" x14ac:dyDescent="0.15">
      <c r="D38" s="65" t="s">
        <v>520</v>
      </c>
      <c r="J38" s="114">
        <v>1</v>
      </c>
      <c r="K38" s="114">
        <v>1</v>
      </c>
      <c r="L38" s="114">
        <v>1</v>
      </c>
      <c r="M38" s="114">
        <v>1</v>
      </c>
      <c r="N38" s="114">
        <v>1</v>
      </c>
      <c r="O38" s="114">
        <v>1</v>
      </c>
      <c r="P38" s="114">
        <v>1</v>
      </c>
      <c r="Q38" s="114">
        <v>1</v>
      </c>
    </row>
    <row r="39" spans="3:17" x14ac:dyDescent="0.15">
      <c r="D39" s="134" t="str">
        <f>"Net "&amp;C33</f>
        <v>Net Cash Flow from Investing Activities</v>
      </c>
      <c r="J39" s="193">
        <f>SUM(J35:J38)</f>
        <v>-17.5</v>
      </c>
      <c r="K39" s="193">
        <f t="shared" ref="K39:Q39" si="11">SUM(K35:K38)</f>
        <v>-17.9375</v>
      </c>
      <c r="L39" s="193">
        <f t="shared" si="11"/>
        <v>-18.385937499999997</v>
      </c>
      <c r="M39" s="193">
        <f t="shared" si="11"/>
        <v>-18.845585937499994</v>
      </c>
      <c r="N39" s="193">
        <f t="shared" si="11"/>
        <v>-19.31672558593749</v>
      </c>
      <c r="O39" s="193">
        <f t="shared" si="11"/>
        <v>-19.799643725585927</v>
      </c>
      <c r="P39" s="193">
        <f t="shared" si="11"/>
        <v>-20.294634818725573</v>
      </c>
      <c r="Q39" s="193">
        <f t="shared" si="11"/>
        <v>-20.802000689193711</v>
      </c>
    </row>
    <row r="40" spans="3:17" x14ac:dyDescent="0.15">
      <c r="J40" s="82"/>
      <c r="K40" s="82"/>
      <c r="L40" s="82"/>
      <c r="M40" s="82"/>
      <c r="N40" s="82"/>
      <c r="O40" s="82"/>
      <c r="P40" s="82"/>
      <c r="Q40" s="82"/>
    </row>
    <row r="41" spans="3:17" ht="11.25" x14ac:dyDescent="0.15">
      <c r="C41" s="61" t="s">
        <v>17</v>
      </c>
      <c r="J41" s="82"/>
      <c r="K41" s="82"/>
      <c r="L41" s="82"/>
      <c r="M41" s="82"/>
      <c r="N41" s="82"/>
      <c r="O41" s="82"/>
      <c r="P41" s="82"/>
      <c r="Q41" s="82"/>
    </row>
    <row r="42" spans="3:17" x14ac:dyDescent="0.15">
      <c r="J42" s="82"/>
      <c r="K42" s="82"/>
      <c r="L42" s="82"/>
      <c r="M42" s="82"/>
      <c r="N42" s="82"/>
      <c r="O42" s="82"/>
      <c r="P42" s="82"/>
      <c r="Q42" s="82"/>
    </row>
    <row r="43" spans="3:17" x14ac:dyDescent="0.15">
      <c r="D43" s="65" t="s">
        <v>267</v>
      </c>
      <c r="J43" s="114">
        <v>0</v>
      </c>
      <c r="K43" s="114">
        <v>0</v>
      </c>
      <c r="L43" s="114">
        <v>0</v>
      </c>
      <c r="M43" s="114">
        <v>0</v>
      </c>
      <c r="N43" s="114">
        <v>50</v>
      </c>
      <c r="O43" s="114">
        <v>0</v>
      </c>
      <c r="P43" s="114">
        <v>0</v>
      </c>
      <c r="Q43" s="114">
        <v>0</v>
      </c>
    </row>
    <row r="44" spans="3:17" x14ac:dyDescent="0.15">
      <c r="D44" s="65" t="s">
        <v>268</v>
      </c>
      <c r="J44" s="114">
        <v>0</v>
      </c>
      <c r="K44" s="114">
        <v>0</v>
      </c>
      <c r="L44" s="114">
        <v>0</v>
      </c>
      <c r="M44" s="114">
        <v>0</v>
      </c>
      <c r="N44" s="114">
        <v>-45</v>
      </c>
      <c r="O44" s="114">
        <v>0</v>
      </c>
      <c r="P44" s="114">
        <v>0</v>
      </c>
      <c r="Q44" s="114">
        <v>0</v>
      </c>
    </row>
    <row r="45" spans="3:17" x14ac:dyDescent="0.15">
      <c r="D45" s="65" t="s">
        <v>285</v>
      </c>
      <c r="J45" s="114">
        <v>0</v>
      </c>
      <c r="K45" s="114">
        <v>0</v>
      </c>
      <c r="L45" s="114">
        <v>0</v>
      </c>
      <c r="M45" s="114">
        <v>0</v>
      </c>
      <c r="N45" s="114">
        <v>0</v>
      </c>
      <c r="O45" s="114">
        <v>0</v>
      </c>
      <c r="P45" s="114">
        <v>0</v>
      </c>
      <c r="Q45" s="114">
        <v>0</v>
      </c>
    </row>
    <row r="46" spans="3:17" x14ac:dyDescent="0.15">
      <c r="D46" s="65" t="s">
        <v>286</v>
      </c>
      <c r="J46" s="114">
        <v>0</v>
      </c>
      <c r="K46" s="114">
        <v>0</v>
      </c>
      <c r="L46" s="114">
        <v>0</v>
      </c>
      <c r="M46" s="114">
        <v>0</v>
      </c>
      <c r="N46" s="114">
        <v>0</v>
      </c>
      <c r="O46" s="114">
        <v>0</v>
      </c>
      <c r="P46" s="114">
        <v>0</v>
      </c>
      <c r="Q46" s="114">
        <v>0</v>
      </c>
    </row>
    <row r="47" spans="3:17" x14ac:dyDescent="0.15">
      <c r="D47" s="65" t="s">
        <v>294</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5" customFormat="1" x14ac:dyDescent="0.15">
      <c r="D48" s="65" t="s">
        <v>582</v>
      </c>
      <c r="J48" s="114">
        <v>0.1</v>
      </c>
      <c r="K48" s="114">
        <v>0.1</v>
      </c>
      <c r="L48" s="114">
        <v>0.1</v>
      </c>
      <c r="M48" s="114">
        <v>0.1</v>
      </c>
      <c r="N48" s="114">
        <v>0.1</v>
      </c>
      <c r="O48" s="114">
        <v>0.1</v>
      </c>
      <c r="P48" s="114">
        <v>0.1</v>
      </c>
      <c r="Q48" s="114">
        <v>0.1</v>
      </c>
    </row>
    <row r="49" spans="3:17" x14ac:dyDescent="0.15">
      <c r="D49" s="134" t="str">
        <f>"Net "&amp;C41</f>
        <v>Net Cash Flow from Financing Activities</v>
      </c>
      <c r="J49" s="193">
        <f>SUM(J43:J48)</f>
        <v>-14.81875</v>
      </c>
      <c r="K49" s="193">
        <f t="shared" ref="K49:Q49" si="12">SUM(K43:K48)</f>
        <v>-15.22015625</v>
      </c>
      <c r="L49" s="193">
        <f t="shared" si="12"/>
        <v>-15.631597656250003</v>
      </c>
      <c r="M49" s="193">
        <f t="shared" si="12"/>
        <v>-16.053325097656252</v>
      </c>
      <c r="N49" s="193">
        <f t="shared" si="12"/>
        <v>-11.428720725097664</v>
      </c>
      <c r="O49" s="193">
        <f t="shared" si="12"/>
        <v>-16.814923118225099</v>
      </c>
      <c r="P49" s="193">
        <f t="shared" si="12"/>
        <v>-17.269077446180724</v>
      </c>
      <c r="Q49" s="193">
        <f t="shared" si="12"/>
        <v>-17.734585632335236</v>
      </c>
    </row>
    <row r="50" spans="3:17" x14ac:dyDescent="0.15">
      <c r="J50" s="82"/>
      <c r="K50" s="82"/>
      <c r="L50" s="82"/>
      <c r="M50" s="82"/>
      <c r="N50" s="82"/>
      <c r="O50" s="82"/>
      <c r="P50" s="82"/>
      <c r="Q50" s="82"/>
    </row>
    <row r="51" spans="3:17" ht="12" thickBot="1" x14ac:dyDescent="0.2">
      <c r="C51" s="61" t="s">
        <v>18</v>
      </c>
      <c r="J51" s="195">
        <f t="shared" ref="J51:Q51" si="13">J31+J39+J49</f>
        <v>23.670976027397266</v>
      </c>
      <c r="K51" s="195">
        <f t="shared" si="13"/>
        <v>12.248336900684913</v>
      </c>
      <c r="L51" s="195">
        <f t="shared" si="13"/>
        <v>12.586971075503874</v>
      </c>
      <c r="M51" s="195">
        <f t="shared" si="13"/>
        <v>12.914444141480317</v>
      </c>
      <c r="N51" s="195">
        <f t="shared" si="13"/>
        <v>18.164268203626662</v>
      </c>
      <c r="O51" s="195">
        <f t="shared" si="13"/>
        <v>13.46507803371734</v>
      </c>
      <c r="P51" s="195">
        <f t="shared" si="13"/>
        <v>13.887616801088644</v>
      </c>
      <c r="Q51" s="195">
        <f t="shared" si="13"/>
        <v>14.249085792645896</v>
      </c>
    </row>
    <row r="52" spans="3:17" ht="11.25" thickTop="1" x14ac:dyDescent="0.15"/>
    <row r="53" spans="3:17" x14ac:dyDescent="0.15">
      <c r="C53" s="62" t="s">
        <v>218</v>
      </c>
      <c r="D53" s="188"/>
    </row>
    <row r="54" spans="3:17" x14ac:dyDescent="0.15">
      <c r="C54" s="81">
        <v>1</v>
      </c>
      <c r="D54" s="130" t="str">
        <f>"All assumptions are entered in "&amp;INDEX(LU_Denom,DD_TS_Denom)&amp;"."</f>
        <v>All assumptions are entered in $Millions.</v>
      </c>
    </row>
  </sheetData>
  <sheetProtection sheet="1" objects="1" scenarios="1"/>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xr:uid="{00000000-0002-0000-0E00-000000000000}">
      <formula1>NOT(ISERROR(J20/1))</formula1>
    </dataValidation>
  </dataValidations>
  <hyperlinks>
    <hyperlink ref="B3" location="HL_Home" tooltip="Go to Table of Contents" display="HL_Home" xr:uid="{00000000-0004-0000-0E00-000000000000}"/>
    <hyperlink ref="A4" location="$B$14" tooltip="Go to Top of Sheet" display="$B$14" xr:uid="{00000000-0004-0000-0E00-000001000000}"/>
    <hyperlink ref="B4" location="HL_Sheet_Main_22" tooltip="Go to Previous Sheet" display="HL_Sheet_Main_22" xr:uid="{00000000-0004-0000-0E00-000002000000}"/>
    <hyperlink ref="C4" location="HL_Sheet_Main_5" tooltip="Go to Next Sheet" display="HL_Sheet_Main_5" xr:uid="{00000000-0004-0000-0E00-000003000000}"/>
    <hyperlink ref="D4" location="HL_Err_Chk" tooltip="Go to Error Checks" display="HL_Err_Chk" xr:uid="{00000000-0004-0000-0E00-000004000000}"/>
    <hyperlink ref="E4" location="HL_Sens_Chk" tooltip="Go to Sensitivity Checks" display="HL_Sens_Chk" xr:uid="{00000000-0004-0000-0E00-000005000000}"/>
    <hyperlink ref="F4" location="HL_Alt_Chk" tooltip="Go to Alert Checks" display="HL_Alt_Chk" xr:uid="{00000000-0004-0000-0E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525</v>
      </c>
    </row>
    <row r="10" spans="3:7" ht="16.5" x14ac:dyDescent="0.15">
      <c r="C10" s="27" t="s">
        <v>545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526</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xr:uid="{00000000-0004-0000-0F00-000000000000}"/>
    <hyperlink ref="C13" location="HL_Sheet_Main_23" tooltip="Go to Previous Sheet" display="HL_Sheet_Main_23" xr:uid="{00000000-0004-0000-0F00-000001000000}"/>
    <hyperlink ref="D13" location="HL_Assumption_sheet_Example" tooltip="Go to Next Sheet" display="HL_Assumption_sheet_Example" xr:uid="{00000000-0004-0000-0F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autoPageBreaks="0"/>
  </sheetPr>
  <dimension ref="A1:Q180"/>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9" width="12.83203125" style="181"/>
    <col min="10" max="12" width="12.83203125" style="181" customWidth="1"/>
    <col min="13" max="16384" width="12.83203125" style="181"/>
  </cols>
  <sheetData>
    <row r="1" spans="1:17" ht="18" x14ac:dyDescent="0.15">
      <c r="B1" s="42" t="s">
        <v>525</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s="205" customFormat="1"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c>
      <c r="K6" s="189" t="str">
        <f t="shared" si="0"/>
        <v/>
      </c>
      <c r="L6" s="189" t="str">
        <f t="shared" si="0"/>
        <v/>
      </c>
      <c r="M6" s="189" t="str">
        <f t="shared" si="0"/>
        <v xml:space="preserve"> </v>
      </c>
      <c r="N6" s="189" t="str">
        <f t="shared" si="0"/>
        <v xml:space="preserve"> </v>
      </c>
      <c r="O6" s="189" t="str">
        <f t="shared" si="0"/>
        <v xml:space="preserve"> </v>
      </c>
      <c r="P6" s="189" t="str">
        <f t="shared" si="0"/>
        <v xml:space="preserve"> </v>
      </c>
      <c r="Q6" s="189" t="str">
        <f t="shared" si="0"/>
        <v xml:space="preserve"> </v>
      </c>
    </row>
    <row r="7" spans="1:17" s="205" customFormat="1"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5" customFormat="1" hidden="1" outlineLevel="2" x14ac:dyDescent="0.15">
      <c r="B8" s="49" t="s">
        <v>242</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5" customFormat="1" hidden="1" outlineLevel="2" x14ac:dyDescent="0.15">
      <c r="B9" s="49" t="s">
        <v>243</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5" customFormat="1" hidden="1" outlineLevel="2" x14ac:dyDescent="0.15">
      <c r="B10" s="49" t="s">
        <v>240</v>
      </c>
      <c r="J10" s="190">
        <f t="shared" ref="J10:Q10" si="4">IF(J12=0,0,YEAR(TS_Proj_Per_1_FY_End_Date)+INT((TS_Proj_Per_1_Number+J12-TS_Data_Full_Pers-2)/TS_Pers_In_Yr))</f>
        <v>0</v>
      </c>
      <c r="K10" s="190">
        <f t="shared" si="4"/>
        <v>0</v>
      </c>
      <c r="L10" s="190">
        <f t="shared" si="4"/>
        <v>0</v>
      </c>
      <c r="M10" s="190">
        <f t="shared" si="4"/>
        <v>2013</v>
      </c>
      <c r="N10" s="190">
        <f t="shared" si="4"/>
        <v>2014</v>
      </c>
      <c r="O10" s="190">
        <f t="shared" si="4"/>
        <v>2015</v>
      </c>
      <c r="P10" s="190">
        <f t="shared" si="4"/>
        <v>2016</v>
      </c>
      <c r="Q10" s="190">
        <f t="shared" si="4"/>
        <v>2017</v>
      </c>
    </row>
    <row r="11" spans="1:17" s="205" customFormat="1" hidden="1" outlineLevel="2" x14ac:dyDescent="0.15">
      <c r="B11" s="49" t="s">
        <v>241</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5" customFormat="1" hidden="1" outlineLevel="2" x14ac:dyDescent="0.15">
      <c r="B12" s="49" t="s">
        <v>244</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5" customFormat="1" hidden="1" outlineLevel="2" x14ac:dyDescent="0.15">
      <c r="B13" s="60" t="s">
        <v>411</v>
      </c>
      <c r="C13" s="22"/>
      <c r="D13" s="22"/>
      <c r="E13" s="22"/>
      <c r="F13" s="22"/>
      <c r="G13" s="22"/>
      <c r="H13" s="22"/>
      <c r="I13" s="22"/>
      <c r="J13" s="191" t="str">
        <f>IF(J12=0,"- ",J10&amp;"-"&amp;J11)</f>
        <v xml:space="preserve">- </v>
      </c>
      <c r="K13" s="191" t="str">
        <f t="shared" ref="K13:Q13" si="7">IF(K12=0,"- ",K10&amp;"-"&amp;K11)</f>
        <v xml:space="preserve">- </v>
      </c>
      <c r="L13" s="191" t="str">
        <f t="shared" si="7"/>
        <v xml:space="preserve">- </v>
      </c>
      <c r="M13" s="191" t="str">
        <f t="shared" si="7"/>
        <v xml:space="preserve">2013-Year </v>
      </c>
      <c r="N13" s="191" t="str">
        <f t="shared" si="7"/>
        <v xml:space="preserve">2014-Year </v>
      </c>
      <c r="O13" s="191" t="str">
        <f t="shared" si="7"/>
        <v xml:space="preserve">2015-Year </v>
      </c>
      <c r="P13" s="191" t="str">
        <f t="shared" si="7"/>
        <v xml:space="preserve">2016-Year </v>
      </c>
      <c r="Q13" s="191" t="str">
        <f t="shared" si="7"/>
        <v xml:space="preserve">2017-Year </v>
      </c>
    </row>
    <row r="14" spans="1:17" s="205" customFormat="1" collapsed="1" x14ac:dyDescent="0.15"/>
    <row r="15" spans="1:17" s="20" customFormat="1" x14ac:dyDescent="0.15"/>
    <row r="16" spans="1:17" s="18" customFormat="1" ht="12.75" customHeight="1" x14ac:dyDescent="0.15">
      <c r="B16" s="113" t="s">
        <v>425</v>
      </c>
      <c r="J16" s="169"/>
    </row>
    <row r="17" spans="2:17" s="18" customFormat="1" x14ac:dyDescent="0.15">
      <c r="I17" s="188"/>
      <c r="J17" s="188"/>
      <c r="K17" s="188"/>
      <c r="L17" s="188"/>
    </row>
    <row r="18" spans="2:17" s="169" customFormat="1" x14ac:dyDescent="0.15">
      <c r="C18" s="192"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x14ac:dyDescent="0.15">
      <c r="C19" s="192"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x14ac:dyDescent="0.15">
      <c r="C20" s="192"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x14ac:dyDescent="0.15">
      <c r="C21" s="192"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x14ac:dyDescent="0.15">
      <c r="C22" s="192"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x14ac:dyDescent="0.15">
      <c r="K23" s="249"/>
      <c r="L23" s="249"/>
      <c r="M23" s="249"/>
      <c r="N23" s="249"/>
      <c r="O23" s="249"/>
      <c r="P23" s="249"/>
      <c r="Q23" s="249"/>
    </row>
    <row r="24" spans="2:17" s="18" customFormat="1" x14ac:dyDescent="0.15">
      <c r="C24" s="62" t="s">
        <v>218</v>
      </c>
      <c r="K24" s="249"/>
      <c r="L24" s="249"/>
      <c r="M24" s="249"/>
      <c r="N24" s="249"/>
      <c r="O24" s="249"/>
      <c r="P24" s="249"/>
      <c r="Q24" s="249"/>
    </row>
    <row r="25" spans="2:17" s="188" customFormat="1" x14ac:dyDescent="0.15">
      <c r="C25" s="81">
        <v>1</v>
      </c>
      <c r="D25" s="130" t="str">
        <f>"Revenue and expense assumptions are entered in "&amp;INDEX(LU_Denom,DD_TS_Denom)&amp;"."</f>
        <v>Revenue and expense assumptions are entered in $Millions.</v>
      </c>
      <c r="K25" s="249"/>
      <c r="L25" s="249"/>
      <c r="M25" s="249"/>
      <c r="N25" s="249"/>
      <c r="O25" s="249"/>
      <c r="P25" s="249"/>
      <c r="Q25" s="249"/>
    </row>
    <row r="26" spans="2:17" s="18" customFormat="1" x14ac:dyDescent="0.15">
      <c r="C26" s="81">
        <v>2</v>
      </c>
      <c r="D26" s="65" t="s">
        <v>488</v>
      </c>
      <c r="K26" s="249"/>
      <c r="L26" s="249"/>
      <c r="M26" s="249"/>
      <c r="N26" s="249"/>
      <c r="O26" s="249"/>
      <c r="P26" s="249"/>
      <c r="Q26" s="249"/>
    </row>
    <row r="27" spans="2:17" s="18" customFormat="1" x14ac:dyDescent="0.15">
      <c r="K27" s="249"/>
      <c r="L27" s="249"/>
      <c r="M27" s="249"/>
      <c r="N27" s="249"/>
      <c r="O27" s="249"/>
      <c r="P27" s="249"/>
      <c r="Q27" s="249"/>
    </row>
    <row r="28" spans="2:17" s="20" customFormat="1" x14ac:dyDescent="0.15">
      <c r="K28" s="249"/>
      <c r="L28" s="249"/>
      <c r="M28" s="249"/>
      <c r="N28" s="249"/>
      <c r="O28" s="249"/>
      <c r="P28" s="249"/>
      <c r="Q28" s="249"/>
    </row>
    <row r="29" spans="2:17" s="20" customFormat="1" ht="12.75" x14ac:dyDescent="0.15">
      <c r="B29" s="113" t="s">
        <v>426</v>
      </c>
      <c r="I29" s="205"/>
      <c r="K29" s="249"/>
      <c r="L29" s="249"/>
      <c r="M29" s="249"/>
      <c r="N29" s="249"/>
      <c r="O29" s="249"/>
      <c r="P29" s="249"/>
      <c r="Q29" s="249"/>
    </row>
    <row r="30" spans="2:17" s="205" customFormat="1" x14ac:dyDescent="0.15">
      <c r="K30" s="249"/>
      <c r="L30" s="249"/>
      <c r="M30" s="249"/>
      <c r="N30" s="249"/>
      <c r="O30" s="249"/>
      <c r="P30" s="249"/>
      <c r="Q30" s="249"/>
    </row>
    <row r="31" spans="2:17" s="205" customFormat="1" ht="11.25" x14ac:dyDescent="0.15">
      <c r="C31" s="235" t="str">
        <f>BS_Hist_TA!$D$23</f>
        <v>Accounts Receivable</v>
      </c>
      <c r="K31" s="249"/>
      <c r="L31" s="249"/>
      <c r="M31" s="249"/>
      <c r="N31" s="249"/>
      <c r="O31" s="249"/>
      <c r="P31" s="249"/>
      <c r="Q31" s="249"/>
    </row>
    <row r="32" spans="2:17" s="205" customFormat="1" x14ac:dyDescent="0.15">
      <c r="I32" s="236">
        <f>TS_Proj_Start_Date</f>
        <v>41275</v>
      </c>
      <c r="K32" s="249"/>
      <c r="L32" s="249"/>
      <c r="M32" s="249"/>
      <c r="N32" s="249"/>
      <c r="O32" s="249"/>
      <c r="P32" s="249"/>
      <c r="Q32" s="249"/>
    </row>
    <row r="33" spans="2:17" s="205" customFormat="1" x14ac:dyDescent="0.15">
      <c r="D33" s="65" t="s">
        <v>266</v>
      </c>
      <c r="I33" s="237">
        <f ca="1">OFFSET(BS_Hist_TO!$I$23,0,TS_Data_Total_Pers)</f>
        <v>10.764600409836065</v>
      </c>
      <c r="K33" s="249"/>
      <c r="L33" s="249"/>
      <c r="M33" s="249"/>
      <c r="N33" s="249"/>
      <c r="O33" s="249"/>
      <c r="P33" s="249"/>
      <c r="Q33" s="249"/>
    </row>
    <row r="34" spans="2:17" s="205" customFormat="1" x14ac:dyDescent="0.15">
      <c r="D34" s="65" t="s">
        <v>432</v>
      </c>
      <c r="I34" s="232"/>
      <c r="J34" s="231">
        <v>30</v>
      </c>
      <c r="K34" s="231">
        <v>30</v>
      </c>
      <c r="L34" s="231">
        <v>30</v>
      </c>
      <c r="M34" s="231">
        <v>30</v>
      </c>
      <c r="N34" s="231">
        <v>30</v>
      </c>
      <c r="O34" s="231">
        <v>30</v>
      </c>
      <c r="P34" s="231">
        <v>30</v>
      </c>
      <c r="Q34" s="231">
        <v>30</v>
      </c>
    </row>
    <row r="35" spans="2:17" s="205" customFormat="1" x14ac:dyDescent="0.15">
      <c r="K35" s="249"/>
      <c r="L35" s="249"/>
      <c r="M35" s="249"/>
      <c r="N35" s="249"/>
      <c r="O35" s="249"/>
      <c r="P35" s="249"/>
      <c r="Q35" s="249"/>
    </row>
    <row r="36" spans="2:17" s="205" customFormat="1" ht="11.25" x14ac:dyDescent="0.15">
      <c r="C36" s="235" t="str">
        <f>BS_Hist_TA!$D$39</f>
        <v>Accounts Payable</v>
      </c>
      <c r="K36" s="249"/>
      <c r="L36" s="249"/>
      <c r="M36" s="249"/>
      <c r="N36" s="249"/>
      <c r="O36" s="249"/>
      <c r="P36" s="249"/>
      <c r="Q36" s="249"/>
    </row>
    <row r="37" spans="2:17" s="205" customFormat="1" x14ac:dyDescent="0.15">
      <c r="I37" s="236">
        <f>TS_Proj_Start_Date</f>
        <v>41275</v>
      </c>
      <c r="K37" s="249"/>
      <c r="L37" s="249"/>
      <c r="M37" s="249"/>
      <c r="N37" s="249"/>
      <c r="O37" s="249"/>
      <c r="P37" s="249"/>
      <c r="Q37" s="249"/>
    </row>
    <row r="38" spans="2:17" s="205" customFormat="1" x14ac:dyDescent="0.15">
      <c r="D38" s="65" t="s">
        <v>266</v>
      </c>
      <c r="I38" s="237">
        <f ca="1">OFFSET(BS_Hist_TO!$I$39,0,TS_Data_Total_Pers)</f>
        <v>8.3963883196721305</v>
      </c>
      <c r="K38" s="249"/>
      <c r="L38" s="249"/>
      <c r="M38" s="249"/>
      <c r="N38" s="249"/>
      <c r="O38" s="249"/>
      <c r="P38" s="249"/>
      <c r="Q38" s="249"/>
    </row>
    <row r="39" spans="2:17" s="20" customFormat="1" x14ac:dyDescent="0.15">
      <c r="C39" s="205"/>
      <c r="D39" s="65" t="s">
        <v>433</v>
      </c>
      <c r="J39" s="231">
        <v>45</v>
      </c>
      <c r="K39" s="231">
        <v>45</v>
      </c>
      <c r="L39" s="231">
        <v>45</v>
      </c>
      <c r="M39" s="231">
        <v>45</v>
      </c>
      <c r="N39" s="231">
        <v>45</v>
      </c>
      <c r="O39" s="231">
        <v>45</v>
      </c>
      <c r="P39" s="231">
        <v>45</v>
      </c>
      <c r="Q39" s="231">
        <v>45</v>
      </c>
    </row>
    <row r="40" spans="2:17" s="20" customFormat="1" x14ac:dyDescent="0.15">
      <c r="J40" s="169"/>
      <c r="K40" s="249"/>
      <c r="L40" s="249"/>
      <c r="M40" s="249"/>
      <c r="N40" s="249"/>
      <c r="O40" s="249"/>
      <c r="P40" s="249"/>
      <c r="Q40" s="249"/>
    </row>
    <row r="41" spans="2:17" s="20" customFormat="1" x14ac:dyDescent="0.15">
      <c r="C41" s="62" t="s">
        <v>218</v>
      </c>
      <c r="D41" s="169"/>
      <c r="K41" s="249"/>
      <c r="L41" s="249"/>
      <c r="M41" s="249"/>
      <c r="N41" s="249"/>
      <c r="O41" s="249"/>
      <c r="P41" s="249"/>
      <c r="Q41" s="249"/>
    </row>
    <row r="42" spans="2:17" s="20" customFormat="1" x14ac:dyDescent="0.15">
      <c r="C42" s="81">
        <v>1</v>
      </c>
      <c r="D42" s="65" t="s">
        <v>489</v>
      </c>
      <c r="K42" s="249"/>
      <c r="L42" s="249"/>
      <c r="M42" s="249"/>
      <c r="N42" s="249"/>
      <c r="O42" s="249"/>
      <c r="P42" s="249"/>
      <c r="Q42" s="249"/>
    </row>
    <row r="43" spans="2:17" s="20" customFormat="1" x14ac:dyDescent="0.15">
      <c r="K43" s="249"/>
      <c r="L43" s="249"/>
      <c r="M43" s="249"/>
      <c r="N43" s="249"/>
      <c r="O43" s="249"/>
      <c r="P43" s="249"/>
      <c r="Q43" s="249"/>
    </row>
    <row r="44" spans="2:17" s="20" customFormat="1" x14ac:dyDescent="0.15">
      <c r="K44" s="249"/>
      <c r="L44" s="249"/>
      <c r="M44" s="249"/>
      <c r="N44" s="249"/>
      <c r="O44" s="249"/>
      <c r="P44" s="249"/>
      <c r="Q44" s="249"/>
    </row>
    <row r="45" spans="2:17" s="20" customFormat="1" ht="12.75" x14ac:dyDescent="0.15">
      <c r="B45" s="113" t="s">
        <v>427</v>
      </c>
      <c r="I45" s="205"/>
      <c r="K45" s="249"/>
      <c r="L45" s="249"/>
      <c r="M45" s="249"/>
      <c r="N45" s="249"/>
      <c r="O45" s="249"/>
      <c r="P45" s="249"/>
      <c r="Q45" s="249"/>
    </row>
    <row r="46" spans="2:17" s="205" customFormat="1" x14ac:dyDescent="0.15">
      <c r="K46" s="249"/>
      <c r="L46" s="249"/>
      <c r="M46" s="249"/>
      <c r="N46" s="249"/>
      <c r="O46" s="249"/>
      <c r="P46" s="249"/>
      <c r="Q46" s="249"/>
    </row>
    <row r="47" spans="2:17" s="205" customFormat="1" ht="12.75" x14ac:dyDescent="0.15">
      <c r="B47" s="113"/>
      <c r="C47" s="235" t="str">
        <f>BS_Hist_TA!$D$29</f>
        <v>Assets</v>
      </c>
      <c r="I47" s="233"/>
      <c r="K47" s="249"/>
      <c r="L47" s="249"/>
      <c r="M47" s="249"/>
      <c r="N47" s="249"/>
      <c r="O47" s="249"/>
      <c r="P47" s="249"/>
      <c r="Q47" s="249"/>
    </row>
    <row r="48" spans="2:17" s="205" customFormat="1" x14ac:dyDescent="0.15">
      <c r="I48" s="236">
        <f>TS_Proj_Start_Date</f>
        <v>41275</v>
      </c>
      <c r="K48" s="249"/>
      <c r="L48" s="249"/>
      <c r="M48" s="249"/>
      <c r="N48" s="249"/>
      <c r="O48" s="249"/>
      <c r="P48" s="249"/>
      <c r="Q48" s="249"/>
    </row>
    <row r="49" spans="2:17" s="205" customFormat="1" x14ac:dyDescent="0.15">
      <c r="D49" s="65" t="s">
        <v>266</v>
      </c>
      <c r="I49" s="237">
        <f ca="1">OFFSET(BS_Hist_TO!$I$29,0,TS_Data_Total_Pers)</f>
        <v>149.6134375</v>
      </c>
      <c r="K49" s="249"/>
      <c r="L49" s="249"/>
      <c r="M49" s="249"/>
      <c r="N49" s="249"/>
      <c r="O49" s="249"/>
      <c r="P49" s="249"/>
      <c r="Q49" s="249"/>
    </row>
    <row r="50" spans="2:17" s="205" customFormat="1" x14ac:dyDescent="0.15">
      <c r="D50" s="65" t="s">
        <v>493</v>
      </c>
      <c r="I50" s="232"/>
      <c r="J50" s="64">
        <v>0.9</v>
      </c>
      <c r="K50" s="64">
        <v>0.9</v>
      </c>
      <c r="L50" s="64">
        <v>0.9</v>
      </c>
      <c r="M50" s="64">
        <v>0.9</v>
      </c>
      <c r="N50" s="64">
        <v>0.9</v>
      </c>
      <c r="O50" s="64">
        <v>0.9</v>
      </c>
      <c r="P50" s="64">
        <v>0.9</v>
      </c>
      <c r="Q50" s="64">
        <v>0.9</v>
      </c>
    </row>
    <row r="51" spans="2:17" s="205" customFormat="1" x14ac:dyDescent="0.15">
      <c r="K51" s="249"/>
      <c r="L51" s="249"/>
      <c r="M51" s="249"/>
      <c r="N51" s="249"/>
      <c r="O51" s="249"/>
      <c r="P51" s="249"/>
      <c r="Q51" s="249"/>
    </row>
    <row r="52" spans="2:17" s="205" customFormat="1" ht="12.75" x14ac:dyDescent="0.15">
      <c r="B52" s="113"/>
      <c r="C52" s="235" t="str">
        <f>BS_Hist_TA!$D$30</f>
        <v>Intangibles</v>
      </c>
      <c r="I52" s="233"/>
      <c r="K52" s="249"/>
      <c r="L52" s="249"/>
      <c r="M52" s="249"/>
      <c r="N52" s="249"/>
      <c r="O52" s="249"/>
      <c r="P52" s="249"/>
      <c r="Q52" s="249"/>
    </row>
    <row r="53" spans="2:17" s="205" customFormat="1" x14ac:dyDescent="0.15">
      <c r="I53" s="236">
        <f>TS_Proj_Start_Date</f>
        <v>41275</v>
      </c>
      <c r="K53" s="249"/>
      <c r="L53" s="249"/>
      <c r="M53" s="249"/>
      <c r="N53" s="249"/>
      <c r="O53" s="249"/>
      <c r="P53" s="249"/>
      <c r="Q53" s="249"/>
    </row>
    <row r="54" spans="2:17" s="205" customFormat="1" x14ac:dyDescent="0.15">
      <c r="D54" s="65" t="s">
        <v>266</v>
      </c>
      <c r="I54" s="237">
        <f ca="1">OFFSET(BS_Hist_TO!$I$30,0,TS_Data_Total_Pers)</f>
        <v>17.266796874999997</v>
      </c>
      <c r="K54" s="249"/>
      <c r="L54" s="249"/>
      <c r="M54" s="249"/>
      <c r="N54" s="249"/>
      <c r="O54" s="249"/>
      <c r="P54" s="249"/>
      <c r="Q54" s="249"/>
    </row>
    <row r="55" spans="2:17" s="205" customFormat="1" x14ac:dyDescent="0.15">
      <c r="D55" s="65" t="s">
        <v>493</v>
      </c>
      <c r="I55" s="232"/>
      <c r="J55" s="64">
        <v>0.25</v>
      </c>
      <c r="K55" s="64">
        <v>0.25</v>
      </c>
      <c r="L55" s="64">
        <v>0.25</v>
      </c>
      <c r="M55" s="64">
        <v>0.25</v>
      </c>
      <c r="N55" s="64">
        <v>0.25</v>
      </c>
      <c r="O55" s="64">
        <v>0.25</v>
      </c>
      <c r="P55" s="64">
        <v>0.25</v>
      </c>
      <c r="Q55" s="64">
        <v>0.25</v>
      </c>
    </row>
    <row r="56" spans="2:17" s="20" customFormat="1" x14ac:dyDescent="0.15">
      <c r="K56" s="249"/>
      <c r="L56" s="249"/>
      <c r="M56" s="249"/>
      <c r="N56" s="249"/>
      <c r="O56" s="249"/>
      <c r="P56" s="249"/>
      <c r="Q56" s="249"/>
    </row>
    <row r="57" spans="2:17" s="20" customFormat="1" x14ac:dyDescent="0.15">
      <c r="K57" s="249"/>
      <c r="L57" s="249"/>
      <c r="M57" s="249"/>
      <c r="N57" s="249"/>
      <c r="O57" s="249"/>
      <c r="P57" s="249"/>
      <c r="Q57" s="249"/>
    </row>
    <row r="58" spans="2:17" s="20" customFormat="1" ht="12.75" x14ac:dyDescent="0.15">
      <c r="B58" s="113" t="s">
        <v>428</v>
      </c>
      <c r="K58" s="249"/>
      <c r="L58" s="249"/>
      <c r="M58" s="249"/>
      <c r="N58" s="249"/>
      <c r="O58" s="249"/>
      <c r="P58" s="249"/>
      <c r="Q58" s="249"/>
    </row>
    <row r="59" spans="2:17" s="20" customFormat="1" x14ac:dyDescent="0.15">
      <c r="K59" s="249"/>
      <c r="L59" s="249"/>
      <c r="M59" s="249"/>
      <c r="N59" s="249"/>
      <c r="O59" s="249"/>
      <c r="P59" s="249"/>
      <c r="Q59" s="249"/>
    </row>
    <row r="60" spans="2:17" s="169" customFormat="1" ht="11.25" x14ac:dyDescent="0.15">
      <c r="C60" s="235" t="str">
        <f>BS_Hist_TA!$D$48</f>
        <v>Debt</v>
      </c>
      <c r="K60" s="249"/>
      <c r="L60" s="249"/>
      <c r="M60" s="249"/>
      <c r="N60" s="249"/>
      <c r="O60" s="249"/>
      <c r="P60" s="249"/>
      <c r="Q60" s="249"/>
    </row>
    <row r="61" spans="2:17" s="169" customFormat="1" x14ac:dyDescent="0.15">
      <c r="K61" s="249"/>
      <c r="L61" s="249"/>
      <c r="M61" s="249"/>
      <c r="N61" s="249"/>
      <c r="O61" s="249"/>
      <c r="P61" s="249"/>
      <c r="Q61" s="249"/>
    </row>
    <row r="62" spans="2:17" s="18" customFormat="1" x14ac:dyDescent="0.15">
      <c r="D62" s="134" t="str">
        <f>"Funds Drawn ("&amp;INDEX(LU_Denom,DD_TS_Denom)&amp;")"</f>
        <v>Funds Drawn ($Millions)</v>
      </c>
      <c r="K62" s="249"/>
      <c r="L62" s="249"/>
      <c r="M62" s="249"/>
      <c r="N62" s="249"/>
      <c r="O62" s="249"/>
      <c r="P62" s="249"/>
      <c r="Q62" s="249"/>
    </row>
    <row r="63" spans="2:17" s="18" customFormat="1" x14ac:dyDescent="0.15">
      <c r="I63" s="236">
        <f>TS_Proj_Start_Date</f>
        <v>41275</v>
      </c>
      <c r="K63" s="249"/>
      <c r="L63" s="249"/>
      <c r="M63" s="249"/>
      <c r="N63" s="249"/>
      <c r="O63" s="249"/>
      <c r="P63" s="249"/>
      <c r="Q63" s="249"/>
    </row>
    <row r="64" spans="2:17" s="18" customFormat="1" x14ac:dyDescent="0.15">
      <c r="E64" s="65" t="s">
        <v>266</v>
      </c>
      <c r="I64" s="237">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x14ac:dyDescent="0.15">
      <c r="E65" s="65" t="s">
        <v>267</v>
      </c>
      <c r="J65" s="114">
        <v>0</v>
      </c>
      <c r="K65" s="114">
        <v>0</v>
      </c>
      <c r="L65" s="114">
        <v>0</v>
      </c>
      <c r="M65" s="114">
        <v>0</v>
      </c>
      <c r="N65" s="114">
        <v>50</v>
      </c>
      <c r="O65" s="114">
        <v>0</v>
      </c>
      <c r="P65" s="114">
        <v>0</v>
      </c>
      <c r="Q65" s="114">
        <v>0</v>
      </c>
    </row>
    <row r="66" spans="3:17" s="18" customFormat="1" x14ac:dyDescent="0.15">
      <c r="E66" s="65" t="s">
        <v>268</v>
      </c>
      <c r="J66" s="114">
        <v>0</v>
      </c>
      <c r="K66" s="114">
        <v>0</v>
      </c>
      <c r="L66" s="114">
        <v>0</v>
      </c>
      <c r="M66" s="114">
        <v>0</v>
      </c>
      <c r="N66" s="114">
        <v>45</v>
      </c>
      <c r="O66" s="114">
        <v>0</v>
      </c>
      <c r="P66" s="114">
        <v>0</v>
      </c>
      <c r="Q66" s="114">
        <v>0</v>
      </c>
    </row>
    <row r="67" spans="3:17" s="18" customFormat="1" x14ac:dyDescent="0.15">
      <c r="E67" s="62" t="s">
        <v>269</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x14ac:dyDescent="0.15">
      <c r="K68" s="249"/>
      <c r="L68" s="249"/>
      <c r="M68" s="249"/>
      <c r="N68" s="249"/>
      <c r="O68" s="249"/>
      <c r="P68" s="249"/>
      <c r="Q68" s="249"/>
    </row>
    <row r="69" spans="3:17" s="18" customFormat="1" x14ac:dyDescent="0.15">
      <c r="E69" s="65" t="s">
        <v>270</v>
      </c>
      <c r="J69" s="63">
        <v>0.5</v>
      </c>
      <c r="K69" s="63">
        <v>0.5</v>
      </c>
      <c r="L69" s="63">
        <v>0.5</v>
      </c>
      <c r="M69" s="63">
        <v>0.5</v>
      </c>
      <c r="N69" s="63">
        <v>0.5</v>
      </c>
      <c r="O69" s="63">
        <v>0.5</v>
      </c>
      <c r="P69" s="63">
        <v>0.5</v>
      </c>
      <c r="Q69" s="63">
        <v>0.5</v>
      </c>
    </row>
    <row r="70" spans="3:17" s="18" customFormat="1" x14ac:dyDescent="0.15">
      <c r="K70" s="249"/>
      <c r="L70" s="249"/>
      <c r="M70" s="249"/>
      <c r="N70" s="249"/>
      <c r="O70" s="249"/>
      <c r="P70" s="249"/>
      <c r="Q70" s="249"/>
    </row>
    <row r="71" spans="3:17" s="18" customFormat="1" x14ac:dyDescent="0.15">
      <c r="D71" s="62" t="s">
        <v>271</v>
      </c>
      <c r="K71" s="249"/>
      <c r="L71" s="249"/>
      <c r="M71" s="249"/>
      <c r="N71" s="249"/>
      <c r="O71" s="249"/>
      <c r="P71" s="249"/>
      <c r="Q71" s="249"/>
    </row>
    <row r="72" spans="3:17" s="18" customFormat="1" x14ac:dyDescent="0.15">
      <c r="I72" s="236">
        <f>TS_Proj_Start_Date</f>
        <v>41275</v>
      </c>
      <c r="K72" s="249"/>
      <c r="L72" s="249"/>
      <c r="M72" s="249"/>
      <c r="N72" s="249"/>
      <c r="O72" s="249"/>
      <c r="P72" s="249"/>
      <c r="Q72" s="249"/>
    </row>
    <row r="73" spans="3:17" s="18" customFormat="1" x14ac:dyDescent="0.15">
      <c r="E73" s="130" t="str">
        <f>"Opening Interest Payable ("&amp;INDEX(LU_Denom,DD_TS_Denom)&amp;")"</f>
        <v>Opening Interest Payable ($Millions)</v>
      </c>
      <c r="I73" s="237">
        <f ca="1">OFFSET(BS_Hist_TO!$I$41,0,TS_Data_Total_Pers)</f>
        <v>0</v>
      </c>
      <c r="K73" s="249"/>
      <c r="L73" s="249"/>
      <c r="M73" s="249"/>
      <c r="N73" s="249"/>
      <c r="O73" s="249"/>
      <c r="P73" s="249"/>
      <c r="Q73" s="249"/>
    </row>
    <row r="74" spans="3:17" s="18" customFormat="1" x14ac:dyDescent="0.15">
      <c r="K74" s="249"/>
      <c r="L74" s="249"/>
      <c r="M74" s="249"/>
      <c r="N74" s="249"/>
      <c r="O74" s="249"/>
      <c r="P74" s="249"/>
      <c r="Q74" s="249"/>
    </row>
    <row r="75" spans="3:17" s="18" customFormat="1" x14ac:dyDescent="0.15">
      <c r="E75" s="65" t="s">
        <v>272</v>
      </c>
      <c r="J75" s="132">
        <v>0.05</v>
      </c>
      <c r="K75" s="132">
        <v>0.05</v>
      </c>
      <c r="L75" s="132">
        <v>0.05</v>
      </c>
      <c r="M75" s="132">
        <v>0.05</v>
      </c>
      <c r="N75" s="132">
        <v>0.05</v>
      </c>
      <c r="O75" s="132">
        <v>0.05</v>
      </c>
      <c r="P75" s="132">
        <v>0.05</v>
      </c>
      <c r="Q75" s="132">
        <v>0.05</v>
      </c>
    </row>
    <row r="76" spans="3:17" s="18" customFormat="1" x14ac:dyDescent="0.15">
      <c r="E76" s="65" t="s">
        <v>273</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x14ac:dyDescent="0.15">
      <c r="E77" s="65" t="s">
        <v>274</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x14ac:dyDescent="0.15">
      <c r="K78" s="249"/>
      <c r="L78" s="249"/>
      <c r="M78" s="249"/>
      <c r="N78" s="249"/>
      <c r="O78" s="249"/>
      <c r="P78" s="249"/>
      <c r="Q78" s="249"/>
    </row>
    <row r="79" spans="3:17" s="18" customFormat="1" ht="11.25" x14ac:dyDescent="0.15">
      <c r="C79" s="235" t="str">
        <f>BS_Hist_TA!D59</f>
        <v>Ordinary Equity</v>
      </c>
      <c r="K79" s="249"/>
      <c r="L79" s="249"/>
      <c r="M79" s="249"/>
      <c r="N79" s="249"/>
      <c r="O79" s="249"/>
      <c r="P79" s="249"/>
      <c r="Q79" s="249"/>
    </row>
    <row r="80" spans="3:17" s="18" customFormat="1" x14ac:dyDescent="0.15">
      <c r="K80" s="249"/>
      <c r="L80" s="249"/>
      <c r="M80" s="249"/>
      <c r="N80" s="249"/>
      <c r="O80" s="249"/>
      <c r="P80" s="249"/>
      <c r="Q80" s="249"/>
    </row>
    <row r="81" spans="4:17" s="18" customFormat="1" x14ac:dyDescent="0.15">
      <c r="D81" s="134" t="str">
        <f>"Ordinary Equity Balances"&amp;" ("&amp;INDEX(LU_Denom,DD_TS_Denom)&amp;")"</f>
        <v>Ordinary Equity Balances ($Millions)</v>
      </c>
      <c r="K81" s="249"/>
      <c r="L81" s="249"/>
      <c r="M81" s="249"/>
      <c r="N81" s="249"/>
      <c r="O81" s="249"/>
      <c r="P81" s="249"/>
      <c r="Q81" s="249"/>
    </row>
    <row r="82" spans="4:17" s="18" customFormat="1" x14ac:dyDescent="0.15">
      <c r="I82" s="236">
        <f>TS_Proj_Start_Date</f>
        <v>41275</v>
      </c>
      <c r="K82" s="249"/>
      <c r="L82" s="249"/>
      <c r="M82" s="249"/>
      <c r="N82" s="249"/>
      <c r="O82" s="249"/>
      <c r="P82" s="249"/>
      <c r="Q82" s="249"/>
    </row>
    <row r="83" spans="4:17" s="18" customFormat="1" x14ac:dyDescent="0.15">
      <c r="E83" s="65" t="s">
        <v>266</v>
      </c>
      <c r="I83" s="237">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x14ac:dyDescent="0.15">
      <c r="E84" s="65" t="s">
        <v>285</v>
      </c>
      <c r="J84" s="114">
        <v>0</v>
      </c>
      <c r="K84" s="114">
        <v>0</v>
      </c>
      <c r="L84" s="114">
        <v>0</v>
      </c>
      <c r="M84" s="114">
        <v>0</v>
      </c>
      <c r="N84" s="114">
        <v>0</v>
      </c>
      <c r="O84" s="114">
        <v>0</v>
      </c>
      <c r="P84" s="114">
        <v>0</v>
      </c>
      <c r="Q84" s="114">
        <v>0</v>
      </c>
    </row>
    <row r="85" spans="4:17" s="18" customFormat="1" x14ac:dyDescent="0.15">
      <c r="E85" s="65" t="s">
        <v>286</v>
      </c>
      <c r="J85" s="114">
        <v>0</v>
      </c>
      <c r="K85" s="114">
        <v>0</v>
      </c>
      <c r="L85" s="114">
        <v>0</v>
      </c>
      <c r="M85" s="114">
        <v>0</v>
      </c>
      <c r="N85" s="114">
        <v>0</v>
      </c>
      <c r="O85" s="114">
        <v>0</v>
      </c>
      <c r="P85" s="114">
        <v>0</v>
      </c>
      <c r="Q85" s="114">
        <v>0</v>
      </c>
    </row>
    <row r="86" spans="4:17" s="18" customFormat="1" x14ac:dyDescent="0.15">
      <c r="E86" s="62" t="s">
        <v>287</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x14ac:dyDescent="0.15"/>
    <row r="88" spans="4:17" s="18" customFormat="1" x14ac:dyDescent="0.15">
      <c r="D88" s="62" t="s">
        <v>288</v>
      </c>
    </row>
    <row r="89" spans="4:17" s="18" customFormat="1" x14ac:dyDescent="0.15">
      <c r="I89" s="236">
        <f>TS_Proj_Start_Date</f>
        <v>41275</v>
      </c>
    </row>
    <row r="90" spans="4:17" s="18" customFormat="1" x14ac:dyDescent="0.15">
      <c r="E90" s="130" t="str">
        <f>"Opening Dividends Payable ("&amp;INDEX(LU_Denom,DD_TS_Denom)&amp;")"</f>
        <v>Opening Dividends Payable ($Millions)</v>
      </c>
      <c r="I90" s="237">
        <f ca="1">OFFSET(BS_Hist_TO!$I$42,0,TS_Data_Total_Pers)</f>
        <v>0</v>
      </c>
    </row>
    <row r="91" spans="4:17" s="18" customFormat="1" x14ac:dyDescent="0.15"/>
    <row r="92" spans="4:17" s="18" customFormat="1" ht="15.75" customHeight="1" x14ac:dyDescent="0.15">
      <c r="E92" s="65" t="s">
        <v>565</v>
      </c>
      <c r="I92" s="80">
        <v>1</v>
      </c>
    </row>
    <row r="93" spans="4:17" s="18" customFormat="1" x14ac:dyDescent="0.15"/>
    <row r="94" spans="4:17" s="18" customFormat="1" x14ac:dyDescent="0.15">
      <c r="E94" s="65" t="s">
        <v>289</v>
      </c>
      <c r="J94" s="137" t="s">
        <v>86</v>
      </c>
      <c r="K94" s="137" t="s">
        <v>86</v>
      </c>
      <c r="L94" s="137" t="s">
        <v>86</v>
      </c>
      <c r="M94" s="137" t="s">
        <v>86</v>
      </c>
      <c r="N94" s="137" t="s">
        <v>86</v>
      </c>
      <c r="O94" s="137" t="s">
        <v>86</v>
      </c>
      <c r="P94" s="137" t="s">
        <v>86</v>
      </c>
      <c r="Q94" s="137" t="s">
        <v>86</v>
      </c>
    </row>
    <row r="95" spans="4:17" s="18" customFormat="1" x14ac:dyDescent="0.15">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x14ac:dyDescent="0.15">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x14ac:dyDescent="0.15"/>
    <row r="98" spans="2:9" s="18" customFormat="1" ht="17.25" customHeight="1" x14ac:dyDescent="0.15">
      <c r="E98" s="80" t="b">
        <v>0</v>
      </c>
    </row>
    <row r="99" spans="2:9" s="18" customFormat="1" ht="17.25" customHeight="1" x14ac:dyDescent="0.15">
      <c r="E99" s="80" t="b">
        <v>0</v>
      </c>
    </row>
    <row r="100" spans="2:9" s="18" customFormat="1" x14ac:dyDescent="0.15"/>
    <row r="101" spans="2:9" s="18" customFormat="1" x14ac:dyDescent="0.15">
      <c r="D101" s="62" t="s">
        <v>218</v>
      </c>
      <c r="E101" s="109"/>
    </row>
    <row r="102" spans="2:9" s="18" customFormat="1" x14ac:dyDescent="0.15">
      <c r="B102" s="109"/>
      <c r="D102" s="81">
        <v>1</v>
      </c>
      <c r="E102" s="65" t="s">
        <v>290</v>
      </c>
    </row>
    <row r="103" spans="2:9" s="18" customFormat="1" x14ac:dyDescent="0.15">
      <c r="B103" s="109"/>
      <c r="D103" s="81">
        <v>2</v>
      </c>
      <c r="E103" s="65" t="s">
        <v>291</v>
      </c>
    </row>
    <row r="104" spans="2:9" s="20" customFormat="1" x14ac:dyDescent="0.15"/>
    <row r="105" spans="2:9" s="20" customFormat="1" x14ac:dyDescent="0.15"/>
    <row r="106" spans="2:9" s="18" customFormat="1" ht="12.75" x14ac:dyDescent="0.15">
      <c r="B106" s="113" t="s">
        <v>429</v>
      </c>
    </row>
    <row r="107" spans="2:9" s="18" customFormat="1" x14ac:dyDescent="0.15"/>
    <row r="108" spans="2:9" s="18" customFormat="1" ht="11.25" x14ac:dyDescent="0.15">
      <c r="C108" s="235" t="str">
        <f>BS_Hist_TA!$D$40</f>
        <v>Tax Payable</v>
      </c>
    </row>
    <row r="109" spans="2:9" s="18" customFormat="1" x14ac:dyDescent="0.15">
      <c r="I109" s="236">
        <f>TS_Proj_Start_Date</f>
        <v>41275</v>
      </c>
    </row>
    <row r="110" spans="2:9" s="169" customFormat="1" x14ac:dyDescent="0.15">
      <c r="D110" s="130" t="str">
        <f>"Opening Tax Payable ("&amp;INDEX(LU_Denom,DD_TS_Denom)&amp;")"</f>
        <v>Opening Tax Payable ($Millions)</v>
      </c>
      <c r="I110" s="237">
        <f ca="1">OFFSET(BS_Hist_TO!$I$40,0,TS_Data_Total_Pers)</f>
        <v>13.484226562500004</v>
      </c>
    </row>
    <row r="111" spans="2:9" s="169" customFormat="1" x14ac:dyDescent="0.15">
      <c r="D111" s="65"/>
    </row>
    <row r="112" spans="2:9" s="18" customFormat="1" ht="11.25" x14ac:dyDescent="0.15">
      <c r="C112" s="61" t="s">
        <v>1</v>
      </c>
    </row>
    <row r="113" spans="2:12" s="18" customFormat="1" x14ac:dyDescent="0.15"/>
    <row r="114" spans="2:12" s="18" customFormat="1" x14ac:dyDescent="0.15">
      <c r="D114" s="65" t="s">
        <v>2</v>
      </c>
      <c r="I114" s="63">
        <v>0.3</v>
      </c>
    </row>
    <row r="115" spans="2:12" s="18" customFormat="1" x14ac:dyDescent="0.15"/>
    <row r="116" spans="2:12" s="18" customFormat="1" x14ac:dyDescent="0.15">
      <c r="C116" s="62" t="s">
        <v>218</v>
      </c>
      <c r="D116" s="109"/>
    </row>
    <row r="117" spans="2:12" s="18" customFormat="1" x14ac:dyDescent="0.15">
      <c r="B117" s="109"/>
      <c r="C117" s="81">
        <v>1</v>
      </c>
      <c r="D117" s="65" t="s">
        <v>500</v>
      </c>
    </row>
    <row r="118" spans="2:12" s="20" customFormat="1" x14ac:dyDescent="0.15">
      <c r="C118" s="81">
        <v>2</v>
      </c>
      <c r="D118" s="65" t="s">
        <v>441</v>
      </c>
    </row>
    <row r="119" spans="2:12" s="20" customFormat="1" ht="10.5" customHeight="1" x14ac:dyDescent="0.15">
      <c r="C119" s="81">
        <v>3</v>
      </c>
      <c r="D119" s="251" t="s">
        <v>502</v>
      </c>
      <c r="E119" s="250"/>
      <c r="F119" s="250"/>
      <c r="G119" s="250"/>
      <c r="H119" s="250"/>
      <c r="I119" s="250"/>
      <c r="J119" s="250"/>
      <c r="K119" s="250"/>
      <c r="L119" s="174"/>
    </row>
    <row r="120" spans="2:12" s="20" customFormat="1" x14ac:dyDescent="0.15">
      <c r="D120" s="250"/>
      <c r="E120" s="250"/>
      <c r="F120" s="250"/>
      <c r="G120" s="250"/>
      <c r="H120" s="250"/>
      <c r="I120" s="250"/>
      <c r="J120" s="250"/>
      <c r="K120" s="250"/>
      <c r="L120" s="174"/>
    </row>
    <row r="121" spans="2:12" s="20" customFormat="1" x14ac:dyDescent="0.15"/>
    <row r="122" spans="2:12" s="20" customFormat="1" x14ac:dyDescent="0.15"/>
    <row r="123" spans="2:12" s="20" customFormat="1" ht="12.75" x14ac:dyDescent="0.15">
      <c r="B123" s="113" t="s">
        <v>591</v>
      </c>
    </row>
    <row r="124" spans="2:12" s="20" customFormat="1" x14ac:dyDescent="0.15"/>
    <row r="125" spans="2:12" s="20" customFormat="1" ht="11.25" x14ac:dyDescent="0.15">
      <c r="C125" s="61" t="s">
        <v>512</v>
      </c>
    </row>
    <row r="126" spans="2:12" s="20" customFormat="1" x14ac:dyDescent="0.15"/>
    <row r="127" spans="2:12" s="169" customFormat="1" x14ac:dyDescent="0.15">
      <c r="D127" s="65" t="s">
        <v>300</v>
      </c>
      <c r="I127" s="237">
        <f ca="1">OFFSET(BS_Hist_TO!$I$22,0,TS_Data_Total_Pers)</f>
        <v>24.635307976188827</v>
      </c>
    </row>
    <row r="128" spans="2:12" s="205" customFormat="1" x14ac:dyDescent="0.15">
      <c r="D128" s="65"/>
      <c r="I128" s="232"/>
    </row>
    <row r="129" spans="2:17" s="205" customFormat="1" ht="11.25" x14ac:dyDescent="0.15">
      <c r="C129" s="61" t="s">
        <v>39</v>
      </c>
      <c r="D129" s="65"/>
      <c r="I129" s="232"/>
    </row>
    <row r="130" spans="2:17" s="205" customFormat="1" x14ac:dyDescent="0.15">
      <c r="D130" s="65"/>
      <c r="I130" s="232"/>
    </row>
    <row r="131" spans="2:17" s="205" customFormat="1" x14ac:dyDescent="0.15">
      <c r="D131" s="65" t="s">
        <v>298</v>
      </c>
      <c r="I131" s="237">
        <f ca="1">OFFSET(BS_Hist_TO!$I$64,0,TS_Data_Total_Pers)</f>
        <v>46.399527878852751</v>
      </c>
    </row>
    <row r="132" spans="2:17" s="20" customFormat="1" x14ac:dyDescent="0.15"/>
    <row r="133" spans="2:17" s="20" customFormat="1" ht="11.25" x14ac:dyDescent="0.15">
      <c r="C133" s="61" t="s">
        <v>569</v>
      </c>
      <c r="I133" s="207" t="s">
        <v>554</v>
      </c>
    </row>
    <row r="134" spans="2:17" s="20" customFormat="1" x14ac:dyDescent="0.15">
      <c r="I134" s="236">
        <f>TS_Proj_Start_Date</f>
        <v>41275</v>
      </c>
    </row>
    <row r="135" spans="2:17" s="20" customFormat="1" x14ac:dyDescent="0.15">
      <c r="D135" s="192" t="str">
        <f>BS_Hist_TA!$D$24</f>
        <v>Other Current Assets</v>
      </c>
      <c r="I135" s="237">
        <f ca="1">OFFSET(BS_Hist_TO!$I$24,0,TS_Data_Total_Pers)</f>
        <v>5</v>
      </c>
      <c r="J135" s="114">
        <v>3</v>
      </c>
      <c r="K135" s="114">
        <v>4</v>
      </c>
      <c r="L135" s="114">
        <v>5</v>
      </c>
      <c r="M135" s="114">
        <v>6</v>
      </c>
      <c r="N135" s="114">
        <v>7</v>
      </c>
      <c r="O135" s="114">
        <v>8</v>
      </c>
      <c r="P135" s="114">
        <v>9</v>
      </c>
      <c r="Q135" s="114">
        <v>10</v>
      </c>
    </row>
    <row r="136" spans="2:17" s="20" customFormat="1" x14ac:dyDescent="0.15">
      <c r="D136" s="192" t="str">
        <f>BS_Hist_TA!$D$32</f>
        <v>Other Non-Current Assets</v>
      </c>
      <c r="I136" s="237">
        <f ca="1">OFFSET(BS_Hist_TO!$I$32,0,TS_Data_Total_Pers)</f>
        <v>6</v>
      </c>
      <c r="J136" s="114">
        <v>4</v>
      </c>
      <c r="K136" s="114">
        <v>5</v>
      </c>
      <c r="L136" s="114">
        <v>6</v>
      </c>
      <c r="M136" s="114">
        <v>7</v>
      </c>
      <c r="N136" s="114">
        <v>8</v>
      </c>
      <c r="O136" s="114">
        <v>9</v>
      </c>
      <c r="P136" s="114">
        <v>10</v>
      </c>
      <c r="Q136" s="114">
        <v>11</v>
      </c>
    </row>
    <row r="137" spans="2:17" s="20" customFormat="1" x14ac:dyDescent="0.15">
      <c r="D137" s="192" t="str">
        <f>BS_Hist_TA!$D$43</f>
        <v>Other Current Liabilities</v>
      </c>
      <c r="I137" s="237">
        <f ca="1">OFFSET(BS_Hist_TO!$I$43,0,TS_Data_Total_Pers)</f>
        <v>7</v>
      </c>
      <c r="J137" s="114">
        <v>5</v>
      </c>
      <c r="K137" s="114">
        <v>6</v>
      </c>
      <c r="L137" s="114">
        <v>7</v>
      </c>
      <c r="M137" s="114">
        <v>8</v>
      </c>
      <c r="N137" s="114">
        <v>9</v>
      </c>
      <c r="O137" s="114">
        <v>10</v>
      </c>
      <c r="P137" s="114">
        <v>11</v>
      </c>
      <c r="Q137" s="114">
        <v>12</v>
      </c>
    </row>
    <row r="138" spans="2:17" s="20" customFormat="1" x14ac:dyDescent="0.15">
      <c r="D138" s="192" t="str">
        <f>BS_Hist_TA!$D$50</f>
        <v>Other Non-Current Liabilities</v>
      </c>
      <c r="I138" s="237">
        <f ca="1">OFFSET(BS_Hist_TO!$I$50,0,TS_Data_Total_Pers)</f>
        <v>8</v>
      </c>
      <c r="J138" s="114">
        <v>6</v>
      </c>
      <c r="K138" s="114">
        <v>7</v>
      </c>
      <c r="L138" s="114">
        <v>8</v>
      </c>
      <c r="M138" s="114">
        <v>9</v>
      </c>
      <c r="N138" s="114">
        <v>10</v>
      </c>
      <c r="O138" s="114">
        <v>11</v>
      </c>
      <c r="P138" s="114">
        <v>12</v>
      </c>
      <c r="Q138" s="114">
        <v>13</v>
      </c>
    </row>
    <row r="139" spans="2:17" s="205" customFormat="1" x14ac:dyDescent="0.15">
      <c r="D139" s="192" t="str">
        <f>BS_Hist_TA!$D$60</f>
        <v>Other Equity</v>
      </c>
      <c r="I139" s="237">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x14ac:dyDescent="0.15"/>
    <row r="141" spans="2:17" s="20" customFormat="1" x14ac:dyDescent="0.15">
      <c r="D141" s="62" t="s">
        <v>218</v>
      </c>
      <c r="E141" s="169"/>
    </row>
    <row r="142" spans="2:17" s="20" customFormat="1" x14ac:dyDescent="0.15">
      <c r="B142" s="205"/>
      <c r="C142" s="205"/>
      <c r="D142" s="81">
        <v>1</v>
      </c>
      <c r="E142" s="130" t="str">
        <f>"Balance sheet items are specified in "&amp;INDEX(LU_Denom,DD_TS_Denom)&amp;"."</f>
        <v>Balance sheet items are specified in $Millions.</v>
      </c>
      <c r="F142" s="205"/>
    </row>
    <row r="143" spans="2:17" s="20" customFormat="1" x14ac:dyDescent="0.15">
      <c r="D143" s="81">
        <v>2</v>
      </c>
      <c r="E143" s="65" t="s">
        <v>510</v>
      </c>
    </row>
    <row r="144" spans="2:17" s="20" customFormat="1" x14ac:dyDescent="0.15">
      <c r="D144" s="81">
        <v>3</v>
      </c>
      <c r="E144" s="65" t="s">
        <v>511</v>
      </c>
    </row>
    <row r="145" spans="4:5" s="20" customFormat="1" x14ac:dyDescent="0.15">
      <c r="D145" s="81">
        <v>3</v>
      </c>
      <c r="E145" s="65" t="s">
        <v>581</v>
      </c>
    </row>
    <row r="146" spans="4:5" s="20" customFormat="1" x14ac:dyDescent="0.15"/>
    <row r="147" spans="4:5" s="20" customFormat="1" x14ac:dyDescent="0.15"/>
    <row r="148" spans="4:5" s="20" customFormat="1" x14ac:dyDescent="0.15"/>
    <row r="149" spans="4:5" s="20" customFormat="1" x14ac:dyDescent="0.15"/>
    <row r="150" spans="4:5" s="20" customFormat="1" x14ac:dyDescent="0.15"/>
    <row r="151" spans="4:5" s="20" customFormat="1" x14ac:dyDescent="0.15"/>
    <row r="152" spans="4:5" s="20" customFormat="1" x14ac:dyDescent="0.15"/>
    <row r="153" spans="4:5" s="20" customFormat="1" x14ac:dyDescent="0.15"/>
    <row r="154" spans="4:5" s="20" customFormat="1" x14ac:dyDescent="0.15"/>
    <row r="155" spans="4:5" s="20" customFormat="1" x14ac:dyDescent="0.15"/>
    <row r="156" spans="4:5" s="20" customFormat="1" x14ac:dyDescent="0.15"/>
    <row r="157" spans="4:5" s="20" customFormat="1" x14ac:dyDescent="0.15"/>
    <row r="158" spans="4:5" s="20" customFormat="1" x14ac:dyDescent="0.15"/>
    <row r="159" spans="4:5" s="20" customFormat="1" x14ac:dyDescent="0.15"/>
    <row r="160" spans="4:5" s="20" customFormat="1" x14ac:dyDescent="0.15"/>
    <row r="161" s="20" customFormat="1" x14ac:dyDescent="0.15"/>
    <row r="162" s="20" customFormat="1" x14ac:dyDescent="0.15"/>
    <row r="163" s="20" customFormat="1" x14ac:dyDescent="0.15"/>
    <row r="164" s="20" customFormat="1" x14ac:dyDescent="0.15"/>
    <row r="165" s="20" customFormat="1" x14ac:dyDescent="0.15"/>
    <row r="166" s="20" customFormat="1" x14ac:dyDescent="0.15"/>
    <row r="167" s="20" customFormat="1" x14ac:dyDescent="0.15"/>
    <row r="168" s="20" customFormat="1" x14ac:dyDescent="0.15"/>
    <row r="169" s="20" customFormat="1" x14ac:dyDescent="0.15"/>
    <row r="170" s="20" customFormat="1" x14ac:dyDescent="0.15"/>
    <row r="171" s="20" customFormat="1" x14ac:dyDescent="0.15"/>
    <row r="172" s="20" customFormat="1" x14ac:dyDescent="0.15"/>
    <row r="173" s="20" customFormat="1" x14ac:dyDescent="0.15"/>
    <row r="174" s="20" customFormat="1" x14ac:dyDescent="0.15"/>
    <row r="175" s="20" customFormat="1" x14ac:dyDescent="0.15"/>
    <row r="176" s="20" customFormat="1" x14ac:dyDescent="0.15"/>
    <row r="177" s="20" customFormat="1" x14ac:dyDescent="0.15"/>
    <row r="178" s="20" customFormat="1" x14ac:dyDescent="0.15"/>
    <row r="179" s="20" customFormat="1" x14ac:dyDescent="0.15"/>
    <row r="180" s="20" customFormat="1" x14ac:dyDescent="0.15"/>
  </sheetData>
  <sheetProtection sheet="1" objects="1" scenarios="1"/>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xr:uid="{00000000-0002-0000-1000-000000000000}">
      <formula1>0</formula1>
    </dataValidation>
    <dataValidation type="custom" showErrorMessage="1" errorTitle="Invalid Assumption" error="Assumption must be a number." sqref="J135:Q139" xr:uid="{00000000-0002-0000-1000-000001000000}">
      <formula1>NOT(ISERROR(J135/1))</formula1>
    </dataValidation>
    <dataValidation type="whole" showDropDown="1" showErrorMessage="1" errorTitle="Drop Down Box Cell Link" error="The value in a drop down box cell link must be a whole number within the control's lookup range rows." sqref="I92" xr:uid="{00000000-0002-0000-1000-000002000000}">
      <formula1>1</formula1>
      <formula2>ROWS(LU_Eq_Ord_Div_Meth )</formula2>
    </dataValidation>
    <dataValidation type="decimal" showDropDown="1" showErrorMessage="1" errorTitle="Invalid Assumption" error="The Corporate Taxation Rate percentage cannot be less than 0% or greater than 100% in any period." sqref="I114" xr:uid="{00000000-0002-0000-1000-000003000000}">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xr:uid="{00000000-0002-0000-1000-000004000000}">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xr:uid="{00000000-0002-0000-1000-000005000000}">
      <formula1>0</formula1>
      <formula2>1</formula2>
    </dataValidation>
    <dataValidation type="decimal" showDropDown="1" showErrorMessage="1" errorTitle="Invalid Assumption" error="The &quot;Drawdowns/Repayments % into Period&quot; percentage cannot be less than 0% or greater than 100% in any period." sqref="J69:Q69" xr:uid="{00000000-0002-0000-1000-000006000000}">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xr:uid="{00000000-0002-0000-1000-000007000000}">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xr:uid="{00000000-0002-0000-1000-000008000000}">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xr:uid="{00000000-0002-0000-1000-000009000000}">
      <formula1>0</formula1>
    </dataValidation>
    <dataValidation type="decimal" showDropDown="1" showErrorMessage="1" errorTitle="Invalid Assumption" error="The Dividend Payout Ratio percentage cannot be less than 0% or greater than 100% in any period." sqref="J95:Q95" xr:uid="{00000000-0002-0000-1000-00000A000000}">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xr:uid="{00000000-0002-0000-1000-00000B000000}">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xr:uid="{00000000-0002-0000-1000-00000C000000}">
      <formula1>0</formula1>
    </dataValidation>
    <dataValidation type="list" showErrorMessage="1" errorTitle="Invalid Assumption" error="A &quot;Yes&quot; Or &quot;No&quot; must be entered for each period indicating whether or not dividends are declared in that period." sqref="J94:Q94" xr:uid="{00000000-0002-0000-1000-00000D000000}">
      <formula1>"Yes,No"</formula1>
    </dataValidation>
    <dataValidation type="custom" showDropDown="1" showErrorMessage="1" errorTitle="Check Box Cell Link" error="The value in an option button cell link must be either &quot;TRUE&quot; or &quot;FALSE&quot;" sqref="E98:E99" xr:uid="{00000000-0002-0000-1000-00000E000000}">
      <formula1>ISLOGICAL(E98)</formula1>
    </dataValidation>
    <dataValidation type="decimal" showDropDown="1" showErrorMessage="1" errorTitle="Invalid Assumption" error="Assumption must be between 0% and 100%." sqref="J50:Q50 J55:Q55" xr:uid="{00000000-0002-0000-1000-00000F000000}">
      <formula1>0</formula1>
      <formula2>1</formula2>
    </dataValidation>
  </dataValidations>
  <hyperlinks>
    <hyperlink ref="B3" location="HL_Home" tooltip="Go to Table of Contents" display="HL_Home" xr:uid="{00000000-0004-0000-1000-000000000000}"/>
    <hyperlink ref="A4" location="$B$14" tooltip="Go to Top of Sheet" display="$B$14" xr:uid="{00000000-0004-0000-1000-000001000000}"/>
    <hyperlink ref="B4" location="HL_Sheet_Main_5" tooltip="Go to Previous Sheet" display="HL_Sheet_Main_5" xr:uid="{00000000-0004-0000-1000-000002000000}"/>
    <hyperlink ref="C4" location="HL_Sheet_Main_16" tooltip="Go to Next Sheet" display="HL_Sheet_Main_16" xr:uid="{00000000-0004-0000-1000-000003000000}"/>
    <hyperlink ref="D4" location="HL_Err_Chk" tooltip="Go to Error Checks" display="HL_Err_Chk" xr:uid="{00000000-0004-0000-1000-000004000000}"/>
    <hyperlink ref="E4" location="HL_Sens_Chk" tooltip="Go to Sensitivity Checks" display="HL_Sens_Chk" xr:uid="{00000000-0004-0000-1000-000005000000}"/>
    <hyperlink ref="F4" location="HL_Alt_Chk" tooltip="Go to Alert Checks" display="HL_Alt_Chk" xr:uid="{00000000-0004-0000-10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drawing r:id="rId2"/>
  <legacyDrawing r:id="rId3"/>
  <mc:AlternateContent xmlns:mc="http://schemas.openxmlformats.org/markup-compatibility/2006">
    <mc:Choice Requires="x14">
      <controls>
        <mc:AlternateContent xmlns:mc="http://schemas.openxmlformats.org/markup-compatibility/2006">
          <mc:Choice Requires="x14">
            <control shapeId="158721" r:id="rId4" name="Drop Down 1">
              <controlPr defaultSize="0" autoFill="0" autoPict="0">
                <anchor moveWithCells="1">
                  <from>
                    <xdr:col>8</xdr:col>
                    <xdr:colOff>0</xdr:colOff>
                    <xdr:row>91</xdr:row>
                    <xdr:rowOff>0</xdr:rowOff>
                  </from>
                  <to>
                    <xdr:col>10</xdr:col>
                    <xdr:colOff>123825</xdr:colOff>
                    <xdr:row>92</xdr:row>
                    <xdr:rowOff>0</xdr:rowOff>
                  </to>
                </anchor>
              </controlPr>
            </control>
          </mc:Choice>
        </mc:AlternateContent>
        <mc:AlternateContent xmlns:mc="http://schemas.openxmlformats.org/markup-compatibility/2006">
          <mc:Choice Requires="x14">
            <control shapeId="158722" r:id="rId5" name="Check Box 2">
              <controlPr defaultSize="0" autoFill="0" autoLine="0" autoPict="0">
                <anchor moveWithCells="1">
                  <from>
                    <xdr:col>4</xdr:col>
                    <xdr:colOff>0</xdr:colOff>
                    <xdr:row>97</xdr:row>
                    <xdr:rowOff>0</xdr:rowOff>
                  </from>
                  <to>
                    <xdr:col>8</xdr:col>
                    <xdr:colOff>504825</xdr:colOff>
                    <xdr:row>98</xdr:row>
                    <xdr:rowOff>0</xdr:rowOff>
                  </to>
                </anchor>
              </controlPr>
            </control>
          </mc:Choice>
        </mc:AlternateContent>
        <mc:AlternateContent xmlns:mc="http://schemas.openxmlformats.org/markup-compatibility/2006">
          <mc:Choice Requires="x14">
            <control shapeId="158723" r:id="rId6" name="Check Box 3">
              <controlPr defaultSize="0" autoFill="0" autoLine="0" autoPict="0">
                <anchor moveWithCells="1">
                  <from>
                    <xdr:col>4</xdr:col>
                    <xdr:colOff>0</xdr:colOff>
                    <xdr:row>98</xdr:row>
                    <xdr:rowOff>0</xdr:rowOff>
                  </from>
                  <to>
                    <xdr:col>8</xdr:col>
                    <xdr:colOff>504825</xdr:colOff>
                    <xdr:row>99</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421</v>
      </c>
    </row>
    <row r="10" spans="3:7" ht="16.5" x14ac:dyDescent="0.15">
      <c r="C10" s="27" t="s">
        <v>215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 t="s">
        <v>416</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1100-000000000000}"/>
    <hyperlink ref="C13" location="HL_Assumption_sheet_Example" tooltip="Go to Previous Sheet" display="HL_Assumption_sheet_Example" xr:uid="{00000000-0004-0000-1100-000001000000}"/>
    <hyperlink ref="D13" location="HL_Sheet_Main_28" tooltip="Go to Next Sheet" display="HL_Sheet_Main_28" xr:uid="{00000000-0004-0000-11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558</v>
      </c>
    </row>
    <row r="10" spans="3:7" ht="16.5" x14ac:dyDescent="0.15">
      <c r="C10" s="27" t="s">
        <v>533</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87" t="s">
        <v>559</v>
      </c>
    </row>
    <row r="19" spans="3:3" x14ac:dyDescent="0.15">
      <c r="C19" s="187"/>
    </row>
    <row r="20" spans="3:3" x14ac:dyDescent="0.15">
      <c r="C20" s="187"/>
    </row>
  </sheetData>
  <sheetProtection sheet="1" objects="1" scenarios="1"/>
  <mergeCells count="1">
    <mergeCell ref="C12:G12"/>
  </mergeCells>
  <hyperlinks>
    <hyperlink ref="C12" location="HL_Home" tooltip="Go to Table of Contents" display="HL_Home" xr:uid="{00000000-0004-0000-1200-000000000000}"/>
    <hyperlink ref="C13" location="HL_Sheet_Main_16" tooltip="Go to Previous Sheet" display="HL_Sheet_Main_16" xr:uid="{00000000-0004-0000-1200-000001000000}"/>
    <hyperlink ref="D13" location="HL_Sheet_Main_29" tooltip="Go to Next Sheet" display="HL_Sheet_Main_29" xr:uid="{00000000-0004-0000-12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Q65"/>
  <sheetViews>
    <sheetView showGridLines="0" zoomScaleNormal="100" workbookViewId="0">
      <pane xSplit="1" ySplit="6" topLeftCell="B7" activePane="bottomRight" state="frozen"/>
      <selection activeCell="D23" sqref="D23:N24"/>
      <selection pane="topRight" activeCell="D23" sqref="D23:N24"/>
      <selection pane="bottomLeft" activeCell="D23" sqref="D23:N24"/>
      <selection pane="bottomRight" activeCell="B7" sqref="B7"/>
    </sheetView>
  </sheetViews>
  <sheetFormatPr defaultColWidth="11.83203125" defaultRowHeight="10.5" outlineLevelRow="1" x14ac:dyDescent="0.15"/>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x14ac:dyDescent="0.15">
      <c r="B1" s="1" t="s">
        <v>49</v>
      </c>
    </row>
    <row r="2" spans="1:17" ht="15" x14ac:dyDescent="0.15">
      <c r="B2" s="2" t="str">
        <f ca="1">Model_Name</f>
        <v>Example Best Practice Model 6.1</v>
      </c>
    </row>
    <row r="3" spans="1:17" x14ac:dyDescent="0.15">
      <c r="B3" s="270" t="s">
        <v>50</v>
      </c>
      <c r="C3" s="270"/>
      <c r="D3" s="270"/>
      <c r="E3" s="270"/>
      <c r="F3" s="270"/>
      <c r="G3" s="270"/>
      <c r="H3" s="270"/>
      <c r="I3" s="270"/>
      <c r="J3" s="263"/>
    </row>
    <row r="6" spans="1:17" s="21" customFormat="1" ht="12.75" x14ac:dyDescent="0.15">
      <c r="A6" s="105" t="s">
        <v>51</v>
      </c>
      <c r="B6" s="253" t="s">
        <v>52</v>
      </c>
      <c r="C6" s="17"/>
      <c r="D6" s="17"/>
      <c r="E6" s="17"/>
      <c r="F6" s="17"/>
      <c r="G6" s="17"/>
      <c r="H6" s="17"/>
      <c r="I6" s="17"/>
      <c r="J6" s="17"/>
      <c r="K6" s="17"/>
      <c r="L6" s="17"/>
      <c r="M6" s="17"/>
      <c r="N6" s="17"/>
      <c r="O6" s="17"/>
      <c r="P6" s="17"/>
      <c r="Q6" s="254" t="s">
        <v>592</v>
      </c>
    </row>
    <row r="8" spans="1:17" ht="19.149999999999999" customHeight="1" x14ac:dyDescent="0.15">
      <c r="B8" s="286">
        <v>1</v>
      </c>
      <c r="C8" s="286"/>
      <c r="D8" s="287" t="str">
        <f>Overview_SC!C9</f>
        <v>Overview</v>
      </c>
      <c r="E8" s="287"/>
      <c r="F8" s="287"/>
      <c r="G8" s="287"/>
      <c r="H8" s="287"/>
      <c r="I8" s="287"/>
      <c r="J8" s="287"/>
      <c r="K8" s="287"/>
      <c r="L8" s="287"/>
      <c r="M8" s="287"/>
      <c r="N8" s="287"/>
      <c r="O8" s="287"/>
      <c r="P8" s="287"/>
      <c r="Q8" s="255">
        <v>4</v>
      </c>
    </row>
    <row r="9" spans="1:17" ht="11.25" x14ac:dyDescent="0.15">
      <c r="D9" s="285" t="s">
        <v>208</v>
      </c>
      <c r="E9" s="285"/>
      <c r="F9" s="283" t="str">
        <f>Notes_SSC!C9</f>
        <v>Notes</v>
      </c>
      <c r="G9" s="283"/>
      <c r="H9" s="283"/>
      <c r="I9" s="283"/>
      <c r="J9" s="283"/>
      <c r="K9" s="283"/>
      <c r="L9" s="283"/>
      <c r="M9" s="283"/>
      <c r="N9" s="283"/>
      <c r="O9" s="283"/>
      <c r="P9" s="283"/>
      <c r="Q9" s="256">
        <v>5</v>
      </c>
    </row>
    <row r="10" spans="1:17" outlineLevel="1" x14ac:dyDescent="0.15">
      <c r="F10" s="281" t="s">
        <v>209</v>
      </c>
      <c r="G10" s="281"/>
      <c r="H10" s="282" t="str">
        <f>Notes_BO!B1</f>
        <v>Model Notes</v>
      </c>
      <c r="I10" s="282"/>
      <c r="J10" s="282"/>
      <c r="K10" s="282"/>
      <c r="L10" s="282"/>
      <c r="M10" s="282"/>
      <c r="N10" s="282"/>
      <c r="O10" s="282"/>
      <c r="P10" s="282"/>
      <c r="Q10" s="257">
        <v>6</v>
      </c>
    </row>
    <row r="11" spans="1:17" outlineLevel="1" x14ac:dyDescent="0.15">
      <c r="F11" s="281" t="s">
        <v>210</v>
      </c>
      <c r="G11" s="281"/>
      <c r="H11" s="282" t="str">
        <f>Standards_MS!B1</f>
        <v>Standards Illustration Sheet</v>
      </c>
      <c r="I11" s="282"/>
      <c r="J11" s="282"/>
      <c r="K11" s="282"/>
      <c r="L11" s="282"/>
      <c r="M11" s="282"/>
      <c r="N11" s="282"/>
      <c r="O11" s="282"/>
      <c r="P11" s="282"/>
      <c r="Q11" s="257">
        <v>7</v>
      </c>
    </row>
    <row r="12" spans="1:17" ht="11.25" x14ac:dyDescent="0.15">
      <c r="D12" s="285" t="s">
        <v>213</v>
      </c>
      <c r="E12" s="285"/>
      <c r="F12" s="283" t="str">
        <f>Keys_SSC!C9</f>
        <v>Keys</v>
      </c>
      <c r="G12" s="283"/>
      <c r="H12" s="283"/>
      <c r="I12" s="283"/>
      <c r="J12" s="283"/>
      <c r="K12" s="283"/>
      <c r="L12" s="283"/>
      <c r="M12" s="283"/>
      <c r="N12" s="283"/>
      <c r="O12" s="283"/>
      <c r="P12" s="283"/>
      <c r="Q12" s="256">
        <v>15</v>
      </c>
    </row>
    <row r="13" spans="1:17" outlineLevel="1" x14ac:dyDescent="0.15">
      <c r="F13" s="281" t="s">
        <v>209</v>
      </c>
      <c r="G13" s="281"/>
      <c r="H13" s="282" t="str">
        <f>Keys_BO!B1</f>
        <v>Keys</v>
      </c>
      <c r="I13" s="282"/>
      <c r="J13" s="282"/>
      <c r="K13" s="282"/>
      <c r="L13" s="282"/>
      <c r="M13" s="282"/>
      <c r="N13" s="282"/>
      <c r="O13" s="282"/>
      <c r="P13" s="282"/>
      <c r="Q13" s="257">
        <v>16</v>
      </c>
    </row>
    <row r="14" spans="1:17" outlineLevel="1" x14ac:dyDescent="0.15">
      <c r="H14" s="104" t="s">
        <v>217</v>
      </c>
      <c r="I14" s="284" t="str">
        <f>TOC_Hdg_1</f>
        <v>Formats &amp; Styles Key</v>
      </c>
      <c r="J14" s="284"/>
      <c r="K14" s="284"/>
      <c r="L14" s="284"/>
      <c r="M14" s="284"/>
      <c r="N14" s="284"/>
      <c r="O14" s="284"/>
      <c r="P14" s="284"/>
      <c r="Q14" s="104" t="s">
        <v>217</v>
      </c>
    </row>
    <row r="15" spans="1:17" outlineLevel="1" x14ac:dyDescent="0.15">
      <c r="H15" s="104" t="s">
        <v>217</v>
      </c>
      <c r="I15" s="284" t="str">
        <f>TOC_Hdg_2</f>
        <v>Sheet Naming Key</v>
      </c>
      <c r="J15" s="284"/>
      <c r="K15" s="284"/>
      <c r="L15" s="284"/>
      <c r="M15" s="284"/>
      <c r="N15" s="284"/>
      <c r="O15" s="284"/>
      <c r="P15" s="284"/>
      <c r="Q15" s="104" t="s">
        <v>217</v>
      </c>
    </row>
    <row r="16" spans="1:17" outlineLevel="1" x14ac:dyDescent="0.15">
      <c r="H16" s="104" t="s">
        <v>217</v>
      </c>
      <c r="I16" s="284" t="str">
        <f>TOC_Hdg_3</f>
        <v>Range Naming Key</v>
      </c>
      <c r="J16" s="284"/>
      <c r="K16" s="284"/>
      <c r="L16" s="284"/>
      <c r="M16" s="284"/>
      <c r="N16" s="284"/>
      <c r="O16" s="284"/>
      <c r="P16" s="284"/>
      <c r="Q16" s="104" t="s">
        <v>217</v>
      </c>
    </row>
    <row r="17" spans="2:17" ht="19.149999999999999" customHeight="1" x14ac:dyDescent="0.15">
      <c r="B17" s="286">
        <v>2</v>
      </c>
      <c r="C17" s="286"/>
      <c r="D17" s="287" t="str">
        <f>Assumptions_SC!C9</f>
        <v>Assumptions</v>
      </c>
      <c r="E17" s="287"/>
      <c r="F17" s="287"/>
      <c r="G17" s="287"/>
      <c r="H17" s="287"/>
      <c r="I17" s="287"/>
      <c r="J17" s="287"/>
      <c r="K17" s="287"/>
      <c r="L17" s="287"/>
      <c r="M17" s="287"/>
      <c r="N17" s="287"/>
      <c r="O17" s="287"/>
      <c r="P17" s="287"/>
      <c r="Q17" s="255">
        <v>19</v>
      </c>
    </row>
    <row r="18" spans="2:17" ht="11.25" x14ac:dyDescent="0.15">
      <c r="D18" s="285" t="s">
        <v>530</v>
      </c>
      <c r="E18" s="285"/>
      <c r="F18" s="283" t="str">
        <f>TS_Ass_SSC!C9</f>
        <v>Time Series Assumptions</v>
      </c>
      <c r="G18" s="283"/>
      <c r="H18" s="283"/>
      <c r="I18" s="283"/>
      <c r="J18" s="283"/>
      <c r="K18" s="283"/>
      <c r="L18" s="283"/>
      <c r="M18" s="283"/>
      <c r="N18" s="283"/>
      <c r="O18" s="283"/>
      <c r="P18" s="283"/>
      <c r="Q18" s="256">
        <v>20</v>
      </c>
    </row>
    <row r="19" spans="2:17" outlineLevel="1" x14ac:dyDescent="0.15">
      <c r="F19" s="281" t="s">
        <v>209</v>
      </c>
      <c r="G19" s="281"/>
      <c r="H19" s="282" t="str">
        <f>TS_BA!B1</f>
        <v>Time Series Assumptions</v>
      </c>
      <c r="I19" s="282"/>
      <c r="J19" s="282"/>
      <c r="K19" s="282"/>
      <c r="L19" s="282"/>
      <c r="M19" s="282"/>
      <c r="N19" s="282"/>
      <c r="O19" s="282"/>
      <c r="P19" s="282"/>
      <c r="Q19" s="257">
        <v>21</v>
      </c>
    </row>
    <row r="20" spans="2:17" ht="11.25" x14ac:dyDescent="0.15">
      <c r="D20" s="285" t="s">
        <v>532</v>
      </c>
      <c r="E20" s="285"/>
      <c r="F20" s="283" t="str">
        <f>Hist_Ass_SSC!C9</f>
        <v>Historical Assumptions</v>
      </c>
      <c r="G20" s="283"/>
      <c r="H20" s="283"/>
      <c r="I20" s="283"/>
      <c r="J20" s="283"/>
      <c r="K20" s="283"/>
      <c r="L20" s="283"/>
      <c r="M20" s="283"/>
      <c r="N20" s="283"/>
      <c r="O20" s="283"/>
      <c r="P20" s="283"/>
      <c r="Q20" s="256">
        <v>22</v>
      </c>
    </row>
    <row r="21" spans="2:17" outlineLevel="1" x14ac:dyDescent="0.15">
      <c r="F21" s="281" t="s">
        <v>209</v>
      </c>
      <c r="G21" s="281"/>
      <c r="H21" s="282" t="str">
        <f>IS_Hist_TA!B1</f>
        <v>Income Statement - Historical Assumptions</v>
      </c>
      <c r="I21" s="282"/>
      <c r="J21" s="282"/>
      <c r="K21" s="282"/>
      <c r="L21" s="282"/>
      <c r="M21" s="282"/>
      <c r="N21" s="282"/>
      <c r="O21" s="282"/>
      <c r="P21" s="282"/>
      <c r="Q21" s="257">
        <v>23</v>
      </c>
    </row>
    <row r="22" spans="2:17" outlineLevel="1" x14ac:dyDescent="0.15">
      <c r="F22" s="281" t="s">
        <v>210</v>
      </c>
      <c r="G22" s="281"/>
      <c r="H22" s="282" t="str">
        <f>BS_Hist_TA!B1</f>
        <v>Balance Sheet - Historical Assumptions</v>
      </c>
      <c r="I22" s="282"/>
      <c r="J22" s="282"/>
      <c r="K22" s="282"/>
      <c r="L22" s="282"/>
      <c r="M22" s="282"/>
      <c r="N22" s="282"/>
      <c r="O22" s="282"/>
      <c r="P22" s="282"/>
      <c r="Q22" s="257">
        <v>24</v>
      </c>
    </row>
    <row r="23" spans="2:17" outlineLevel="1" x14ac:dyDescent="0.15">
      <c r="F23" s="281" t="s">
        <v>211</v>
      </c>
      <c r="G23" s="281"/>
      <c r="H23" s="282" t="str">
        <f>CFS_Hist_TA!B1</f>
        <v>Cash Flow Statements - Historical Assumptions</v>
      </c>
      <c r="I23" s="282"/>
      <c r="J23" s="282"/>
      <c r="K23" s="282"/>
      <c r="L23" s="282"/>
      <c r="M23" s="282"/>
      <c r="N23" s="282"/>
      <c r="O23" s="282"/>
      <c r="P23" s="282"/>
      <c r="Q23" s="257">
        <v>26</v>
      </c>
    </row>
    <row r="24" spans="2:17" ht="11.25" x14ac:dyDescent="0.15">
      <c r="D24" s="285" t="s">
        <v>546</v>
      </c>
      <c r="E24" s="285"/>
      <c r="F24" s="283" t="str">
        <f>Fcast_Ass_SSC!C9</f>
        <v>Forecast Assumptions</v>
      </c>
      <c r="G24" s="283"/>
      <c r="H24" s="283"/>
      <c r="I24" s="283"/>
      <c r="J24" s="283"/>
      <c r="K24" s="283"/>
      <c r="L24" s="283"/>
      <c r="M24" s="283"/>
      <c r="N24" s="283"/>
      <c r="O24" s="283"/>
      <c r="P24" s="283"/>
      <c r="Q24" s="256">
        <v>28</v>
      </c>
    </row>
    <row r="25" spans="2:17" outlineLevel="1" x14ac:dyDescent="0.15">
      <c r="F25" s="281" t="s">
        <v>209</v>
      </c>
      <c r="G25" s="281"/>
      <c r="H25" s="282" t="str">
        <f>Fcast_TA!B1</f>
        <v>Forecast Assumptions</v>
      </c>
      <c r="I25" s="282"/>
      <c r="J25" s="282"/>
      <c r="K25" s="282"/>
      <c r="L25" s="282"/>
      <c r="M25" s="282"/>
      <c r="N25" s="282"/>
      <c r="O25" s="282"/>
      <c r="P25" s="282"/>
      <c r="Q25" s="257">
        <v>29</v>
      </c>
    </row>
    <row r="26" spans="2:17" outlineLevel="1" x14ac:dyDescent="0.15">
      <c r="H26" s="104" t="s">
        <v>217</v>
      </c>
      <c r="I26" s="284" t="str">
        <f>TOC_Hdg_5</f>
        <v>Operational - Assumptions</v>
      </c>
      <c r="J26" s="284"/>
      <c r="K26" s="284"/>
      <c r="L26" s="284"/>
      <c r="M26" s="284"/>
      <c r="N26" s="284"/>
      <c r="O26" s="284"/>
      <c r="P26" s="284"/>
      <c r="Q26" s="104" t="s">
        <v>217</v>
      </c>
    </row>
    <row r="27" spans="2:17" outlineLevel="1" x14ac:dyDescent="0.15">
      <c r="H27" s="104" t="s">
        <v>217</v>
      </c>
      <c r="I27" s="284" t="str">
        <f>TOC_Hdg_9</f>
        <v>Working Capital - Assumptions</v>
      </c>
      <c r="J27" s="284"/>
      <c r="K27" s="284"/>
      <c r="L27" s="284"/>
      <c r="M27" s="284"/>
      <c r="N27" s="284"/>
      <c r="O27" s="284"/>
      <c r="P27" s="284"/>
      <c r="Q27" s="104" t="s">
        <v>217</v>
      </c>
    </row>
    <row r="28" spans="2:17" outlineLevel="1" x14ac:dyDescent="0.15">
      <c r="H28" s="104" t="s">
        <v>217</v>
      </c>
      <c r="I28" s="284" t="str">
        <f>TOC_Hdg_10</f>
        <v>Assets - Assumptions</v>
      </c>
      <c r="J28" s="284"/>
      <c r="K28" s="284"/>
      <c r="L28" s="284"/>
      <c r="M28" s="284"/>
      <c r="N28" s="284"/>
      <c r="O28" s="284"/>
      <c r="P28" s="284"/>
      <c r="Q28" s="104" t="s">
        <v>217</v>
      </c>
    </row>
    <row r="29" spans="2:17" outlineLevel="1" x14ac:dyDescent="0.15">
      <c r="H29" s="104" t="s">
        <v>217</v>
      </c>
      <c r="I29" s="284" t="str">
        <f>TOC_Hdg_11</f>
        <v>Capital - Assumptions</v>
      </c>
      <c r="J29" s="284"/>
      <c r="K29" s="284"/>
      <c r="L29" s="284"/>
      <c r="M29" s="284"/>
      <c r="N29" s="284"/>
      <c r="O29" s="284"/>
      <c r="P29" s="284"/>
      <c r="Q29" s="104" t="s">
        <v>217</v>
      </c>
    </row>
    <row r="30" spans="2:17" outlineLevel="1" x14ac:dyDescent="0.15">
      <c r="H30" s="104" t="s">
        <v>217</v>
      </c>
      <c r="I30" s="284" t="str">
        <f>TOC_Hdg_12</f>
        <v>Taxation - Assumptions</v>
      </c>
      <c r="J30" s="284"/>
      <c r="K30" s="284"/>
      <c r="L30" s="284"/>
      <c r="M30" s="284"/>
      <c r="N30" s="284"/>
      <c r="O30" s="284"/>
      <c r="P30" s="284"/>
      <c r="Q30" s="104" t="s">
        <v>217</v>
      </c>
    </row>
    <row r="31" spans="2:17" outlineLevel="1" x14ac:dyDescent="0.15">
      <c r="H31" s="104" t="s">
        <v>217</v>
      </c>
      <c r="I31" s="284" t="str">
        <f>TOC_Hdg_13</f>
        <v>Other Balance Sheet Items - Assumptions</v>
      </c>
      <c r="J31" s="284"/>
      <c r="K31" s="284"/>
      <c r="L31" s="284"/>
      <c r="M31" s="284"/>
      <c r="N31" s="284"/>
      <c r="O31" s="284"/>
      <c r="P31" s="284"/>
      <c r="Q31" s="104" t="s">
        <v>217</v>
      </c>
    </row>
    <row r="32" spans="2:17" ht="19.149999999999999" customHeight="1" x14ac:dyDescent="0.15">
      <c r="B32" s="286">
        <v>3</v>
      </c>
      <c r="C32" s="286"/>
      <c r="D32" s="287" t="str">
        <f>Outputs_SC!C9</f>
        <v>Outputs</v>
      </c>
      <c r="E32" s="287"/>
      <c r="F32" s="287"/>
      <c r="G32" s="287"/>
      <c r="H32" s="287"/>
      <c r="I32" s="287"/>
      <c r="J32" s="287"/>
      <c r="K32" s="287"/>
      <c r="L32" s="287"/>
      <c r="M32" s="287"/>
      <c r="N32" s="287"/>
      <c r="O32" s="287"/>
      <c r="P32" s="287"/>
      <c r="Q32" s="255">
        <v>34</v>
      </c>
    </row>
    <row r="33" spans="4:17" ht="11.25" x14ac:dyDescent="0.15">
      <c r="D33" s="285" t="s">
        <v>534</v>
      </c>
      <c r="E33" s="285"/>
      <c r="F33" s="283" t="str">
        <f>Hist_OP_SSC!C9</f>
        <v>Historical Outputs</v>
      </c>
      <c r="G33" s="283"/>
      <c r="H33" s="283"/>
      <c r="I33" s="283"/>
      <c r="J33" s="283"/>
      <c r="K33" s="283"/>
      <c r="L33" s="283"/>
      <c r="M33" s="283"/>
      <c r="N33" s="283"/>
      <c r="O33" s="283"/>
      <c r="P33" s="283"/>
      <c r="Q33" s="256">
        <v>35</v>
      </c>
    </row>
    <row r="34" spans="4:17" outlineLevel="1" x14ac:dyDescent="0.15">
      <c r="F34" s="281" t="s">
        <v>209</v>
      </c>
      <c r="G34" s="281"/>
      <c r="H34" s="282" t="str">
        <f>IS_Hist_TO!B1</f>
        <v>Income Statement - Historical Outputs</v>
      </c>
      <c r="I34" s="282"/>
      <c r="J34" s="282"/>
      <c r="K34" s="282"/>
      <c r="L34" s="282"/>
      <c r="M34" s="282"/>
      <c r="N34" s="282"/>
      <c r="O34" s="282"/>
      <c r="P34" s="282"/>
      <c r="Q34" s="257">
        <v>36</v>
      </c>
    </row>
    <row r="35" spans="4:17" outlineLevel="1" x14ac:dyDescent="0.15">
      <c r="F35" s="281" t="s">
        <v>210</v>
      </c>
      <c r="G35" s="281"/>
      <c r="H35" s="282" t="str">
        <f>BS_Hist_TO!B1</f>
        <v>Balance Sheet - Historical Outputs</v>
      </c>
      <c r="I35" s="282"/>
      <c r="J35" s="282"/>
      <c r="K35" s="282"/>
      <c r="L35" s="282"/>
      <c r="M35" s="282"/>
      <c r="N35" s="282"/>
      <c r="O35" s="282"/>
      <c r="P35" s="282"/>
      <c r="Q35" s="257">
        <v>37</v>
      </c>
    </row>
    <row r="36" spans="4:17" outlineLevel="1" x14ac:dyDescent="0.15">
      <c r="F36" s="281" t="s">
        <v>211</v>
      </c>
      <c r="G36" s="281"/>
      <c r="H36" s="282" t="str">
        <f>CFS_Hist_TO!B1</f>
        <v>Cash Flow Statement - Historical Outputs</v>
      </c>
      <c r="I36" s="282"/>
      <c r="J36" s="282"/>
      <c r="K36" s="282"/>
      <c r="L36" s="282"/>
      <c r="M36" s="282"/>
      <c r="N36" s="282"/>
      <c r="O36" s="282"/>
      <c r="P36" s="282"/>
      <c r="Q36" s="257">
        <v>39</v>
      </c>
    </row>
    <row r="37" spans="4:17" ht="11.25" x14ac:dyDescent="0.15">
      <c r="D37" s="285" t="s">
        <v>536</v>
      </c>
      <c r="E37" s="285"/>
      <c r="F37" s="283" t="str">
        <f>Fcast_OP_SSC!C9</f>
        <v>Forecast Outputs</v>
      </c>
      <c r="G37" s="283"/>
      <c r="H37" s="283"/>
      <c r="I37" s="283"/>
      <c r="J37" s="283"/>
      <c r="K37" s="283"/>
      <c r="L37" s="283"/>
      <c r="M37" s="283"/>
      <c r="N37" s="283"/>
      <c r="O37" s="283"/>
      <c r="P37" s="283"/>
      <c r="Q37" s="256">
        <v>41</v>
      </c>
    </row>
    <row r="38" spans="4:17" outlineLevel="1" x14ac:dyDescent="0.15">
      <c r="F38" s="281" t="s">
        <v>209</v>
      </c>
      <c r="G38" s="281"/>
      <c r="H38" s="282" t="str">
        <f>Fcast_OP_TO!B1</f>
        <v>Forecast Outputs</v>
      </c>
      <c r="I38" s="282"/>
      <c r="J38" s="282"/>
      <c r="K38" s="282"/>
      <c r="L38" s="282"/>
      <c r="M38" s="282"/>
      <c r="N38" s="282"/>
      <c r="O38" s="282"/>
      <c r="P38" s="282"/>
      <c r="Q38" s="257">
        <v>42</v>
      </c>
    </row>
    <row r="39" spans="4:17" outlineLevel="1" x14ac:dyDescent="0.15">
      <c r="H39" s="104" t="s">
        <v>217</v>
      </c>
      <c r="I39" s="284" t="str">
        <f>TOC_Hdg_21</f>
        <v>Operational - Outputs</v>
      </c>
      <c r="J39" s="284"/>
      <c r="K39" s="284"/>
      <c r="L39" s="284"/>
      <c r="M39" s="284"/>
      <c r="N39" s="284"/>
      <c r="O39" s="284"/>
      <c r="P39" s="284"/>
      <c r="Q39" s="104" t="s">
        <v>217</v>
      </c>
    </row>
    <row r="40" spans="4:17" outlineLevel="1" x14ac:dyDescent="0.15">
      <c r="H40" s="104" t="s">
        <v>217</v>
      </c>
      <c r="I40" s="284" t="str">
        <f>TOC_Hdg_24</f>
        <v>Working Capital - Outputs</v>
      </c>
      <c r="J40" s="284"/>
      <c r="K40" s="284"/>
      <c r="L40" s="284"/>
      <c r="M40" s="284"/>
      <c r="N40" s="284"/>
      <c r="O40" s="284"/>
      <c r="P40" s="284"/>
      <c r="Q40" s="104" t="s">
        <v>217</v>
      </c>
    </row>
    <row r="41" spans="4:17" outlineLevel="1" x14ac:dyDescent="0.15">
      <c r="H41" s="104" t="s">
        <v>217</v>
      </c>
      <c r="I41" s="284" t="str">
        <f>TOC_Hdg_17</f>
        <v>Assets - Outputs</v>
      </c>
      <c r="J41" s="284"/>
      <c r="K41" s="284"/>
      <c r="L41" s="284"/>
      <c r="M41" s="284"/>
      <c r="N41" s="284"/>
      <c r="O41" s="284"/>
      <c r="P41" s="284"/>
      <c r="Q41" s="104" t="s">
        <v>217</v>
      </c>
    </row>
    <row r="42" spans="4:17" outlineLevel="1" x14ac:dyDescent="0.15">
      <c r="H42" s="104" t="s">
        <v>217</v>
      </c>
      <c r="I42" s="284" t="str">
        <f>TOC_Hdg_15</f>
        <v>Capital - Outputs</v>
      </c>
      <c r="J42" s="284"/>
      <c r="K42" s="284"/>
      <c r="L42" s="284"/>
      <c r="M42" s="284"/>
      <c r="N42" s="284"/>
      <c r="O42" s="284"/>
      <c r="P42" s="284"/>
      <c r="Q42" s="104" t="s">
        <v>217</v>
      </c>
    </row>
    <row r="43" spans="4:17" outlineLevel="1" x14ac:dyDescent="0.15">
      <c r="H43" s="104" t="s">
        <v>217</v>
      </c>
      <c r="I43" s="284" t="str">
        <f>TOC_Hdg_32</f>
        <v>Taxation - Output Summary</v>
      </c>
      <c r="J43" s="284"/>
      <c r="K43" s="284"/>
      <c r="L43" s="284"/>
      <c r="M43" s="284"/>
      <c r="N43" s="284"/>
      <c r="O43" s="284"/>
      <c r="P43" s="284"/>
      <c r="Q43" s="104" t="s">
        <v>217</v>
      </c>
    </row>
    <row r="44" spans="4:17" outlineLevel="1" x14ac:dyDescent="0.15">
      <c r="H44" s="104" t="s">
        <v>217</v>
      </c>
      <c r="I44" s="284" t="str">
        <f>TOC_Hdg_16</f>
        <v>Other Balance Sheet Items - Outputs</v>
      </c>
      <c r="J44" s="284"/>
      <c r="K44" s="284"/>
      <c r="L44" s="284"/>
      <c r="M44" s="284"/>
      <c r="N44" s="284"/>
      <c r="O44" s="284"/>
      <c r="P44" s="284"/>
      <c r="Q44" s="104" t="s">
        <v>217</v>
      </c>
    </row>
    <row r="45" spans="4:17" outlineLevel="1" x14ac:dyDescent="0.15">
      <c r="F45" s="281" t="s">
        <v>210</v>
      </c>
      <c r="G45" s="281"/>
      <c r="H45" s="282" t="str">
        <f>IS_Fcast_TO!B1</f>
        <v>Income Statement - Forecast Outputs</v>
      </c>
      <c r="I45" s="282"/>
      <c r="J45" s="282"/>
      <c r="K45" s="282"/>
      <c r="L45" s="282"/>
      <c r="M45" s="282"/>
      <c r="N45" s="282"/>
      <c r="O45" s="282"/>
      <c r="P45" s="282"/>
      <c r="Q45" s="257">
        <v>49</v>
      </c>
    </row>
    <row r="46" spans="4:17" outlineLevel="1" x14ac:dyDescent="0.15">
      <c r="F46" s="281" t="s">
        <v>211</v>
      </c>
      <c r="G46" s="281"/>
      <c r="H46" s="282" t="str">
        <f>BS_Fcast_TO!B1</f>
        <v>Balance Sheet - Forecast Outputs</v>
      </c>
      <c r="I46" s="282"/>
      <c r="J46" s="282"/>
      <c r="K46" s="282"/>
      <c r="L46" s="282"/>
      <c r="M46" s="282"/>
      <c r="N46" s="282"/>
      <c r="O46" s="282"/>
      <c r="P46" s="282"/>
      <c r="Q46" s="257">
        <v>50</v>
      </c>
    </row>
    <row r="47" spans="4:17" outlineLevel="1" x14ac:dyDescent="0.15">
      <c r="F47" s="281" t="s">
        <v>574</v>
      </c>
      <c r="G47" s="281"/>
      <c r="H47" s="282" t="str">
        <f>CFS_Fcast_TO!B1</f>
        <v>Cash Flow Statement - Forecast Outputs</v>
      </c>
      <c r="I47" s="282"/>
      <c r="J47" s="282"/>
      <c r="K47" s="282"/>
      <c r="L47" s="282"/>
      <c r="M47" s="282"/>
      <c r="N47" s="282"/>
      <c r="O47" s="282"/>
      <c r="P47" s="282"/>
      <c r="Q47" s="257">
        <v>52</v>
      </c>
    </row>
    <row r="48" spans="4:17" ht="11.25" x14ac:dyDescent="0.15">
      <c r="D48" s="285" t="s">
        <v>538</v>
      </c>
      <c r="E48" s="285"/>
      <c r="F48" s="283" t="str">
        <f>All_Pers_OP_SSC!C9</f>
        <v>All Periods Outputs</v>
      </c>
      <c r="G48" s="283"/>
      <c r="H48" s="283"/>
      <c r="I48" s="283"/>
      <c r="J48" s="283"/>
      <c r="K48" s="283"/>
      <c r="L48" s="283"/>
      <c r="M48" s="283"/>
      <c r="N48" s="283"/>
      <c r="O48" s="283"/>
      <c r="P48" s="283"/>
      <c r="Q48" s="256">
        <v>56</v>
      </c>
    </row>
    <row r="49" spans="2:17" outlineLevel="1" x14ac:dyDescent="0.15">
      <c r="F49" s="281" t="s">
        <v>209</v>
      </c>
      <c r="G49" s="281"/>
      <c r="H49" s="282" t="str">
        <f>IS_All_TO!B1</f>
        <v>Income Statement - All Periods Outputs</v>
      </c>
      <c r="I49" s="282"/>
      <c r="J49" s="282"/>
      <c r="K49" s="282"/>
      <c r="L49" s="282"/>
      <c r="M49" s="282"/>
      <c r="N49" s="282"/>
      <c r="O49" s="282"/>
      <c r="P49" s="282"/>
      <c r="Q49" s="257">
        <v>57</v>
      </c>
    </row>
    <row r="50" spans="2:17" outlineLevel="1" x14ac:dyDescent="0.15">
      <c r="F50" s="281" t="s">
        <v>210</v>
      </c>
      <c r="G50" s="281"/>
      <c r="H50" s="282" t="str">
        <f>BS_All_TO!B1</f>
        <v>Balance Sheet - All Periods Outputs</v>
      </c>
      <c r="I50" s="282"/>
      <c r="J50" s="282"/>
      <c r="K50" s="282"/>
      <c r="L50" s="282"/>
      <c r="M50" s="282"/>
      <c r="N50" s="282"/>
      <c r="O50" s="282"/>
      <c r="P50" s="282"/>
      <c r="Q50" s="257">
        <v>58</v>
      </c>
    </row>
    <row r="51" spans="2:17" outlineLevel="1" x14ac:dyDescent="0.15">
      <c r="F51" s="281" t="s">
        <v>211</v>
      </c>
      <c r="G51" s="281"/>
      <c r="H51" s="282" t="str">
        <f>CFS_All_TO!B1</f>
        <v>Cash Flow Statement - All Periods Outputs</v>
      </c>
      <c r="I51" s="282"/>
      <c r="J51" s="282"/>
      <c r="K51" s="282"/>
      <c r="L51" s="282"/>
      <c r="M51" s="282"/>
      <c r="N51" s="282"/>
      <c r="O51" s="282"/>
      <c r="P51" s="282"/>
      <c r="Q51" s="257">
        <v>60</v>
      </c>
    </row>
    <row r="52" spans="2:17" ht="11.25" x14ac:dyDescent="0.15">
      <c r="D52" s="285" t="s">
        <v>571</v>
      </c>
      <c r="E52" s="285"/>
      <c r="F52" s="283" t="str">
        <f>Dashboards_SSC!C9</f>
        <v>Dashboard Outputs</v>
      </c>
      <c r="G52" s="283"/>
      <c r="H52" s="283"/>
      <c r="I52" s="283"/>
      <c r="J52" s="283"/>
      <c r="K52" s="283"/>
      <c r="L52" s="283"/>
      <c r="M52" s="283"/>
      <c r="N52" s="283"/>
      <c r="O52" s="283"/>
      <c r="P52" s="283"/>
      <c r="Q52" s="256">
        <v>62</v>
      </c>
    </row>
    <row r="53" spans="2:17" outlineLevel="1" x14ac:dyDescent="0.15">
      <c r="F53" s="281" t="s">
        <v>209</v>
      </c>
      <c r="G53" s="281"/>
      <c r="H53" s="282" t="str">
        <f>BS_Sum_P_MS!B1</f>
        <v>Business Planning Summary</v>
      </c>
      <c r="I53" s="282"/>
      <c r="J53" s="282"/>
      <c r="K53" s="282"/>
      <c r="L53" s="282"/>
      <c r="M53" s="282"/>
      <c r="N53" s="282"/>
      <c r="O53" s="282"/>
      <c r="P53" s="282"/>
      <c r="Q53" s="257">
        <v>63</v>
      </c>
    </row>
    <row r="54" spans="2:17" ht="19.149999999999999" customHeight="1" x14ac:dyDescent="0.15">
      <c r="B54" s="286">
        <v>4</v>
      </c>
      <c r="C54" s="286"/>
      <c r="D54" s="287" t="str">
        <f>Appendices_SC!C9</f>
        <v>Appendices</v>
      </c>
      <c r="E54" s="287"/>
      <c r="F54" s="287"/>
      <c r="G54" s="287"/>
      <c r="H54" s="287"/>
      <c r="I54" s="287"/>
      <c r="J54" s="287"/>
      <c r="K54" s="287"/>
      <c r="L54" s="287"/>
      <c r="M54" s="287"/>
      <c r="N54" s="287"/>
      <c r="O54" s="287"/>
      <c r="P54" s="287"/>
      <c r="Q54" s="255">
        <v>64</v>
      </c>
    </row>
    <row r="55" spans="2:17" ht="11.25" x14ac:dyDescent="0.15">
      <c r="D55" s="285" t="s">
        <v>540</v>
      </c>
      <c r="E55" s="285"/>
      <c r="F55" s="283" t="str">
        <f>Checks_SSC!C9</f>
        <v>Checks</v>
      </c>
      <c r="G55" s="283"/>
      <c r="H55" s="283"/>
      <c r="I55" s="283"/>
      <c r="J55" s="283"/>
      <c r="K55" s="283"/>
      <c r="L55" s="283"/>
      <c r="M55" s="283"/>
      <c r="N55" s="283"/>
      <c r="O55" s="283"/>
      <c r="P55" s="283"/>
      <c r="Q55" s="256">
        <v>65</v>
      </c>
    </row>
    <row r="56" spans="2:17" outlineLevel="1" x14ac:dyDescent="0.15">
      <c r="F56" s="281" t="s">
        <v>209</v>
      </c>
      <c r="G56" s="281"/>
      <c r="H56" s="282" t="str">
        <f>Checks_BO!B1</f>
        <v>Checks</v>
      </c>
      <c r="I56" s="282"/>
      <c r="J56" s="282"/>
      <c r="K56" s="282"/>
      <c r="L56" s="282"/>
      <c r="M56" s="282"/>
      <c r="N56" s="282"/>
      <c r="O56" s="282"/>
      <c r="P56" s="282"/>
      <c r="Q56" s="257">
        <v>66</v>
      </c>
    </row>
    <row r="57" spans="2:17" outlineLevel="1" x14ac:dyDescent="0.15">
      <c r="H57" s="104" t="s">
        <v>217</v>
      </c>
      <c r="I57" s="284" t="str">
        <f>TOC_Hdg_6</f>
        <v>Error Checks</v>
      </c>
      <c r="J57" s="284"/>
      <c r="K57" s="284"/>
      <c r="L57" s="284"/>
      <c r="M57" s="284"/>
      <c r="N57" s="284"/>
      <c r="O57" s="284"/>
      <c r="P57" s="284"/>
      <c r="Q57" s="104" t="s">
        <v>217</v>
      </c>
    </row>
    <row r="58" spans="2:17" outlineLevel="1" x14ac:dyDescent="0.15">
      <c r="H58" s="104" t="s">
        <v>217</v>
      </c>
      <c r="I58" s="284" t="str">
        <f>TOC_Hdg_7</f>
        <v>Sensitivity Checks</v>
      </c>
      <c r="J58" s="284"/>
      <c r="K58" s="284"/>
      <c r="L58" s="284"/>
      <c r="M58" s="284"/>
      <c r="N58" s="284"/>
      <c r="O58" s="284"/>
      <c r="P58" s="284"/>
      <c r="Q58" s="104" t="s">
        <v>217</v>
      </c>
    </row>
    <row r="59" spans="2:17" outlineLevel="1" x14ac:dyDescent="0.15">
      <c r="H59" s="104" t="s">
        <v>217</v>
      </c>
      <c r="I59" s="284" t="str">
        <f>TOC_Hdg_8</f>
        <v>Alert Checks</v>
      </c>
      <c r="J59" s="284"/>
      <c r="K59" s="284"/>
      <c r="L59" s="284"/>
      <c r="M59" s="284"/>
      <c r="N59" s="284"/>
      <c r="O59" s="284"/>
      <c r="P59" s="284"/>
      <c r="Q59" s="104" t="s">
        <v>217</v>
      </c>
    </row>
    <row r="60" spans="2:17" ht="11.25" x14ac:dyDescent="0.15">
      <c r="D60" s="285" t="s">
        <v>542</v>
      </c>
      <c r="E60" s="285"/>
      <c r="F60" s="283" t="str">
        <f>LU_SSC!C9</f>
        <v>Lookup Tables</v>
      </c>
      <c r="G60" s="283"/>
      <c r="H60" s="283"/>
      <c r="I60" s="283"/>
      <c r="J60" s="283"/>
      <c r="K60" s="283"/>
      <c r="L60" s="283"/>
      <c r="M60" s="283"/>
      <c r="N60" s="283"/>
      <c r="O60" s="283"/>
      <c r="P60" s="283"/>
      <c r="Q60" s="256">
        <v>69</v>
      </c>
    </row>
    <row r="61" spans="2:17" outlineLevel="1" x14ac:dyDescent="0.15">
      <c r="F61" s="281" t="s">
        <v>209</v>
      </c>
      <c r="G61" s="281"/>
      <c r="H61" s="282" t="str">
        <f>TS_LU!B1</f>
        <v>Time Series Lookup Tables</v>
      </c>
      <c r="I61" s="282"/>
      <c r="J61" s="282"/>
      <c r="K61" s="282"/>
      <c r="L61" s="282"/>
      <c r="M61" s="282"/>
      <c r="N61" s="282"/>
      <c r="O61" s="282"/>
      <c r="P61" s="282"/>
      <c r="Q61" s="257">
        <v>70</v>
      </c>
    </row>
    <row r="62" spans="2:17" outlineLevel="1" x14ac:dyDescent="0.15">
      <c r="F62" s="281" t="s">
        <v>210</v>
      </c>
      <c r="G62" s="281"/>
      <c r="H62" s="282" t="str">
        <f>Capital_LU!B1</f>
        <v>Capital - Lookup Tables</v>
      </c>
      <c r="I62" s="282"/>
      <c r="J62" s="282"/>
      <c r="K62" s="282"/>
      <c r="L62" s="282"/>
      <c r="M62" s="282"/>
      <c r="N62" s="282"/>
      <c r="O62" s="282"/>
      <c r="P62" s="282"/>
      <c r="Q62" s="257">
        <v>73</v>
      </c>
    </row>
    <row r="63" spans="2:17" outlineLevel="1" x14ac:dyDescent="0.15">
      <c r="F63" s="281" t="s">
        <v>211</v>
      </c>
      <c r="G63" s="281"/>
      <c r="H63" s="282" t="str">
        <f>Dashboards_LU!B1</f>
        <v>Dashboards - Lookup Tables</v>
      </c>
      <c r="I63" s="282"/>
      <c r="J63" s="282"/>
      <c r="K63" s="282"/>
      <c r="L63" s="282"/>
      <c r="M63" s="282"/>
      <c r="N63" s="282"/>
      <c r="O63" s="282"/>
      <c r="P63" s="282"/>
      <c r="Q63" s="257">
        <v>74</v>
      </c>
    </row>
    <row r="65" spans="2:17" ht="16.899999999999999" customHeight="1" x14ac:dyDescent="0.15">
      <c r="B65" s="33" t="s">
        <v>593</v>
      </c>
      <c r="Q65" s="258">
        <v>74</v>
      </c>
    </row>
  </sheetData>
  <mergeCells count="95">
    <mergeCell ref="D60:E60"/>
    <mergeCell ref="F60:P60"/>
    <mergeCell ref="F63:G63"/>
    <mergeCell ref="H63:P63"/>
    <mergeCell ref="D55:E55"/>
    <mergeCell ref="F55:P55"/>
    <mergeCell ref="F56:G56"/>
    <mergeCell ref="H56:P56"/>
    <mergeCell ref="I59:P59"/>
    <mergeCell ref="I57:P57"/>
    <mergeCell ref="I58:P58"/>
    <mergeCell ref="F62:G62"/>
    <mergeCell ref="H62:P62"/>
    <mergeCell ref="D52:E52"/>
    <mergeCell ref="F52:P52"/>
    <mergeCell ref="F53:G53"/>
    <mergeCell ref="H53:P53"/>
    <mergeCell ref="B54:C54"/>
    <mergeCell ref="D54:P54"/>
    <mergeCell ref="F47:G47"/>
    <mergeCell ref="H47:P47"/>
    <mergeCell ref="D48:E48"/>
    <mergeCell ref="F48:P48"/>
    <mergeCell ref="F51:G51"/>
    <mergeCell ref="H51:P51"/>
    <mergeCell ref="F50:G50"/>
    <mergeCell ref="H50:P50"/>
    <mergeCell ref="B17:C17"/>
    <mergeCell ref="D17:P17"/>
    <mergeCell ref="D18:E18"/>
    <mergeCell ref="F18:P18"/>
    <mergeCell ref="D37:E37"/>
    <mergeCell ref="F37:P37"/>
    <mergeCell ref="H23:P23"/>
    <mergeCell ref="I29:P29"/>
    <mergeCell ref="I30:P30"/>
    <mergeCell ref="I31:P31"/>
    <mergeCell ref="B32:C32"/>
    <mergeCell ref="D32:P32"/>
    <mergeCell ref="D24:E24"/>
    <mergeCell ref="F24:P24"/>
    <mergeCell ref="F25:G25"/>
    <mergeCell ref="H25:P25"/>
    <mergeCell ref="F10:G10"/>
    <mergeCell ref="H10:P10"/>
    <mergeCell ref="D12:E12"/>
    <mergeCell ref="I14:P14"/>
    <mergeCell ref="I15:P15"/>
    <mergeCell ref="F11:G11"/>
    <mergeCell ref="H11:P11"/>
    <mergeCell ref="B8:C8"/>
    <mergeCell ref="D8:P8"/>
    <mergeCell ref="D9:E9"/>
    <mergeCell ref="F9:P9"/>
    <mergeCell ref="F49:G49"/>
    <mergeCell ref="H49:P49"/>
    <mergeCell ref="I39:P39"/>
    <mergeCell ref="I40:P40"/>
    <mergeCell ref="F46:G46"/>
    <mergeCell ref="I41:P41"/>
    <mergeCell ref="I42:P42"/>
    <mergeCell ref="I43:P43"/>
    <mergeCell ref="F34:G34"/>
    <mergeCell ref="H34:P34"/>
    <mergeCell ref="F35:G35"/>
    <mergeCell ref="H35:P35"/>
    <mergeCell ref="I28:P28"/>
    <mergeCell ref="I26:P26"/>
    <mergeCell ref="I27:P27"/>
    <mergeCell ref="H46:P46"/>
    <mergeCell ref="F45:G45"/>
    <mergeCell ref="H45:P45"/>
    <mergeCell ref="I44:P44"/>
    <mergeCell ref="D33:E33"/>
    <mergeCell ref="F33:P33"/>
    <mergeCell ref="F36:G36"/>
    <mergeCell ref="H36:P36"/>
    <mergeCell ref="F38:G38"/>
    <mergeCell ref="H38:P38"/>
    <mergeCell ref="B3:I3"/>
    <mergeCell ref="F61:G61"/>
    <mergeCell ref="H61:P61"/>
    <mergeCell ref="F12:P12"/>
    <mergeCell ref="F13:G13"/>
    <mergeCell ref="H13:P13"/>
    <mergeCell ref="I16:P16"/>
    <mergeCell ref="F21:G21"/>
    <mergeCell ref="H21:P21"/>
    <mergeCell ref="F19:G19"/>
    <mergeCell ref="H19:P19"/>
    <mergeCell ref="D20:E20"/>
    <mergeCell ref="F20:P20"/>
    <mergeCell ref="F22:G22"/>
    <mergeCell ref="H22:P22"/>
    <mergeCell ref="F23:G23"/>
  </mergeCells>
  <hyperlinks>
    <hyperlink ref="B8" location="HL_Section_cover_sheet_Example" tooltip="Go to Overview" display="HL_Section_cover_sheet_Example" xr:uid="{00000000-0004-0000-0100-000000000000}"/>
    <hyperlink ref="D8" location="HL_Section_cover_sheet_Example" tooltip="Go to Overview" display="HL_Section_cover_sheet_Example" xr:uid="{00000000-0004-0000-0100-000001000000}"/>
    <hyperlink ref="Q8" location="HL_Section_cover_sheet_Example" tooltip="Go to Overview" display="HL_Section_cover_sheet_Example" xr:uid="{00000000-0004-0000-0100-000002000000}"/>
    <hyperlink ref="D9" location="HL_Sheet_Main_3" tooltip="Go to Notes" display="HL_Sheet_Main_3" xr:uid="{00000000-0004-0000-0100-000003000000}"/>
    <hyperlink ref="F9" location="HL_Sheet_Main_3" tooltip="Go to Notes" display="HL_Sheet_Main_3" xr:uid="{00000000-0004-0000-0100-000004000000}"/>
    <hyperlink ref="Q9" location="HL_Sheet_Main_3" tooltip="Go to Notes" display="HL_Sheet_Main_3" xr:uid="{00000000-0004-0000-0100-000005000000}"/>
    <hyperlink ref="F10" location="HL_Sheet_Main" tooltip="Go to Model Notes" display="HL_Sheet_Main" xr:uid="{00000000-0004-0000-0100-000006000000}"/>
    <hyperlink ref="H10" location="HL_Sheet_Main" tooltip="Go to Model Notes" display="HL_Sheet_Main" xr:uid="{00000000-0004-0000-0100-000007000000}"/>
    <hyperlink ref="Q10" location="HL_Sheet_Main" tooltip="Go to Model Notes" display="HL_Sheet_Main" xr:uid="{00000000-0004-0000-0100-000008000000}"/>
    <hyperlink ref="D12" location="HL_Sheet_Main_6" tooltip="Go to Keys" display="HL_Sheet_Main_6" xr:uid="{00000000-0004-0000-0100-000009000000}"/>
    <hyperlink ref="F12" location="HL_Sheet_Main_6" tooltip="Go to Keys" display="HL_Sheet_Main_6" xr:uid="{00000000-0004-0000-0100-00000A000000}"/>
    <hyperlink ref="Q12" location="HL_Sheet_Main_6" tooltip="Go to Keys" display="HL_Sheet_Main_6" xr:uid="{00000000-0004-0000-0100-00000B000000}"/>
    <hyperlink ref="F13" location="HL_Formats_and_Styles_Key_Example" tooltip="Go to Keys" display="HL_Formats_and_Styles_Key_Example" xr:uid="{00000000-0004-0000-0100-00000C000000}"/>
    <hyperlink ref="H13" location="HL_Formats_and_Styles_Key_Example" tooltip="Go to Keys" display="HL_Formats_and_Styles_Key_Example" xr:uid="{00000000-0004-0000-0100-00000D000000}"/>
    <hyperlink ref="Q13" location="HL_Formats_and_Styles_Key_Example" tooltip="Go to Keys" display="HL_Formats_and_Styles_Key_Example" xr:uid="{00000000-0004-0000-0100-00000E000000}"/>
    <hyperlink ref="H14" location="HL_TOC_1" tooltip="Go to Formats &amp; Styles Key" display="HL_TOC_1" xr:uid="{00000000-0004-0000-0100-00000F000000}"/>
    <hyperlink ref="I14" location="HL_TOC_1" tooltip="Go to Formats &amp; Styles Key" display="HL_TOC_1" xr:uid="{00000000-0004-0000-0100-000010000000}"/>
    <hyperlink ref="Q14" location="HL_TOC_1" tooltip="Go to Formats &amp; Styles Key" display="HL_TOC_1" xr:uid="{00000000-0004-0000-0100-000011000000}"/>
    <hyperlink ref="H15" location="HL_TOC_2" tooltip="Go to Sheet Naming Key" display="HL_TOC_2" xr:uid="{00000000-0004-0000-0100-000012000000}"/>
    <hyperlink ref="I15" location="HL_TOC_2" tooltip="Go to Sheet Naming Key" display="HL_TOC_2" xr:uid="{00000000-0004-0000-0100-000013000000}"/>
    <hyperlink ref="Q15" location="HL_TOC_2" tooltip="Go to Sheet Naming Key" display="HL_TOC_2" xr:uid="{00000000-0004-0000-0100-000014000000}"/>
    <hyperlink ref="H16" location="HL_TOC_3" tooltip="Go to Range Naming Key" display="HL_TOC_3" xr:uid="{00000000-0004-0000-0100-000015000000}"/>
    <hyperlink ref="I16" location="HL_TOC_3" tooltip="Go to Range Naming Key" display="HL_TOC_3" xr:uid="{00000000-0004-0000-0100-000016000000}"/>
    <hyperlink ref="Q16" location="HL_TOC_3" tooltip="Go to Range Naming Key" display="HL_TOC_3" xr:uid="{00000000-0004-0000-0100-000017000000}"/>
    <hyperlink ref="F11" location="HL_Sheet_Main_34" tooltip="Go to Standards Illustration Sheet" display="HL_Sheet_Main_34" xr:uid="{00000000-0004-0000-0100-000018000000}"/>
    <hyperlink ref="H11" location="HL_Sheet_Main_34" tooltip="Go to Standards Illustration Sheet" display="HL_Sheet_Main_34" xr:uid="{00000000-0004-0000-0100-000019000000}"/>
    <hyperlink ref="Q11" location="HL_Sheet_Main_34" tooltip="Go to Standards Illustration Sheet" display="HL_Sheet_Main_34" xr:uid="{00000000-0004-0000-0100-00001A000000}"/>
    <hyperlink ref="B17" location="HL_Sheet_Main_11" tooltip="Go to Assumptions" display="HL_Sheet_Main_11" xr:uid="{00000000-0004-0000-0100-00001B000000}"/>
    <hyperlink ref="D17" location="HL_Sheet_Main_11" tooltip="Go to Assumptions" display="HL_Sheet_Main_11" xr:uid="{00000000-0004-0000-0100-00001C000000}"/>
    <hyperlink ref="Q17" location="HL_Sheet_Main_11" tooltip="Go to Assumptions" display="HL_Sheet_Main_11" xr:uid="{00000000-0004-0000-0100-00001D000000}"/>
    <hyperlink ref="D18" location="HL_Sheet_Main_4" tooltip="Go to Time Series Assumptions" display="HL_Sheet_Main_4" xr:uid="{00000000-0004-0000-0100-00001E000000}"/>
    <hyperlink ref="F18" location="HL_Sheet_Main_4" tooltip="Go to Time Series Assumptions" display="HL_Sheet_Main_4" xr:uid="{00000000-0004-0000-0100-00001F000000}"/>
    <hyperlink ref="Q18" location="HL_Sheet_Main_4" tooltip="Go to Time Series Assumptions" display="HL_Sheet_Main_4" xr:uid="{00000000-0004-0000-0100-000020000000}"/>
    <hyperlink ref="F19" location="HL_Blank_sheet_Example" tooltip="Go to Time Series Assumptions" display="HL_Blank_sheet_Example" xr:uid="{00000000-0004-0000-0100-000021000000}"/>
    <hyperlink ref="H19" location="HL_Blank_sheet_Example" tooltip="Go to Time Series Assumptions" display="HL_Blank_sheet_Example" xr:uid="{00000000-0004-0000-0100-000022000000}"/>
    <hyperlink ref="Q19" location="HL_Blank_sheet_Example" tooltip="Go to Time Series Assumptions" display="HL_Blank_sheet_Example" xr:uid="{00000000-0004-0000-0100-000023000000}"/>
    <hyperlink ref="D20" location="HL_Sheet_Main_8" tooltip="Go to Historical Assumptions" display="HL_Sheet_Main_8" xr:uid="{00000000-0004-0000-0100-000024000000}"/>
    <hyperlink ref="F20" location="HL_Sheet_Main_8" tooltip="Go to Historical Assumptions" display="HL_Sheet_Main_8" xr:uid="{00000000-0004-0000-0100-000025000000}"/>
    <hyperlink ref="Q20" location="HL_Sheet_Main_8" tooltip="Go to Historical Assumptions" display="HL_Sheet_Main_8" xr:uid="{00000000-0004-0000-0100-000026000000}"/>
    <hyperlink ref="F21" location="HL_Sheet_Main_21" tooltip="Go to Income Statement - Historical Assumptions" display="HL_Sheet_Main_21" xr:uid="{00000000-0004-0000-0100-000027000000}"/>
    <hyperlink ref="H21" location="HL_Sheet_Main_21" tooltip="Go to Income Statement - Historical Assumptions" display="HL_Sheet_Main_21" xr:uid="{00000000-0004-0000-0100-000028000000}"/>
    <hyperlink ref="Q21" location="HL_Sheet_Main_21" tooltip="Go to Income Statement - Historical Assumptions" display="HL_Sheet_Main_21" xr:uid="{00000000-0004-0000-0100-000029000000}"/>
    <hyperlink ref="F22" location="HL_Sheet_Main_22" tooltip="Go to Balance Sheet - Historical Assumptions" display="HL_Sheet_Main_22" xr:uid="{00000000-0004-0000-0100-00002A000000}"/>
    <hyperlink ref="H22" location="HL_Sheet_Main_22" tooltip="Go to Balance Sheet - Historical Assumptions" display="HL_Sheet_Main_22" xr:uid="{00000000-0004-0000-0100-00002B000000}"/>
    <hyperlink ref="Q22" location="HL_Sheet_Main_22" tooltip="Go to Balance Sheet - Historical Assumptions" display="HL_Sheet_Main_22" xr:uid="{00000000-0004-0000-0100-00002C000000}"/>
    <hyperlink ref="F23" location="HL_Sheet_Main_23" tooltip="Go to Cash Flow Statements - Historical Assumptions" display="HL_Sheet_Main_23" xr:uid="{00000000-0004-0000-0100-00002D000000}"/>
    <hyperlink ref="H23" location="HL_Sheet_Main_23" tooltip="Go to Cash Flow Statements - Historical Assumptions" display="HL_Sheet_Main_23" xr:uid="{00000000-0004-0000-0100-00002E000000}"/>
    <hyperlink ref="Q23" location="HL_Sheet_Main_23" tooltip="Go to Cash Flow Statements - Historical Assumptions" display="HL_Sheet_Main_23" xr:uid="{00000000-0004-0000-0100-00002F000000}"/>
    <hyperlink ref="D24" location="HL_Sheet_Main_5" tooltip="Go to Forecast Assumptions" display="HL_Sheet_Main_5" xr:uid="{00000000-0004-0000-0100-000030000000}"/>
    <hyperlink ref="F24" location="HL_Sheet_Main_5" tooltip="Go to Forecast Assumptions" display="HL_Sheet_Main_5" xr:uid="{00000000-0004-0000-0100-000031000000}"/>
    <hyperlink ref="Q24" location="HL_Sheet_Main_5" tooltip="Go to Forecast Assumptions" display="HL_Sheet_Main_5" xr:uid="{00000000-0004-0000-0100-000032000000}"/>
    <hyperlink ref="F25" location="HL_Assumption_sheet_Example" tooltip="Go to Forecast Assumptions" display="HL_Assumption_sheet_Example" xr:uid="{00000000-0004-0000-0100-000033000000}"/>
    <hyperlink ref="H25" location="HL_Assumption_sheet_Example" tooltip="Go to Forecast Assumptions" display="HL_Assumption_sheet_Example" xr:uid="{00000000-0004-0000-0100-000034000000}"/>
    <hyperlink ref="Q25" location="HL_Assumption_sheet_Example" tooltip="Go to Forecast Assumptions" display="HL_Assumption_sheet_Example" xr:uid="{00000000-0004-0000-0100-000035000000}"/>
    <hyperlink ref="H26" location="HL_TOC_5" tooltip="Go to Operational - Assumptions" display="HL_TOC_5" xr:uid="{00000000-0004-0000-0100-000036000000}"/>
    <hyperlink ref="I26" location="HL_TOC_5" tooltip="Go to Operational - Assumptions" display="HL_TOC_5" xr:uid="{00000000-0004-0000-0100-000037000000}"/>
    <hyperlink ref="Q26" location="HL_TOC_5" tooltip="Go to Operational - Assumptions" display="HL_TOC_5" xr:uid="{00000000-0004-0000-0100-000038000000}"/>
    <hyperlink ref="H27" location="HL_TOC_9" tooltip="Go to Working Capital - Assumptions" display="HL_TOC_9" xr:uid="{00000000-0004-0000-0100-000039000000}"/>
    <hyperlink ref="I27" location="HL_TOC_9" tooltip="Go to Working Capital - Assumptions" display="HL_TOC_9" xr:uid="{00000000-0004-0000-0100-00003A000000}"/>
    <hyperlink ref="Q27" location="HL_TOC_9" tooltip="Go to Working Capital - Assumptions" display="HL_TOC_9" xr:uid="{00000000-0004-0000-0100-00003B000000}"/>
    <hyperlink ref="H28" location="HL_TOC_10" tooltip="Go to Assets - Assumptions" display="HL_TOC_10" xr:uid="{00000000-0004-0000-0100-00003C000000}"/>
    <hyperlink ref="I28" location="HL_TOC_10" tooltip="Go to Assets - Assumptions" display="HL_TOC_10" xr:uid="{00000000-0004-0000-0100-00003D000000}"/>
    <hyperlink ref="Q28" location="HL_TOC_10" tooltip="Go to Assets - Assumptions" display="HL_TOC_10" xr:uid="{00000000-0004-0000-0100-00003E000000}"/>
    <hyperlink ref="H29" location="HL_TOC_11" tooltip="Go to Capital - Assumptions" display="HL_TOC_11" xr:uid="{00000000-0004-0000-0100-00003F000000}"/>
    <hyperlink ref="I29" location="HL_TOC_11" tooltip="Go to Capital - Assumptions" display="HL_TOC_11" xr:uid="{00000000-0004-0000-0100-000040000000}"/>
    <hyperlink ref="Q29" location="HL_TOC_11" tooltip="Go to Capital - Assumptions" display="HL_TOC_11" xr:uid="{00000000-0004-0000-0100-000041000000}"/>
    <hyperlink ref="H30" location="HL_TOC_12" tooltip="Go to Taxation - Assumptions" display="HL_TOC_12" xr:uid="{00000000-0004-0000-0100-000042000000}"/>
    <hyperlink ref="I30" location="HL_TOC_12" tooltip="Go to Taxation - Assumptions" display="HL_TOC_12" xr:uid="{00000000-0004-0000-0100-000043000000}"/>
    <hyperlink ref="Q30" location="HL_TOC_12" tooltip="Go to Taxation - Assumptions" display="HL_TOC_12" xr:uid="{00000000-0004-0000-0100-000044000000}"/>
    <hyperlink ref="H31" location="HL_TOC_13" tooltip="Go to Other Balance Sheet Items - Assumptions" display="HL_TOC_13" xr:uid="{00000000-0004-0000-0100-000045000000}"/>
    <hyperlink ref="I31" location="HL_TOC_13" tooltip="Go to Other Balance Sheet Items - Assumptions" display="HL_TOC_13" xr:uid="{00000000-0004-0000-0100-000046000000}"/>
    <hyperlink ref="Q31" location="HL_TOC_13" tooltip="Go to Other Balance Sheet Items - Assumptions" display="HL_TOC_13" xr:uid="{00000000-0004-0000-0100-000047000000}"/>
    <hyperlink ref="B32" location="HL_Sheet_Main_16" tooltip="Go to Outputs" display="HL_Sheet_Main_16" xr:uid="{00000000-0004-0000-0100-000048000000}"/>
    <hyperlink ref="D32" location="HL_Sheet_Main_16" tooltip="Go to Outputs" display="HL_Sheet_Main_16" xr:uid="{00000000-0004-0000-0100-000049000000}"/>
    <hyperlink ref="Q32" location="HL_Sheet_Main_16" tooltip="Go to Outputs" display="HL_Sheet_Main_16" xr:uid="{00000000-0004-0000-0100-00004A000000}"/>
    <hyperlink ref="D33" location="HL_Sheet_Main_28" tooltip="Go to Historical Outputs" display="HL_Sheet_Main_28" xr:uid="{00000000-0004-0000-0100-00004B000000}"/>
    <hyperlink ref="F33" location="HL_Sheet_Main_28" tooltip="Go to Historical Outputs" display="HL_Sheet_Main_28" xr:uid="{00000000-0004-0000-0100-00004C000000}"/>
    <hyperlink ref="Q33" location="HL_Sheet_Main_28" tooltip="Go to Historical Outputs" display="HL_Sheet_Main_28" xr:uid="{00000000-0004-0000-0100-00004D000000}"/>
    <hyperlink ref="F34" location="HL_Sheet_Main_29" tooltip="Go to Income Statement - Historical Outputs" display="HL_Sheet_Main_29" xr:uid="{00000000-0004-0000-0100-00004E000000}"/>
    <hyperlink ref="H34" location="HL_Sheet_Main_29" tooltip="Go to Income Statement - Historical Outputs" display="HL_Sheet_Main_29" xr:uid="{00000000-0004-0000-0100-00004F000000}"/>
    <hyperlink ref="Q34" location="HL_Sheet_Main_29" tooltip="Go to Income Statement - Historical Outputs" display="HL_Sheet_Main_29" xr:uid="{00000000-0004-0000-0100-000050000000}"/>
    <hyperlink ref="F35" location="HL_Sheet_Main_30" tooltip="Go to Balance Sheet - Historical Outputs" display="HL_Sheet_Main_30" xr:uid="{00000000-0004-0000-0100-000051000000}"/>
    <hyperlink ref="H35" location="HL_Sheet_Main_30" tooltip="Go to Balance Sheet - Historical Outputs" display="HL_Sheet_Main_30" xr:uid="{00000000-0004-0000-0100-000052000000}"/>
    <hyperlink ref="Q35" location="HL_Sheet_Main_30" tooltip="Go to Balance Sheet - Historical Outputs" display="HL_Sheet_Main_30" xr:uid="{00000000-0004-0000-0100-000053000000}"/>
    <hyperlink ref="F36" location="HL_Sheet_Main_31" tooltip="Go to Cash Flow Statement - Historical Outputs" display="HL_Sheet_Main_31" xr:uid="{00000000-0004-0000-0100-000054000000}"/>
    <hyperlink ref="H36" location="HL_Sheet_Main_31" tooltip="Go to Cash Flow Statement - Historical Outputs" display="HL_Sheet_Main_31" xr:uid="{00000000-0004-0000-0100-000055000000}"/>
    <hyperlink ref="Q36" location="HL_Sheet_Main_31" tooltip="Go to Cash Flow Statement - Historical Outputs" display="HL_Sheet_Main_31" xr:uid="{00000000-0004-0000-0100-000056000000}"/>
    <hyperlink ref="D37" location="HL_Sheet_Main_15" tooltip="Go to Forecast Outputs" display="HL_Sheet_Main_15" xr:uid="{00000000-0004-0000-0100-000057000000}"/>
    <hyperlink ref="F37" location="HL_Sheet_Main_15" tooltip="Go to Forecast Outputs" display="HL_Sheet_Main_15" xr:uid="{00000000-0004-0000-0100-000058000000}"/>
    <hyperlink ref="Q37" location="HL_Sheet_Main_15" tooltip="Go to Forecast Outputs" display="HL_Sheet_Main_15" xr:uid="{00000000-0004-0000-0100-000059000000}"/>
    <hyperlink ref="F38" location="HL_Output_sheet_Example" tooltip="Go to Forecast Outputs" display="HL_Output_sheet_Example" xr:uid="{00000000-0004-0000-0100-00005A000000}"/>
    <hyperlink ref="H38" location="HL_Output_sheet_Example" tooltip="Go to Forecast Outputs" display="HL_Output_sheet_Example" xr:uid="{00000000-0004-0000-0100-00005B000000}"/>
    <hyperlink ref="Q38" location="HL_Output_sheet_Example" tooltip="Go to Forecast Outputs" display="HL_Output_sheet_Example" xr:uid="{00000000-0004-0000-0100-00005C000000}"/>
    <hyperlink ref="H39" location="HL_TOC_21" tooltip="Go to Operational - Outputs" display="HL_TOC_21" xr:uid="{00000000-0004-0000-0100-00005D000000}"/>
    <hyperlink ref="I39" location="HL_TOC_21" tooltip="Go to Operational - Outputs" display="HL_TOC_21" xr:uid="{00000000-0004-0000-0100-00005E000000}"/>
    <hyperlink ref="Q39" location="HL_TOC_21" tooltip="Go to Operational - Outputs" display="HL_TOC_21" xr:uid="{00000000-0004-0000-0100-00005F000000}"/>
    <hyperlink ref="H40" location="HL_TOC_24" tooltip="Go to Working Capital - Outputs" display="HL_TOC_24" xr:uid="{00000000-0004-0000-0100-000060000000}"/>
    <hyperlink ref="I40" location="HL_TOC_24" tooltip="Go to Working Capital - Outputs" display="HL_TOC_24" xr:uid="{00000000-0004-0000-0100-000061000000}"/>
    <hyperlink ref="Q40" location="HL_TOC_24" tooltip="Go to Working Capital - Outputs" display="HL_TOC_24" xr:uid="{00000000-0004-0000-0100-000062000000}"/>
    <hyperlink ref="H41" location="HL_TOC_17" tooltip="Go to Assets - Outputs" display="HL_TOC_17" xr:uid="{00000000-0004-0000-0100-000063000000}"/>
    <hyperlink ref="I41" location="HL_TOC_17" tooltip="Go to Assets - Outputs" display="HL_TOC_17" xr:uid="{00000000-0004-0000-0100-000064000000}"/>
    <hyperlink ref="Q41" location="HL_TOC_17" tooltip="Go to Assets - Outputs" display="HL_TOC_17" xr:uid="{00000000-0004-0000-0100-000065000000}"/>
    <hyperlink ref="H42" location="HL_TOC_15" tooltip="Go to Capital - Outputs" display="HL_TOC_15" xr:uid="{00000000-0004-0000-0100-000066000000}"/>
    <hyperlink ref="I42" location="HL_TOC_15" tooltip="Go to Capital - Outputs" display="HL_TOC_15" xr:uid="{00000000-0004-0000-0100-000067000000}"/>
    <hyperlink ref="Q42" location="HL_TOC_15" tooltip="Go to Capital - Outputs" display="HL_TOC_15" xr:uid="{00000000-0004-0000-0100-000068000000}"/>
    <hyperlink ref="H43" location="HL_TOC_32" tooltip="Go to Taxation - Output Summary" display="HL_TOC_32" xr:uid="{00000000-0004-0000-0100-000069000000}"/>
    <hyperlink ref="I43" location="HL_TOC_32" tooltip="Go to Taxation - Output Summary" display="HL_TOC_32" xr:uid="{00000000-0004-0000-0100-00006A000000}"/>
    <hyperlink ref="Q43" location="HL_TOC_32" tooltip="Go to Taxation - Output Summary" display="HL_TOC_32" xr:uid="{00000000-0004-0000-0100-00006B000000}"/>
    <hyperlink ref="H44" location="HL_TOC_16" tooltip="Go to Other Balance Sheet Items - Outputs" display="HL_TOC_16" xr:uid="{00000000-0004-0000-0100-00006C000000}"/>
    <hyperlink ref="I44" location="HL_TOC_16" tooltip="Go to Other Balance Sheet Items - Outputs" display="HL_TOC_16" xr:uid="{00000000-0004-0000-0100-00006D000000}"/>
    <hyperlink ref="Q44" location="HL_TOC_16" tooltip="Go to Other Balance Sheet Items - Outputs" display="HL_TOC_16" xr:uid="{00000000-0004-0000-0100-00006E000000}"/>
    <hyperlink ref="F45" location="HL_Sheet_Main_35" tooltip="Go to Income Statement - Forecast Outputs" display="HL_Sheet_Main_35" xr:uid="{00000000-0004-0000-0100-00006F000000}"/>
    <hyperlink ref="H45" location="HL_Sheet_Main_35" tooltip="Go to Income Statement - Forecast Outputs" display="HL_Sheet_Main_35" xr:uid="{00000000-0004-0000-0100-000070000000}"/>
    <hyperlink ref="Q45" location="HL_Sheet_Main_35" tooltip="Go to Income Statement - Forecast Outputs" display="HL_Sheet_Main_35" xr:uid="{00000000-0004-0000-0100-000071000000}"/>
    <hyperlink ref="F46" location="HL_Sheet_Main_36" tooltip="Go to Balance Sheet - Forecast Outputs" display="HL_Sheet_Main_36" xr:uid="{00000000-0004-0000-0100-000072000000}"/>
    <hyperlink ref="H46" location="HL_Sheet_Main_36" tooltip="Go to Balance Sheet - Forecast Outputs" display="HL_Sheet_Main_36" xr:uid="{00000000-0004-0000-0100-000073000000}"/>
    <hyperlink ref="Q46" location="HL_Sheet_Main_36" tooltip="Go to Balance Sheet - Forecast Outputs" display="HL_Sheet_Main_36" xr:uid="{00000000-0004-0000-0100-000074000000}"/>
    <hyperlink ref="F47" location="HL_Sheet_Main_37" tooltip="Go to Cash Flow Statement - Forecast Outputs" display="HL_Sheet_Main_37" xr:uid="{00000000-0004-0000-0100-000075000000}"/>
    <hyperlink ref="H47" location="HL_Sheet_Main_37" tooltip="Go to Cash Flow Statement - Forecast Outputs" display="HL_Sheet_Main_37" xr:uid="{00000000-0004-0000-0100-000076000000}"/>
    <hyperlink ref="Q47" location="HL_Sheet_Main_37" tooltip="Go to Cash Flow Statement - Forecast Outputs" display="HL_Sheet_Main_37" xr:uid="{00000000-0004-0000-0100-000077000000}"/>
    <hyperlink ref="D48" location="HL_Sheet_Main_18" tooltip="Go to All Periods Outputs" display="HL_Sheet_Main_18" xr:uid="{00000000-0004-0000-0100-000078000000}"/>
    <hyperlink ref="F48" location="HL_Sheet_Main_18" tooltip="Go to All Periods Outputs" display="HL_Sheet_Main_18" xr:uid="{00000000-0004-0000-0100-000079000000}"/>
    <hyperlink ref="Q48" location="HL_Sheet_Main_18" tooltip="Go to All Periods Outputs" display="HL_Sheet_Main_18" xr:uid="{00000000-0004-0000-0100-00007A000000}"/>
    <hyperlink ref="F49" location="HL_Sheet_Main_17" tooltip="Go to Income Statement - All Periods Outputs" display="HL_Sheet_Main_17" xr:uid="{00000000-0004-0000-0100-00007B000000}"/>
    <hyperlink ref="H49" location="HL_Sheet_Main_17" tooltip="Go to Income Statement - All Periods Outputs" display="HL_Sheet_Main_17" xr:uid="{00000000-0004-0000-0100-00007C000000}"/>
    <hyperlink ref="Q49" location="HL_Sheet_Main_17" tooltip="Go to Income Statement - All Periods Outputs" display="HL_Sheet_Main_17" xr:uid="{00000000-0004-0000-0100-00007D000000}"/>
    <hyperlink ref="F50" location="HL_Sheet_Main_32" tooltip="Go to Balance Sheet - All Periods Outputs" display="HL_Sheet_Main_32" xr:uid="{00000000-0004-0000-0100-00007E000000}"/>
    <hyperlink ref="H50" location="HL_Sheet_Main_32" tooltip="Go to Balance Sheet - All Periods Outputs" display="HL_Sheet_Main_32" xr:uid="{00000000-0004-0000-0100-00007F000000}"/>
    <hyperlink ref="Q50" location="HL_Sheet_Main_32" tooltip="Go to Balance Sheet - All Periods Outputs" display="HL_Sheet_Main_32" xr:uid="{00000000-0004-0000-0100-000080000000}"/>
    <hyperlink ref="F51" location="HL_Sheet_Main_33" tooltip="Go to Cash Flow Statement - All Periods Outputs" display="HL_Sheet_Main_33" xr:uid="{00000000-0004-0000-0100-000081000000}"/>
    <hyperlink ref="H51" location="HL_Sheet_Main_33" tooltip="Go to Cash Flow Statement - All Periods Outputs" display="HL_Sheet_Main_33" xr:uid="{00000000-0004-0000-0100-000082000000}"/>
    <hyperlink ref="Q51" location="HL_Sheet_Main_33" tooltip="Go to Cash Flow Statement - All Periods Outputs" display="HL_Sheet_Main_33" xr:uid="{00000000-0004-0000-0100-000083000000}"/>
    <hyperlink ref="D52" location="HL_Sheet_Main_20" tooltip="Go to Dashboard Outputs" display="HL_Sheet_Main_20" xr:uid="{00000000-0004-0000-0100-000084000000}"/>
    <hyperlink ref="F52" location="HL_Sheet_Main_20" tooltip="Go to Dashboard Outputs" display="HL_Sheet_Main_20" xr:uid="{00000000-0004-0000-0100-000085000000}"/>
    <hyperlink ref="Q52" location="HL_Sheet_Main_20" tooltip="Go to Dashboard Outputs" display="HL_Sheet_Main_20" xr:uid="{00000000-0004-0000-0100-000086000000}"/>
    <hyperlink ref="F53" location="HL_Presentation_Sheets_Example" tooltip="Go to Business Planning Summary" display="HL_Presentation_Sheets_Example" xr:uid="{00000000-0004-0000-0100-000087000000}"/>
    <hyperlink ref="H53" location="HL_Presentation_Sheets_Example" tooltip="Go to Business Planning Summary" display="HL_Presentation_Sheets_Example" xr:uid="{00000000-0004-0000-0100-000088000000}"/>
    <hyperlink ref="Q53" location="HL_Presentation_Sheets_Example" tooltip="Go to Business Planning Summary" display="HL_Presentation_Sheets_Example" xr:uid="{00000000-0004-0000-0100-000089000000}"/>
    <hyperlink ref="B54" location="HL_Sheet_Main_39" tooltip="Go to Appendices" display="HL_Sheet_Main_39" xr:uid="{00000000-0004-0000-0100-00008A000000}"/>
    <hyperlink ref="D54" location="HL_Sheet_Main_39" tooltip="Go to Appendices" display="HL_Sheet_Main_39" xr:uid="{00000000-0004-0000-0100-00008B000000}"/>
    <hyperlink ref="Q54" location="HL_Sheet_Main_39" tooltip="Go to Appendices" display="HL_Sheet_Main_39" xr:uid="{00000000-0004-0000-0100-00008C000000}"/>
    <hyperlink ref="D55" location="HL_Sheet_Main_13" tooltip="Go to Checks" display="HL_Sheet_Main_13" xr:uid="{00000000-0004-0000-0100-00008D000000}"/>
    <hyperlink ref="F55" location="HL_Sheet_Main_13" tooltip="Go to Checks" display="HL_Sheet_Main_13" xr:uid="{00000000-0004-0000-0100-00008E000000}"/>
    <hyperlink ref="Q55" location="HL_Sheet_Main_13" tooltip="Go to Checks" display="HL_Sheet_Main_13" xr:uid="{00000000-0004-0000-0100-00008F000000}"/>
    <hyperlink ref="F56" location="HL_Checks_Classification_Example" tooltip="Go to Checks" display="HL_Checks_Classification_Example" xr:uid="{00000000-0004-0000-0100-000090000000}"/>
    <hyperlink ref="H56" location="HL_Checks_Classification_Example" tooltip="Go to Checks" display="HL_Checks_Classification_Example" xr:uid="{00000000-0004-0000-0100-000091000000}"/>
    <hyperlink ref="Q56" location="HL_Checks_Classification_Example" tooltip="Go to Checks" display="HL_Checks_Classification_Example" xr:uid="{00000000-0004-0000-0100-000092000000}"/>
    <hyperlink ref="H57" location="HL_TOC_6" tooltip="Go to Error Checks" display="HL_TOC_6" xr:uid="{00000000-0004-0000-0100-000093000000}"/>
    <hyperlink ref="I57" location="HL_TOC_6" tooltip="Go to Error Checks" display="HL_TOC_6" xr:uid="{00000000-0004-0000-0100-000094000000}"/>
    <hyperlink ref="Q57" location="HL_TOC_6" tooltip="Go to Error Checks" display="HL_TOC_6" xr:uid="{00000000-0004-0000-0100-000095000000}"/>
    <hyperlink ref="H58" location="HL_TOC_7" tooltip="Go to Sensitivity Checks" display="HL_TOC_7" xr:uid="{00000000-0004-0000-0100-000096000000}"/>
    <hyperlink ref="I58" location="HL_TOC_7" tooltip="Go to Sensitivity Checks" display="HL_TOC_7" xr:uid="{00000000-0004-0000-0100-000097000000}"/>
    <hyperlink ref="Q58" location="HL_TOC_7" tooltip="Go to Sensitivity Checks" display="HL_TOC_7" xr:uid="{00000000-0004-0000-0100-000098000000}"/>
    <hyperlink ref="H59" location="HL_TOC_8" tooltip="Go to Alert Checks" display="HL_TOC_8" xr:uid="{00000000-0004-0000-0100-000099000000}"/>
    <hyperlink ref="I59" location="HL_TOC_8" tooltip="Go to Alert Checks" display="HL_TOC_8" xr:uid="{00000000-0004-0000-0100-00009A000000}"/>
    <hyperlink ref="Q59" location="HL_TOC_8" tooltip="Go to Alert Checks" display="HL_TOC_8" xr:uid="{00000000-0004-0000-0100-00009B000000}"/>
    <hyperlink ref="D60" location="HL_Sheet_Main_40" tooltip="Go to Lookup Tables" display="HL_Sheet_Main_40" xr:uid="{00000000-0004-0000-0100-00009C000000}"/>
    <hyperlink ref="F60" location="HL_Sheet_Main_40" tooltip="Go to Lookup Tables" display="HL_Sheet_Main_40" xr:uid="{00000000-0004-0000-0100-00009D000000}"/>
    <hyperlink ref="Q60" location="HL_Sheet_Main_40" tooltip="Go to Lookup Tables" display="HL_Sheet_Main_40" xr:uid="{00000000-0004-0000-0100-00009E000000}"/>
    <hyperlink ref="F61" location="HL_Lookup_sheet_Example" tooltip="Go to Time Series Lookup Tables" display="HL_Lookup_sheet_Example" xr:uid="{00000000-0004-0000-0100-00009F000000}"/>
    <hyperlink ref="H61" location="HL_Lookup_sheet_Example" tooltip="Go to Time Series Lookup Tables" display="HL_Lookup_sheet_Example" xr:uid="{00000000-0004-0000-0100-0000A0000000}"/>
    <hyperlink ref="Q61" location="HL_Lookup_sheet_Example" tooltip="Go to Time Series Lookup Tables" display="HL_Lookup_sheet_Example" xr:uid="{00000000-0004-0000-0100-0000A1000000}"/>
    <hyperlink ref="F62" location="HL_Sheet_Main_42" tooltip="Go to Capital - Lookup Tables" display="HL_Sheet_Main_42" xr:uid="{00000000-0004-0000-0100-0000A2000000}"/>
    <hyperlink ref="H62" location="HL_Sheet_Main_42" tooltip="Go to Capital - Lookup Tables" display="HL_Sheet_Main_42" xr:uid="{00000000-0004-0000-0100-0000A3000000}"/>
    <hyperlink ref="Q62" location="HL_Sheet_Main_42" tooltip="Go to Capital - Lookup Tables" display="HL_Sheet_Main_42" xr:uid="{00000000-0004-0000-0100-0000A4000000}"/>
    <hyperlink ref="F63" location="HL_Sheet_Main_27" tooltip="Go to Dashboards - Lookup Tables" display="HL_Sheet_Main_27" xr:uid="{00000000-0004-0000-0100-0000A5000000}"/>
    <hyperlink ref="H63" location="HL_Sheet_Main_27" tooltip="Go to Dashboards - Lookup Tables" display="HL_Sheet_Main_27" xr:uid="{00000000-0004-0000-0100-0000A6000000}"/>
    <hyperlink ref="Q63" location="HL_Sheet_Main_27" tooltip="Go to Dashboards - Lookup Tables" display="HL_Sheet_Main_27" xr:uid="{00000000-0004-0000-0100-0000A7000000}"/>
    <hyperlink ref="A6" location="$B$7" tooltip="Go to Top of Sheet" display="$B$7" xr:uid="{00000000-0004-0000-0100-0000A8000000}"/>
    <hyperlink ref="B3" location="'Cover'!A1" tooltip="Go to Cover Sheet" display="'Cover'!A1" xr:uid="{00000000-0004-0000-0100-0000A9000000}"/>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autoPageBreaks="0"/>
  </sheetPr>
  <dimension ref="A1:Q4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s>
  <sheetData>
    <row r="1" spans="1:17" ht="18" x14ac:dyDescent="0.15">
      <c r="B1" s="1" t="s">
        <v>560</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IS_Hist_TA!B16</f>
        <v>Income Statement</v>
      </c>
    </row>
    <row r="17" spans="3:17" s="24" customFormat="1" x14ac:dyDescent="0.15"/>
    <row r="18" spans="3:17" s="24" customFormat="1" x14ac:dyDescent="0.15">
      <c r="D18" s="186" t="str">
        <f>IS_Hist_TA!D18</f>
        <v>Revenue</v>
      </c>
      <c r="J18" s="220">
        <f>IF(J$12=0,0,IS_Hist_TA!J18)</f>
        <v>250</v>
      </c>
      <c r="K18" s="220">
        <f>IF(K$12=0,0,IS_Hist_TA!K18)</f>
        <v>128.125</v>
      </c>
      <c r="L18" s="220">
        <f>IF(L$12=0,0,IS_Hist_TA!L18)</f>
        <v>131.328125</v>
      </c>
      <c r="M18" s="220">
        <f>IF(M$12=0,0,IS_Hist_TA!M18)</f>
        <v>0</v>
      </c>
      <c r="N18" s="220">
        <f>IF(N$12=0,0,IS_Hist_TA!N18)</f>
        <v>0</v>
      </c>
      <c r="O18" s="220">
        <f>IF(O$12=0,0,IS_Hist_TA!O18)</f>
        <v>0</v>
      </c>
      <c r="P18" s="220">
        <f>IF(P$12=0,0,IS_Hist_TA!P18)</f>
        <v>0</v>
      </c>
      <c r="Q18" s="220">
        <f>IF(Q$12=0,0,IS_Hist_TA!Q18)</f>
        <v>0</v>
      </c>
    </row>
    <row r="19" spans="3:17" s="24" customFormat="1" x14ac:dyDescent="0.15">
      <c r="D19" s="186" t="str">
        <f>IS_Hist_TA!D19</f>
        <v>Cost of Goods Sold</v>
      </c>
      <c r="J19" s="220">
        <f>IF(J$12=0,0,IS_Hist_TA!J19)</f>
        <v>-25</v>
      </c>
      <c r="K19" s="220">
        <f>IF(K$12=0,0,IS_Hist_TA!K19)</f>
        <v>-25.624999999999996</v>
      </c>
      <c r="L19" s="220">
        <f>IF(L$12=0,0,IS_Hist_TA!L19)</f>
        <v>-26.265624999999993</v>
      </c>
      <c r="M19" s="220">
        <f>IF(M$12=0,0,IS_Hist_TA!M19)</f>
        <v>0</v>
      </c>
      <c r="N19" s="220">
        <f>IF(N$12=0,0,IS_Hist_TA!N19)</f>
        <v>0</v>
      </c>
      <c r="O19" s="220">
        <f>IF(O$12=0,0,IS_Hist_TA!O19)</f>
        <v>0</v>
      </c>
      <c r="P19" s="220">
        <f>IF(P$12=0,0,IS_Hist_TA!P19)</f>
        <v>0</v>
      </c>
      <c r="Q19" s="220">
        <f>IF(Q$12=0,0,IS_Hist_TA!Q19)</f>
        <v>0</v>
      </c>
    </row>
    <row r="20" spans="3:17" s="24" customFormat="1" x14ac:dyDescent="0.15">
      <c r="J20" s="143"/>
      <c r="K20" s="143"/>
      <c r="L20" s="143"/>
      <c r="M20" s="143"/>
      <c r="N20" s="143"/>
      <c r="O20" s="143"/>
      <c r="P20" s="143"/>
      <c r="Q20" s="143"/>
    </row>
    <row r="21" spans="3:17" s="24" customFormat="1" ht="11.25" x14ac:dyDescent="0.15">
      <c r="C21" s="217" t="str">
        <f>IS_Hist_TA!C21</f>
        <v>Gross Margin</v>
      </c>
      <c r="J21" s="212">
        <f t="shared" ref="J21" si="8">J18+J19</f>
        <v>225</v>
      </c>
      <c r="K21" s="212">
        <f t="shared" ref="K21:Q21" si="9">K18+K19</f>
        <v>102.5</v>
      </c>
      <c r="L21" s="212">
        <f t="shared" si="9"/>
        <v>105.0625</v>
      </c>
      <c r="M21" s="212">
        <f t="shared" si="9"/>
        <v>0</v>
      </c>
      <c r="N21" s="212">
        <f t="shared" si="9"/>
        <v>0</v>
      </c>
      <c r="O21" s="212">
        <f t="shared" si="9"/>
        <v>0</v>
      </c>
      <c r="P21" s="212">
        <f t="shared" si="9"/>
        <v>0</v>
      </c>
      <c r="Q21" s="212">
        <f t="shared" si="9"/>
        <v>0</v>
      </c>
    </row>
    <row r="22" spans="3:17" s="24" customFormat="1" x14ac:dyDescent="0.15">
      <c r="J22" s="143"/>
      <c r="K22" s="143"/>
      <c r="L22" s="143"/>
      <c r="M22" s="143"/>
      <c r="N22" s="143"/>
      <c r="O22" s="143"/>
      <c r="P22" s="143"/>
      <c r="Q22" s="143"/>
    </row>
    <row r="23" spans="3:17" s="24" customFormat="1" x14ac:dyDescent="0.15">
      <c r="D23" s="186" t="str">
        <f>IS_Hist_TA!D23</f>
        <v>Operating Expenditure</v>
      </c>
      <c r="J23" s="220">
        <f>IF(J$12=0,0,IS_Hist_TA!J23)</f>
        <v>-40</v>
      </c>
      <c r="K23" s="220">
        <f>IF(K$12=0,0,IS_Hist_TA!K23)</f>
        <v>-41</v>
      </c>
      <c r="L23" s="220">
        <f>IF(L$12=0,0,IS_Hist_TA!L23)</f>
        <v>-42.024999999999999</v>
      </c>
      <c r="M23" s="220">
        <f>IF(M$12=0,0,IS_Hist_TA!M23)</f>
        <v>0</v>
      </c>
      <c r="N23" s="220">
        <f>IF(N$12=0,0,IS_Hist_TA!N23)</f>
        <v>0</v>
      </c>
      <c r="O23" s="220">
        <f>IF(O$12=0,0,IS_Hist_TA!O23)</f>
        <v>0</v>
      </c>
      <c r="P23" s="220">
        <f>IF(P$12=0,0,IS_Hist_TA!P23)</f>
        <v>0</v>
      </c>
      <c r="Q23" s="220">
        <f>IF(Q$12=0,0,IS_Hist_TA!Q23)</f>
        <v>0</v>
      </c>
    </row>
    <row r="24" spans="3:17" s="24" customFormat="1" x14ac:dyDescent="0.15">
      <c r="J24" s="143"/>
      <c r="K24" s="143"/>
      <c r="L24" s="143"/>
      <c r="M24" s="143"/>
      <c r="N24" s="143"/>
      <c r="O24" s="143"/>
      <c r="P24" s="143"/>
      <c r="Q24" s="143"/>
    </row>
    <row r="25" spans="3:17" s="24" customFormat="1" ht="11.25" x14ac:dyDescent="0.15">
      <c r="C25" s="217" t="str">
        <f>IS_Hist_TA!C25</f>
        <v>EBITDA</v>
      </c>
      <c r="J25" s="212">
        <f t="shared" ref="J25" si="10">J21+J23</f>
        <v>185</v>
      </c>
      <c r="K25" s="212">
        <f t="shared" ref="K25:Q25" si="11">K21+K23</f>
        <v>61.5</v>
      </c>
      <c r="L25" s="212">
        <f t="shared" si="11"/>
        <v>63.037500000000001</v>
      </c>
      <c r="M25" s="212">
        <f t="shared" si="11"/>
        <v>0</v>
      </c>
      <c r="N25" s="212">
        <f t="shared" si="11"/>
        <v>0</v>
      </c>
      <c r="O25" s="212">
        <f t="shared" si="11"/>
        <v>0</v>
      </c>
      <c r="P25" s="212">
        <f t="shared" si="11"/>
        <v>0</v>
      </c>
      <c r="Q25" s="212">
        <f t="shared" si="11"/>
        <v>0</v>
      </c>
    </row>
    <row r="26" spans="3:17" s="24" customFormat="1" x14ac:dyDescent="0.15">
      <c r="J26" s="143"/>
      <c r="K26" s="143"/>
      <c r="L26" s="143"/>
      <c r="M26" s="143"/>
      <c r="N26" s="143"/>
      <c r="O26" s="143"/>
      <c r="P26" s="143"/>
      <c r="Q26" s="143"/>
    </row>
    <row r="27" spans="3:17" s="24" customFormat="1" hidden="1" outlineLevel="2" x14ac:dyDescent="0.15">
      <c r="E27" s="186"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4" customFormat="1" hidden="1" outlineLevel="2" x14ac:dyDescent="0.15">
      <c r="E28" s="186"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x14ac:dyDescent="0.15">
      <c r="D29" s="186" t="str">
        <f>IS_Hist_TA!D29</f>
        <v>Depreciation &amp; Amortization</v>
      </c>
      <c r="J29" s="220">
        <f>IF(J$12=0,0,IS_Hist_TA!J29)</f>
        <v>-14.125</v>
      </c>
      <c r="K29" s="220">
        <f>IF(K$12=0,0,IS_Hist_TA!K29)</f>
        <v>-14.478124999999999</v>
      </c>
      <c r="L29" s="220">
        <f>IF(L$12=0,0,IS_Hist_TA!L29)</f>
        <v>-14.840078124999996</v>
      </c>
      <c r="M29" s="220">
        <f>IF(M$12=0,0,IS_Hist_TA!M29)</f>
        <v>0</v>
      </c>
      <c r="N29" s="220">
        <f>IF(N$12=0,0,IS_Hist_TA!N29)</f>
        <v>0</v>
      </c>
      <c r="O29" s="220">
        <f>IF(O$12=0,0,IS_Hist_TA!O29)</f>
        <v>0</v>
      </c>
      <c r="P29" s="220">
        <f>IF(P$12=0,0,IS_Hist_TA!P29)</f>
        <v>0</v>
      </c>
      <c r="Q29" s="220">
        <f>IF(Q$12=0,0,IS_Hist_TA!Q29)</f>
        <v>0</v>
      </c>
    </row>
    <row r="30" spans="3:17" s="24" customFormat="1" x14ac:dyDescent="0.15">
      <c r="J30" s="143"/>
      <c r="K30" s="143"/>
      <c r="L30" s="143"/>
      <c r="M30" s="143"/>
      <c r="N30" s="143"/>
      <c r="O30" s="143"/>
      <c r="P30" s="143"/>
      <c r="Q30" s="143"/>
    </row>
    <row r="31" spans="3:17" s="24" customFormat="1" ht="11.25" x14ac:dyDescent="0.15">
      <c r="C31" s="217" t="str">
        <f>IS_Hist_TA!C31</f>
        <v>EBIT</v>
      </c>
      <c r="J31" s="212">
        <f t="shared" ref="J31" si="12">J25+J29</f>
        <v>170.875</v>
      </c>
      <c r="K31" s="212">
        <f t="shared" ref="K31:Q31" si="13">K25+K29</f>
        <v>47.021875000000001</v>
      </c>
      <c r="L31" s="212">
        <f t="shared" si="13"/>
        <v>48.197421875000003</v>
      </c>
      <c r="M31" s="212">
        <f t="shared" si="13"/>
        <v>0</v>
      </c>
      <c r="N31" s="212">
        <f t="shared" si="13"/>
        <v>0</v>
      </c>
      <c r="O31" s="212">
        <f t="shared" si="13"/>
        <v>0</v>
      </c>
      <c r="P31" s="212">
        <f t="shared" si="13"/>
        <v>0</v>
      </c>
      <c r="Q31" s="212">
        <f t="shared" si="13"/>
        <v>0</v>
      </c>
    </row>
    <row r="32" spans="3:17" s="24" customFormat="1" x14ac:dyDescent="0.15">
      <c r="J32" s="143"/>
      <c r="K32" s="143"/>
      <c r="L32" s="143"/>
      <c r="M32" s="143"/>
      <c r="N32" s="143"/>
      <c r="O32" s="143"/>
      <c r="P32" s="143"/>
      <c r="Q32" s="143"/>
    </row>
    <row r="33" spans="3:17" s="24" customFormat="1" x14ac:dyDescent="0.15">
      <c r="D33" s="186" t="str">
        <f>IS_Hist_TA!D33</f>
        <v>Interest Expense</v>
      </c>
      <c r="J33" s="220">
        <f>IF(J$12=0,0,IS_Hist_TA!J33)</f>
        <v>-3.25</v>
      </c>
      <c r="K33" s="220">
        <f>IF(K$12=0,0,IS_Hist_TA!K33)</f>
        <v>-3.25</v>
      </c>
      <c r="L33" s="220">
        <f>IF(L$12=0,0,IS_Hist_TA!L33)</f>
        <v>-3.25</v>
      </c>
      <c r="M33" s="220">
        <f>IF(M$12=0,0,IS_Hist_TA!M33)</f>
        <v>0</v>
      </c>
      <c r="N33" s="220">
        <f>IF(N$12=0,0,IS_Hist_TA!N33)</f>
        <v>0</v>
      </c>
      <c r="O33" s="220">
        <f>IF(O$12=0,0,IS_Hist_TA!O33)</f>
        <v>0</v>
      </c>
      <c r="P33" s="220">
        <f>IF(P$12=0,0,IS_Hist_TA!P33)</f>
        <v>0</v>
      </c>
      <c r="Q33" s="220">
        <f>IF(Q$12=0,0,IS_Hist_TA!Q33)</f>
        <v>0</v>
      </c>
    </row>
    <row r="34" spans="3:17" s="24" customFormat="1" x14ac:dyDescent="0.15">
      <c r="J34" s="143"/>
      <c r="K34" s="143"/>
      <c r="L34" s="143"/>
      <c r="M34" s="143"/>
      <c r="N34" s="143"/>
      <c r="O34" s="143"/>
      <c r="P34" s="143"/>
      <c r="Q34" s="143"/>
    </row>
    <row r="35" spans="3:17" s="24" customFormat="1" ht="11.25" x14ac:dyDescent="0.15">
      <c r="C35" s="217" t="str">
        <f>IS_Hist_TA!C35</f>
        <v>Net Profit Before Tax</v>
      </c>
      <c r="J35" s="212">
        <f t="shared" ref="J35" si="14">J31+J33</f>
        <v>167.625</v>
      </c>
      <c r="K35" s="212">
        <f t="shared" ref="K35:Q35" si="15">K31+K33</f>
        <v>43.771875000000001</v>
      </c>
      <c r="L35" s="212">
        <f t="shared" si="15"/>
        <v>44.947421875000003</v>
      </c>
      <c r="M35" s="212">
        <f t="shared" si="15"/>
        <v>0</v>
      </c>
      <c r="N35" s="212">
        <f t="shared" si="15"/>
        <v>0</v>
      </c>
      <c r="O35" s="212">
        <f t="shared" si="15"/>
        <v>0</v>
      </c>
      <c r="P35" s="212">
        <f t="shared" si="15"/>
        <v>0</v>
      </c>
      <c r="Q35" s="212">
        <f t="shared" si="15"/>
        <v>0</v>
      </c>
    </row>
    <row r="36" spans="3:17" s="24" customFormat="1" x14ac:dyDescent="0.15">
      <c r="J36" s="143"/>
      <c r="K36" s="143"/>
      <c r="L36" s="143"/>
      <c r="M36" s="143"/>
      <c r="N36" s="143"/>
      <c r="O36" s="143"/>
      <c r="P36" s="143"/>
      <c r="Q36" s="143"/>
    </row>
    <row r="37" spans="3:17" s="24" customFormat="1" x14ac:dyDescent="0.15">
      <c r="D37" s="186" t="str">
        <f>IS_Hist_TA!D37</f>
        <v>Tax Expense / (Benefit)</v>
      </c>
      <c r="J37" s="220">
        <f>IF(J$12=0,0,IS_Hist_TA!J37)</f>
        <v>-12.7875</v>
      </c>
      <c r="K37" s="220">
        <f>IF(K$12=0,0,IS_Hist_TA!K37)</f>
        <v>-13.131562499999999</v>
      </c>
      <c r="L37" s="220">
        <f>IF(L$12=0,0,IS_Hist_TA!L37)</f>
        <v>-13.4842265625</v>
      </c>
      <c r="M37" s="220">
        <f>IF(M$12=0,0,IS_Hist_TA!M37)</f>
        <v>0</v>
      </c>
      <c r="N37" s="220">
        <f>IF(N$12=0,0,IS_Hist_TA!N37)</f>
        <v>0</v>
      </c>
      <c r="O37" s="220">
        <f>IF(O$12=0,0,IS_Hist_TA!O37)</f>
        <v>0</v>
      </c>
      <c r="P37" s="220">
        <f>IF(P$12=0,0,IS_Hist_TA!P37)</f>
        <v>0</v>
      </c>
      <c r="Q37" s="220">
        <f>IF(Q$12=0,0,IS_Hist_TA!Q37)</f>
        <v>0</v>
      </c>
    </row>
    <row r="38" spans="3:17" s="24" customFormat="1" x14ac:dyDescent="0.15">
      <c r="J38" s="143"/>
      <c r="K38" s="143"/>
      <c r="L38" s="143"/>
      <c r="M38" s="143"/>
      <c r="N38" s="143"/>
      <c r="O38" s="143"/>
      <c r="P38" s="143"/>
      <c r="Q38" s="143"/>
    </row>
    <row r="39" spans="3:17" s="24" customFormat="1" ht="12.75" thickBot="1" x14ac:dyDescent="0.2">
      <c r="C39" s="218" t="str">
        <f>IS_Hist_TA!C39</f>
        <v>Net Profit After Tax</v>
      </c>
      <c r="J39" s="214">
        <f t="shared" ref="J39" si="16">J35+J37</f>
        <v>154.83750000000001</v>
      </c>
      <c r="K39" s="214">
        <f t="shared" ref="K39:Q39" si="17">K35+K37</f>
        <v>30.6403125</v>
      </c>
      <c r="L39" s="214">
        <f t="shared" si="17"/>
        <v>31.463195312500005</v>
      </c>
      <c r="M39" s="214">
        <f t="shared" si="17"/>
        <v>0</v>
      </c>
      <c r="N39" s="214">
        <f t="shared" si="17"/>
        <v>0</v>
      </c>
      <c r="O39" s="214">
        <f t="shared" si="17"/>
        <v>0</v>
      </c>
      <c r="P39" s="214">
        <f t="shared" si="17"/>
        <v>0</v>
      </c>
      <c r="Q39" s="214">
        <f t="shared" si="17"/>
        <v>0</v>
      </c>
    </row>
    <row r="40" spans="3:17" s="24" customFormat="1" ht="11.25" thickTop="1" x14ac:dyDescent="0.15"/>
    <row r="41" spans="3:17" s="24" customFormat="1" x14ac:dyDescent="0.15">
      <c r="C41" s="179" t="str">
        <f>IS_Hist_TA!C41</f>
        <v>Notes</v>
      </c>
    </row>
    <row r="42" spans="3:17" s="24" customFormat="1" x14ac:dyDescent="0.15">
      <c r="C42" s="219">
        <f>IS_Hist_TA!C42</f>
        <v>1</v>
      </c>
      <c r="D42" s="215" t="str">
        <f>"All revenues and expenses are specified in "&amp;INDEX(LU_Denom,DD_TS_Denom)&amp;"."</f>
        <v>All revenues and expenses are specified in $Millions.</v>
      </c>
    </row>
    <row r="43" spans="3:17" s="24" customFormat="1" x14ac:dyDescent="0.15">
      <c r="C43" s="219">
        <f>IS_Hist_TA!C43</f>
        <v>2</v>
      </c>
      <c r="D43" s="185" t="s">
        <v>563</v>
      </c>
    </row>
  </sheetData>
  <sheetProtection sheet="1" objects="1" scenarios="1"/>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xr:uid="{00000000-0002-0000-1300-000000000000}">
      <formula1>NOT(ISERROR(J18/1))</formula1>
    </dataValidation>
  </dataValidations>
  <hyperlinks>
    <hyperlink ref="B3" location="HL_Home" tooltip="Go to Table of Contents" display="HL_Home" xr:uid="{00000000-0004-0000-1300-000000000000}"/>
    <hyperlink ref="A4" location="$B$14" tooltip="Go to Top of Sheet" display="$B$14" xr:uid="{00000000-0004-0000-1300-000001000000}"/>
    <hyperlink ref="B4" location="HL_Sheet_Main_28" tooltip="Go to Previous Sheet" display="HL_Sheet_Main_28" xr:uid="{00000000-0004-0000-1300-000002000000}"/>
    <hyperlink ref="C4" location="HL_Sheet_Main_30" tooltip="Go to Next Sheet" display="HL_Sheet_Main_30" xr:uid="{00000000-0004-0000-1300-000003000000}"/>
    <hyperlink ref="D4" location="HL_Err_Chk" tooltip="Go to Error Checks" display="HL_Err_Chk" xr:uid="{00000000-0004-0000-1300-000004000000}"/>
    <hyperlink ref="E4" location="HL_Sens_Chk" tooltip="Go to Sensitivity Checks" display="HL_Sens_Chk" xr:uid="{00000000-0004-0000-1300-000005000000}"/>
    <hyperlink ref="F4" location="HL_Alt_Chk" tooltip="Go to Alert Checks" display="HL_Alt_Chk" xr:uid="{00000000-0004-0000-13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autoPageBreaks="0"/>
  </sheetPr>
  <dimension ref="A1:Q7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s>
  <sheetData>
    <row r="1" spans="1:17" ht="18" x14ac:dyDescent="0.15">
      <c r="B1" s="1" t="s">
        <v>561</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I6" s="15"/>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BS_Hist_TA!B16</f>
        <v>Balance Sheet</v>
      </c>
      <c r="I16" s="227" t="s">
        <v>554</v>
      </c>
    </row>
    <row r="17" spans="3:17" s="24" customFormat="1" x14ac:dyDescent="0.15">
      <c r="I17" s="228">
        <f>TS_Start_Date</f>
        <v>40179</v>
      </c>
    </row>
    <row r="18" spans="3:17" s="24" customFormat="1" ht="11.25" x14ac:dyDescent="0.15">
      <c r="C18" s="217" t="str">
        <f>BS_Hist_TA!C18</f>
        <v>Current Assets</v>
      </c>
    </row>
    <row r="19" spans="3:17" s="24" customFormat="1" x14ac:dyDescent="0.15"/>
    <row r="20" spans="3:17" s="24" customFormat="1" hidden="1" outlineLevel="2" x14ac:dyDescent="0.15">
      <c r="E20" s="229"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x14ac:dyDescent="0.15">
      <c r="E21" s="229"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x14ac:dyDescent="0.15">
      <c r="D22" s="186" t="str">
        <f>BS_Hist_TA!D22</f>
        <v>Cash at Bank</v>
      </c>
      <c r="I22" s="220">
        <f>IF(ISBLANK(I$12),BS_Hist_TA!I22,IF(I$12=0,0,BS_Hist_TA!I22))</f>
        <v>5</v>
      </c>
      <c r="J22" s="220">
        <f>IF(ISBLANK(J$12),BS_Hist_TA!J22,IF(J$12=0,0,BS_Hist_TA!J22))</f>
        <v>7.5</v>
      </c>
      <c r="K22" s="220">
        <f>IF(ISBLANK(K$12),BS_Hist_TA!K22,IF(K$12=0,0,BS_Hist_TA!K22))</f>
        <v>12.148336900684967</v>
      </c>
      <c r="L22" s="220">
        <f>IF(ISBLANK(L$12),BS_Hist_TA!L22,IF(L$12=0,0,BS_Hist_TA!L22))</f>
        <v>24.635307976188827</v>
      </c>
      <c r="M22" s="220">
        <f>IF(ISBLANK(M$12),BS_Hist_TA!M22,IF(M$12=0,0,BS_Hist_TA!M22))</f>
        <v>0</v>
      </c>
      <c r="N22" s="220">
        <f>IF(ISBLANK(N$12),BS_Hist_TA!N22,IF(N$12=0,0,BS_Hist_TA!N22))</f>
        <v>0</v>
      </c>
      <c r="O22" s="220">
        <f>IF(ISBLANK(O$12),BS_Hist_TA!O22,IF(O$12=0,0,BS_Hist_TA!O22))</f>
        <v>0</v>
      </c>
      <c r="P22" s="220">
        <f>IF(ISBLANK(P$12),BS_Hist_TA!P22,IF(P$12=0,0,BS_Hist_TA!P22))</f>
        <v>0</v>
      </c>
      <c r="Q22" s="220">
        <f>IF(ISBLANK(Q$12),BS_Hist_TA!Q22,IF(Q$12=0,0,BS_Hist_TA!Q22))</f>
        <v>0</v>
      </c>
    </row>
    <row r="23" spans="3:17" s="24" customFormat="1" x14ac:dyDescent="0.15">
      <c r="D23" s="186" t="str">
        <f>BS_Hist_TA!D23</f>
        <v>Accounts Receivable</v>
      </c>
      <c r="I23" s="220">
        <f>IF(ISBLANK(I$12),BS_Hist_TA!I23,IF(I$12=0,0,BS_Hist_TA!I23))</f>
        <v>10.273972602739725</v>
      </c>
      <c r="J23" s="220">
        <f>IF(ISBLANK(J$12),BS_Hist_TA!J23,IF(J$12=0,0,BS_Hist_TA!J23))</f>
        <v>10.273972602739725</v>
      </c>
      <c r="K23" s="220">
        <f>IF(ISBLANK(K$12),BS_Hist_TA!K23,IF(K$12=0,0,BS_Hist_TA!K23))</f>
        <v>10.530821917808218</v>
      </c>
      <c r="L23" s="220">
        <f>IF(ISBLANK(L$12),BS_Hist_TA!L23,IF(L$12=0,0,BS_Hist_TA!L23))</f>
        <v>10.764600409836065</v>
      </c>
      <c r="M23" s="220">
        <f>IF(ISBLANK(M$12),BS_Hist_TA!M23,IF(M$12=0,0,BS_Hist_TA!M23))</f>
        <v>0</v>
      </c>
      <c r="N23" s="220">
        <f>IF(ISBLANK(N$12),BS_Hist_TA!N23,IF(N$12=0,0,BS_Hist_TA!N23))</f>
        <v>0</v>
      </c>
      <c r="O23" s="220">
        <f>IF(ISBLANK(O$12),BS_Hist_TA!O23,IF(O$12=0,0,BS_Hist_TA!O23))</f>
        <v>0</v>
      </c>
      <c r="P23" s="220">
        <f>IF(ISBLANK(P$12),BS_Hist_TA!P23,IF(P$12=0,0,BS_Hist_TA!P23))</f>
        <v>0</v>
      </c>
      <c r="Q23" s="220">
        <f>IF(ISBLANK(Q$12),BS_Hist_TA!Q23,IF(Q$12=0,0,BS_Hist_TA!Q23))</f>
        <v>0</v>
      </c>
    </row>
    <row r="24" spans="3:17" s="24" customFormat="1" x14ac:dyDescent="0.15">
      <c r="D24" s="186"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x14ac:dyDescent="0.15">
      <c r="D25" s="179" t="str">
        <f>BS_Hist_TA!D25</f>
        <v>Total Current Assets</v>
      </c>
      <c r="I25" s="226">
        <f>I22+SUM(I23:I24)</f>
        <v>18.273972602739725</v>
      </c>
      <c r="J25" s="226">
        <f>J22+SUM(J23:J24)</f>
        <v>20.773972602739725</v>
      </c>
      <c r="K25" s="226">
        <f t="shared" ref="K25:Q25" si="16">K22+SUM(K23:K24)</f>
        <v>26.679158818493185</v>
      </c>
      <c r="L25" s="226">
        <f t="shared" si="16"/>
        <v>40.39990838602489</v>
      </c>
      <c r="M25" s="226">
        <f t="shared" si="16"/>
        <v>0</v>
      </c>
      <c r="N25" s="226">
        <f t="shared" si="16"/>
        <v>0</v>
      </c>
      <c r="O25" s="226">
        <f t="shared" si="16"/>
        <v>0</v>
      </c>
      <c r="P25" s="226">
        <f t="shared" si="16"/>
        <v>0</v>
      </c>
      <c r="Q25" s="226">
        <f t="shared" si="16"/>
        <v>0</v>
      </c>
    </row>
    <row r="26" spans="3:17" s="24" customFormat="1" x14ac:dyDescent="0.15">
      <c r="I26" s="143"/>
      <c r="J26" s="143"/>
      <c r="K26" s="143"/>
      <c r="L26" s="143"/>
      <c r="M26" s="143"/>
      <c r="N26" s="143"/>
      <c r="O26" s="143"/>
      <c r="P26" s="143"/>
      <c r="Q26" s="143"/>
    </row>
    <row r="27" spans="3:17" s="24" customFormat="1" ht="11.25" x14ac:dyDescent="0.15">
      <c r="C27" s="217" t="str">
        <f>BS_Hist_TA!C27</f>
        <v>Non-Current Assets</v>
      </c>
      <c r="I27" s="143"/>
      <c r="J27" s="143"/>
      <c r="K27" s="143"/>
      <c r="L27" s="143"/>
      <c r="M27" s="143"/>
      <c r="N27" s="143"/>
      <c r="O27" s="143"/>
      <c r="P27" s="143"/>
      <c r="Q27" s="143"/>
    </row>
    <row r="28" spans="3:17" s="24" customFormat="1" x14ac:dyDescent="0.15">
      <c r="I28" s="143"/>
      <c r="J28" s="143"/>
      <c r="K28" s="143"/>
      <c r="L28" s="143"/>
      <c r="M28" s="143"/>
      <c r="N28" s="143"/>
      <c r="O28" s="143"/>
      <c r="P28" s="143"/>
      <c r="Q28" s="143"/>
    </row>
    <row r="29" spans="3:17" s="24" customFormat="1" x14ac:dyDescent="0.15">
      <c r="D29" s="186" t="str">
        <f>BS_Hist_TA!D29</f>
        <v>Assets</v>
      </c>
      <c r="I29" s="220">
        <f>IF(ISBLANK(I$12),BS_Hist_TA!I29,IF(I$12=0,0,BS_Hist_TA!I29))</f>
        <v>146.5</v>
      </c>
      <c r="J29" s="220">
        <f>IF(ISBLANK(J$12),BS_Hist_TA!J29,IF(J$12=0,0,BS_Hist_TA!J29))</f>
        <v>146.5</v>
      </c>
      <c r="K29" s="220">
        <f>IF(ISBLANK(K$12),BS_Hist_TA!K29,IF(K$12=0,0,BS_Hist_TA!K29))</f>
        <v>148.03749999999999</v>
      </c>
      <c r="L29" s="220">
        <f>IF(ISBLANK(L$12),BS_Hist_TA!L29,IF(L$12=0,0,BS_Hist_TA!L29))</f>
        <v>149.6134375</v>
      </c>
      <c r="M29" s="220">
        <f>IF(ISBLANK(M$12),BS_Hist_TA!M29,IF(M$12=0,0,BS_Hist_TA!M29))</f>
        <v>0</v>
      </c>
      <c r="N29" s="220">
        <f>IF(ISBLANK(N$12),BS_Hist_TA!N29,IF(N$12=0,0,BS_Hist_TA!N29))</f>
        <v>0</v>
      </c>
      <c r="O29" s="220">
        <f>IF(ISBLANK(O$12),BS_Hist_TA!O29,IF(O$12=0,0,BS_Hist_TA!O29))</f>
        <v>0</v>
      </c>
      <c r="P29" s="220">
        <f>IF(ISBLANK(P$12),BS_Hist_TA!P29,IF(P$12=0,0,BS_Hist_TA!P29))</f>
        <v>0</v>
      </c>
      <c r="Q29" s="220">
        <f>IF(ISBLANK(Q$12),BS_Hist_TA!Q29,IF(Q$12=0,0,BS_Hist_TA!Q29))</f>
        <v>0</v>
      </c>
    </row>
    <row r="30" spans="3:17" s="24" customFormat="1" x14ac:dyDescent="0.15">
      <c r="D30" s="186" t="str">
        <f>BS_Hist_TA!D30</f>
        <v>Intangibles</v>
      </c>
      <c r="I30" s="220">
        <f>IF(ISBLANK(I$12),BS_Hist_TA!I30,IF(I$12=0,0,BS_Hist_TA!I30))</f>
        <v>13.375</v>
      </c>
      <c r="J30" s="220">
        <f>IF(ISBLANK(J$12),BS_Hist_TA!J30,IF(J$12=0,0,BS_Hist_TA!J30))</f>
        <v>13.375</v>
      </c>
      <c r="K30" s="220">
        <f>IF(ISBLANK(K$12),BS_Hist_TA!K30,IF(K$12=0,0,BS_Hist_TA!K30))</f>
        <v>15.296875</v>
      </c>
      <c r="L30" s="220">
        <f>IF(ISBLANK(L$12),BS_Hist_TA!L30,IF(L$12=0,0,BS_Hist_TA!L30))</f>
        <v>17.266796874999997</v>
      </c>
      <c r="M30" s="220">
        <f>IF(ISBLANK(M$12),BS_Hist_TA!M30,IF(M$12=0,0,BS_Hist_TA!M30))</f>
        <v>0</v>
      </c>
      <c r="N30" s="220">
        <f>IF(ISBLANK(N$12),BS_Hist_TA!N30,IF(N$12=0,0,BS_Hist_TA!N30))</f>
        <v>0</v>
      </c>
      <c r="O30" s="220">
        <f>IF(ISBLANK(O$12),BS_Hist_TA!O30,IF(O$12=0,0,BS_Hist_TA!O30))</f>
        <v>0</v>
      </c>
      <c r="P30" s="220">
        <f>IF(ISBLANK(P$12),BS_Hist_TA!P30,IF(P$12=0,0,BS_Hist_TA!P30))</f>
        <v>0</v>
      </c>
      <c r="Q30" s="220">
        <f>IF(ISBLANK(Q$12),BS_Hist_TA!Q30,IF(Q$12=0,0,BS_Hist_TA!Q30))</f>
        <v>0</v>
      </c>
    </row>
    <row r="31" spans="3:17" s="24" customFormat="1" x14ac:dyDescent="0.15">
      <c r="D31" s="186" t="str">
        <f>BS_Hist_TA!D31</f>
        <v>Deferred Tax Assets</v>
      </c>
      <c r="I31" s="220">
        <f>IF(ISBLANK(I$12),BS_Hist_TA!I31,IF(I$12=0,0,BS_Hist_TA!I31))</f>
        <v>0</v>
      </c>
      <c r="J31" s="220">
        <f>IF(ISBLANK(J$12),BS_Hist_TA!J31,IF(J$12=0,0,BS_Hist_TA!J31))</f>
        <v>0</v>
      </c>
      <c r="K31" s="220">
        <f>IF(ISBLANK(K$12),BS_Hist_TA!K31,IF(K$12=0,0,BS_Hist_TA!K31))</f>
        <v>0</v>
      </c>
      <c r="L31" s="220">
        <f>IF(ISBLANK(L$12),BS_Hist_TA!L31,IF(L$12=0,0,BS_Hist_TA!L31))</f>
        <v>0</v>
      </c>
      <c r="M31" s="220">
        <f>IF(ISBLANK(M$12),BS_Hist_TA!M31,IF(M$12=0,0,BS_Hist_TA!M31))</f>
        <v>0</v>
      </c>
      <c r="N31" s="220">
        <f>IF(ISBLANK(N$12),BS_Hist_TA!N31,IF(N$12=0,0,BS_Hist_TA!N31))</f>
        <v>0</v>
      </c>
      <c r="O31" s="220">
        <f>IF(ISBLANK(O$12),BS_Hist_TA!O31,IF(O$12=0,0,BS_Hist_TA!O31))</f>
        <v>0</v>
      </c>
      <c r="P31" s="220">
        <f>IF(ISBLANK(P$12),BS_Hist_TA!P31,IF(P$12=0,0,BS_Hist_TA!P31))</f>
        <v>0</v>
      </c>
      <c r="Q31" s="220">
        <f>IF(ISBLANK(Q$12),BS_Hist_TA!Q31,IF(Q$12=0,0,BS_Hist_TA!Q31))</f>
        <v>0</v>
      </c>
    </row>
    <row r="32" spans="3:17" s="24" customFormat="1" x14ac:dyDescent="0.15">
      <c r="D32" s="186"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x14ac:dyDescent="0.15">
      <c r="D33" s="179" t="str">
        <f>BS_Hist_TA!D33</f>
        <v>Total Non-Current Assets</v>
      </c>
      <c r="I33" s="226">
        <f>SUM(I29:I32)</f>
        <v>163.875</v>
      </c>
      <c r="J33" s="226">
        <f>SUM(J29:J32)</f>
        <v>163.875</v>
      </c>
      <c r="K33" s="226">
        <f t="shared" ref="K33:Q33" si="17">SUM(K29:K32)</f>
        <v>168.33437499999999</v>
      </c>
      <c r="L33" s="226">
        <f t="shared" si="17"/>
        <v>172.88023437499999</v>
      </c>
      <c r="M33" s="226">
        <f t="shared" si="17"/>
        <v>0</v>
      </c>
      <c r="N33" s="226">
        <f t="shared" si="17"/>
        <v>0</v>
      </c>
      <c r="O33" s="226">
        <f t="shared" si="17"/>
        <v>0</v>
      </c>
      <c r="P33" s="226">
        <f t="shared" si="17"/>
        <v>0</v>
      </c>
      <c r="Q33" s="226">
        <f t="shared" si="17"/>
        <v>0</v>
      </c>
    </row>
    <row r="34" spans="3:17" s="24" customFormat="1" x14ac:dyDescent="0.15">
      <c r="I34" s="143"/>
      <c r="J34" s="143"/>
      <c r="K34" s="143"/>
      <c r="L34" s="143"/>
      <c r="M34" s="143"/>
      <c r="N34" s="143"/>
      <c r="O34" s="143"/>
      <c r="P34" s="143"/>
      <c r="Q34" s="143"/>
    </row>
    <row r="35" spans="3:17" s="24" customFormat="1" ht="11.25" x14ac:dyDescent="0.15">
      <c r="C35" s="217" t="str">
        <f>BS_Hist_TA!C35</f>
        <v>Total Assets</v>
      </c>
      <c r="I35" s="212">
        <f t="shared" ref="I35:Q35" si="18">I25+I33</f>
        <v>182.14897260273972</v>
      </c>
      <c r="J35" s="212">
        <f t="shared" si="18"/>
        <v>184.64897260273972</v>
      </c>
      <c r="K35" s="212">
        <f t="shared" si="18"/>
        <v>195.01353381849319</v>
      </c>
      <c r="L35" s="212">
        <f t="shared" si="18"/>
        <v>213.28014276102488</v>
      </c>
      <c r="M35" s="212">
        <f t="shared" si="18"/>
        <v>0</v>
      </c>
      <c r="N35" s="212">
        <f t="shared" si="18"/>
        <v>0</v>
      </c>
      <c r="O35" s="212">
        <f t="shared" si="18"/>
        <v>0</v>
      </c>
      <c r="P35" s="212">
        <f t="shared" si="18"/>
        <v>0</v>
      </c>
      <c r="Q35" s="212">
        <f t="shared" si="18"/>
        <v>0</v>
      </c>
    </row>
    <row r="36" spans="3:17" s="24" customFormat="1" x14ac:dyDescent="0.15">
      <c r="I36" s="143"/>
      <c r="J36" s="143"/>
      <c r="K36" s="143"/>
      <c r="L36" s="143"/>
      <c r="M36" s="143"/>
      <c r="N36" s="143"/>
      <c r="O36" s="143"/>
      <c r="P36" s="143"/>
      <c r="Q36" s="143"/>
    </row>
    <row r="37" spans="3:17" s="24" customFormat="1" ht="11.25" x14ac:dyDescent="0.15">
      <c r="C37" s="217" t="str">
        <f>BS_Hist_TA!C37</f>
        <v>Current Liabilities</v>
      </c>
      <c r="I37" s="143"/>
      <c r="J37" s="143"/>
      <c r="K37" s="143"/>
      <c r="L37" s="143"/>
      <c r="M37" s="143"/>
      <c r="N37" s="143"/>
      <c r="O37" s="143"/>
      <c r="P37" s="143"/>
      <c r="Q37" s="143"/>
    </row>
    <row r="38" spans="3:17" s="24" customFormat="1" x14ac:dyDescent="0.15">
      <c r="I38" s="143"/>
      <c r="J38" s="143"/>
      <c r="K38" s="143"/>
      <c r="L38" s="143"/>
      <c r="M38" s="143"/>
      <c r="N38" s="143"/>
      <c r="O38" s="143"/>
      <c r="P38" s="143"/>
      <c r="Q38" s="143"/>
    </row>
    <row r="39" spans="3:17" s="24" customFormat="1" x14ac:dyDescent="0.15">
      <c r="D39" s="186" t="str">
        <f>BS_Hist_TA!D39</f>
        <v>Accounts Payable</v>
      </c>
      <c r="I39" s="220">
        <f>IF(ISBLANK(I$12),BS_Hist_TA!I39,IF(I$12=0,0,BS_Hist_TA!I39))</f>
        <v>8.0136986301369859</v>
      </c>
      <c r="J39" s="220">
        <f>IF(ISBLANK(J$12),BS_Hist_TA!J39,IF(J$12=0,0,BS_Hist_TA!J39))</f>
        <v>8.0136986301369859</v>
      </c>
      <c r="K39" s="220">
        <f>IF(ISBLANK(K$12),BS_Hist_TA!K39,IF(K$12=0,0,BS_Hist_TA!K39))</f>
        <v>8.2140410958904102</v>
      </c>
      <c r="L39" s="220">
        <f>IF(ISBLANK(L$12),BS_Hist_TA!L39,IF(L$12=0,0,BS_Hist_TA!L39))</f>
        <v>8.3963883196721305</v>
      </c>
      <c r="M39" s="220">
        <f>IF(ISBLANK(M$12),BS_Hist_TA!M39,IF(M$12=0,0,BS_Hist_TA!M39))</f>
        <v>0</v>
      </c>
      <c r="N39" s="220">
        <f>IF(ISBLANK(N$12),BS_Hist_TA!N39,IF(N$12=0,0,BS_Hist_TA!N39))</f>
        <v>0</v>
      </c>
      <c r="O39" s="220">
        <f>IF(ISBLANK(O$12),BS_Hist_TA!O39,IF(O$12=0,0,BS_Hist_TA!O39))</f>
        <v>0</v>
      </c>
      <c r="P39" s="220">
        <f>IF(ISBLANK(P$12),BS_Hist_TA!P39,IF(P$12=0,0,BS_Hist_TA!P39))</f>
        <v>0</v>
      </c>
      <c r="Q39" s="220">
        <f>IF(ISBLANK(Q$12),BS_Hist_TA!Q39,IF(Q$12=0,0,BS_Hist_TA!Q39))</f>
        <v>0</v>
      </c>
    </row>
    <row r="40" spans="3:17" s="24" customFormat="1" x14ac:dyDescent="0.15">
      <c r="D40" s="186" t="str">
        <f>BS_Hist_TA!D40</f>
        <v>Tax Payable</v>
      </c>
      <c r="I40" s="220">
        <f>IF(ISBLANK(I$12),BS_Hist_TA!I40,IF(I$12=0,0,BS_Hist_TA!I40))</f>
        <v>12.787500000000001</v>
      </c>
      <c r="J40" s="220">
        <f>IF(ISBLANK(J$12),BS_Hist_TA!J40,IF(J$12=0,0,BS_Hist_TA!J40))</f>
        <v>12.787500000000001</v>
      </c>
      <c r="K40" s="220">
        <f>IF(ISBLANK(K$12),BS_Hist_TA!K40,IF(K$12=0,0,BS_Hist_TA!K40))</f>
        <v>13.131562500000003</v>
      </c>
      <c r="L40" s="220">
        <f>IF(ISBLANK(L$12),BS_Hist_TA!L40,IF(L$12=0,0,BS_Hist_TA!L40))</f>
        <v>13.484226562500004</v>
      </c>
      <c r="M40" s="220">
        <f>IF(ISBLANK(M$12),BS_Hist_TA!M40,IF(M$12=0,0,BS_Hist_TA!M40))</f>
        <v>0</v>
      </c>
      <c r="N40" s="220">
        <f>IF(ISBLANK(N$12),BS_Hist_TA!N40,IF(N$12=0,0,BS_Hist_TA!N40))</f>
        <v>0</v>
      </c>
      <c r="O40" s="220">
        <f>IF(ISBLANK(O$12),BS_Hist_TA!O40,IF(O$12=0,0,BS_Hist_TA!O40))</f>
        <v>0</v>
      </c>
      <c r="P40" s="220">
        <f>IF(ISBLANK(P$12),BS_Hist_TA!P40,IF(P$12=0,0,BS_Hist_TA!P40))</f>
        <v>0</v>
      </c>
      <c r="Q40" s="220">
        <f>IF(ISBLANK(Q$12),BS_Hist_TA!Q40,IF(Q$12=0,0,BS_Hist_TA!Q40))</f>
        <v>0</v>
      </c>
    </row>
    <row r="41" spans="3:17" s="24" customFormat="1" x14ac:dyDescent="0.15">
      <c r="D41" s="186" t="str">
        <f>BS_Hist_TA!D41</f>
        <v>Interest Payable</v>
      </c>
      <c r="I41" s="220">
        <f>IF(ISBLANK(I$12),BS_Hist_TA!I41,IF(I$12=0,0,BS_Hist_TA!I41))</f>
        <v>0</v>
      </c>
      <c r="J41" s="220">
        <f>IF(ISBLANK(J$12),BS_Hist_TA!J41,IF(J$12=0,0,BS_Hist_TA!J41))</f>
        <v>0</v>
      </c>
      <c r="K41" s="220">
        <f>IF(ISBLANK(K$12),BS_Hist_TA!K41,IF(K$12=0,0,BS_Hist_TA!K41))</f>
        <v>0</v>
      </c>
      <c r="L41" s="220">
        <f>IF(ISBLANK(L$12),BS_Hist_TA!L41,IF(L$12=0,0,BS_Hist_TA!L41))</f>
        <v>0</v>
      </c>
      <c r="M41" s="220">
        <f>IF(ISBLANK(M$12),BS_Hist_TA!M41,IF(M$12=0,0,BS_Hist_TA!M41))</f>
        <v>0</v>
      </c>
      <c r="N41" s="220">
        <f>IF(ISBLANK(N$12),BS_Hist_TA!N41,IF(N$12=0,0,BS_Hist_TA!N41))</f>
        <v>0</v>
      </c>
      <c r="O41" s="220">
        <f>IF(ISBLANK(O$12),BS_Hist_TA!O41,IF(O$12=0,0,BS_Hist_TA!O41))</f>
        <v>0</v>
      </c>
      <c r="P41" s="220">
        <f>IF(ISBLANK(P$12),BS_Hist_TA!P41,IF(P$12=0,0,BS_Hist_TA!P41))</f>
        <v>0</v>
      </c>
      <c r="Q41" s="220">
        <f>IF(ISBLANK(Q$12),BS_Hist_TA!Q41,IF(Q$12=0,0,BS_Hist_TA!Q41))</f>
        <v>0</v>
      </c>
    </row>
    <row r="42" spans="3:17" s="24" customFormat="1" x14ac:dyDescent="0.15">
      <c r="D42" s="186" t="str">
        <f>BS_Hist_TA!D42</f>
        <v>Ordinary Equity Dividends Payable</v>
      </c>
      <c r="I42" s="220">
        <f>IF(ISBLANK(I$12),BS_Hist_TA!I42,IF(I$12=0,0,BS_Hist_TA!I42))</f>
        <v>0</v>
      </c>
      <c r="J42" s="220">
        <f>IF(ISBLANK(J$12),BS_Hist_TA!J42,IF(J$12=0,0,BS_Hist_TA!J42))</f>
        <v>0</v>
      </c>
      <c r="K42" s="220">
        <f>IF(ISBLANK(K$12),BS_Hist_TA!K42,IF(K$12=0,0,BS_Hist_TA!K42))</f>
        <v>0</v>
      </c>
      <c r="L42" s="220">
        <f>IF(ISBLANK(L$12),BS_Hist_TA!L42,IF(L$12=0,0,BS_Hist_TA!L42))</f>
        <v>0</v>
      </c>
      <c r="M42" s="220">
        <f>IF(ISBLANK(M$12),BS_Hist_TA!M42,IF(M$12=0,0,BS_Hist_TA!M42))</f>
        <v>0</v>
      </c>
      <c r="N42" s="220">
        <f>IF(ISBLANK(N$12),BS_Hist_TA!N42,IF(N$12=0,0,BS_Hist_TA!N42))</f>
        <v>0</v>
      </c>
      <c r="O42" s="220">
        <f>IF(ISBLANK(O$12),BS_Hist_TA!O42,IF(O$12=0,0,BS_Hist_TA!O42))</f>
        <v>0</v>
      </c>
      <c r="P42" s="220">
        <f>IF(ISBLANK(P$12),BS_Hist_TA!P42,IF(P$12=0,0,BS_Hist_TA!P42))</f>
        <v>0</v>
      </c>
      <c r="Q42" s="220">
        <f>IF(ISBLANK(Q$12),BS_Hist_TA!Q42,IF(Q$12=0,0,BS_Hist_TA!Q42))</f>
        <v>0</v>
      </c>
    </row>
    <row r="43" spans="3:17" s="24" customFormat="1" x14ac:dyDescent="0.15">
      <c r="D43" s="186"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x14ac:dyDescent="0.15">
      <c r="D44" s="179" t="str">
        <f>BS_Hist_TA!D44</f>
        <v>Total Current Liabilities</v>
      </c>
      <c r="I44" s="226">
        <f>SUM(I39:I43)</f>
        <v>25.801198630136987</v>
      </c>
      <c r="J44" s="226">
        <f>SUM(J39:J43)</f>
        <v>25.801198630136987</v>
      </c>
      <c r="K44" s="226">
        <f t="shared" ref="K44:Q44" si="19">SUM(K39:K43)</f>
        <v>27.345603595890413</v>
      </c>
      <c r="L44" s="226">
        <f t="shared" si="19"/>
        <v>28.880614882172132</v>
      </c>
      <c r="M44" s="226">
        <f t="shared" si="19"/>
        <v>0</v>
      </c>
      <c r="N44" s="226">
        <f t="shared" si="19"/>
        <v>0</v>
      </c>
      <c r="O44" s="226">
        <f t="shared" si="19"/>
        <v>0</v>
      </c>
      <c r="P44" s="226">
        <f t="shared" si="19"/>
        <v>0</v>
      </c>
      <c r="Q44" s="226">
        <f t="shared" si="19"/>
        <v>0</v>
      </c>
    </row>
    <row r="45" spans="3:17" s="24" customFormat="1" x14ac:dyDescent="0.15">
      <c r="I45" s="143"/>
      <c r="J45" s="143"/>
      <c r="K45" s="143"/>
      <c r="L45" s="143"/>
      <c r="M45" s="143"/>
      <c r="N45" s="143"/>
      <c r="O45" s="143"/>
      <c r="P45" s="143"/>
      <c r="Q45" s="143"/>
    </row>
    <row r="46" spans="3:17" s="24" customFormat="1" ht="11.25" x14ac:dyDescent="0.15">
      <c r="C46" s="217" t="str">
        <f>BS_Hist_TA!C46</f>
        <v>Non-Current Liabilities</v>
      </c>
      <c r="I46" s="143"/>
      <c r="J46" s="143"/>
      <c r="K46" s="143"/>
      <c r="L46" s="143"/>
      <c r="M46" s="143"/>
      <c r="N46" s="143"/>
      <c r="O46" s="143"/>
      <c r="P46" s="143"/>
      <c r="Q46" s="143"/>
    </row>
    <row r="47" spans="3:17" s="24" customFormat="1" x14ac:dyDescent="0.15">
      <c r="I47" s="143"/>
      <c r="J47" s="143"/>
      <c r="K47" s="143"/>
      <c r="L47" s="143"/>
      <c r="M47" s="143"/>
      <c r="N47" s="143"/>
      <c r="O47" s="143"/>
      <c r="P47" s="143"/>
      <c r="Q47" s="143"/>
    </row>
    <row r="48" spans="3:17" s="24" customFormat="1" x14ac:dyDescent="0.15">
      <c r="D48" s="186" t="str">
        <f>BS_Hist_TA!D48</f>
        <v>Debt</v>
      </c>
      <c r="I48" s="220">
        <f>IF(ISBLANK(I$12),BS_Hist_TA!I48,IF(I$12=0,0,BS_Hist_TA!I48))</f>
        <v>50</v>
      </c>
      <c r="J48" s="220">
        <f>IF(ISBLANK(J$12),BS_Hist_TA!J48,IF(J$12=0,0,BS_Hist_TA!J48))</f>
        <v>50</v>
      </c>
      <c r="K48" s="220">
        <f>IF(ISBLANK(K$12),BS_Hist_TA!K48,IF(K$12=0,0,BS_Hist_TA!K48))</f>
        <v>50</v>
      </c>
      <c r="L48" s="220">
        <f>IF(ISBLANK(L$12),BS_Hist_TA!L48,IF(L$12=0,0,BS_Hist_TA!L48))</f>
        <v>50</v>
      </c>
      <c r="M48" s="220">
        <f>IF(ISBLANK(M$12),BS_Hist_TA!M48,IF(M$12=0,0,BS_Hist_TA!M48))</f>
        <v>0</v>
      </c>
      <c r="N48" s="220">
        <f>IF(ISBLANK(N$12),BS_Hist_TA!N48,IF(N$12=0,0,BS_Hist_TA!N48))</f>
        <v>0</v>
      </c>
      <c r="O48" s="220">
        <f>IF(ISBLANK(O$12),BS_Hist_TA!O48,IF(O$12=0,0,BS_Hist_TA!O48))</f>
        <v>0</v>
      </c>
      <c r="P48" s="220">
        <f>IF(ISBLANK(P$12),BS_Hist_TA!P48,IF(P$12=0,0,BS_Hist_TA!P48))</f>
        <v>0</v>
      </c>
      <c r="Q48" s="220">
        <f>IF(ISBLANK(Q$12),BS_Hist_TA!Q48,IF(Q$12=0,0,BS_Hist_TA!Q48))</f>
        <v>0</v>
      </c>
    </row>
    <row r="49" spans="3:17" s="24" customFormat="1" x14ac:dyDescent="0.15">
      <c r="D49" s="186" t="str">
        <f>BS_Hist_TA!D49</f>
        <v>Deferred Tax Liabilities</v>
      </c>
      <c r="I49" s="220">
        <f>IF(ISBLANK(I$12),BS_Hist_TA!I49,IF(I$12=0,0,BS_Hist_TA!I49))</f>
        <v>0</v>
      </c>
      <c r="J49" s="220">
        <f>IF(ISBLANK(J$12),BS_Hist_TA!J49,IF(J$12=0,0,BS_Hist_TA!J49))</f>
        <v>0</v>
      </c>
      <c r="K49" s="220">
        <f>IF(ISBLANK(K$12),BS_Hist_TA!K49,IF(K$12=0,0,BS_Hist_TA!K49))</f>
        <v>0</v>
      </c>
      <c r="L49" s="220">
        <f>IF(ISBLANK(L$12),BS_Hist_TA!L49,IF(L$12=0,0,BS_Hist_TA!L49))</f>
        <v>0</v>
      </c>
      <c r="M49" s="220">
        <f>IF(ISBLANK(M$12),BS_Hist_TA!M49,IF(M$12=0,0,BS_Hist_TA!M49))</f>
        <v>0</v>
      </c>
      <c r="N49" s="220">
        <f>IF(ISBLANK(N$12),BS_Hist_TA!N49,IF(N$12=0,0,BS_Hist_TA!N49))</f>
        <v>0</v>
      </c>
      <c r="O49" s="220">
        <f>IF(ISBLANK(O$12),BS_Hist_TA!O49,IF(O$12=0,0,BS_Hist_TA!O49))</f>
        <v>0</v>
      </c>
      <c r="P49" s="220">
        <f>IF(ISBLANK(P$12),BS_Hist_TA!P49,IF(P$12=0,0,BS_Hist_TA!P49))</f>
        <v>0</v>
      </c>
      <c r="Q49" s="220">
        <f>IF(ISBLANK(Q$12),BS_Hist_TA!Q49,IF(Q$12=0,0,BS_Hist_TA!Q49))</f>
        <v>0</v>
      </c>
    </row>
    <row r="50" spans="3:17" s="24" customFormat="1" x14ac:dyDescent="0.15">
      <c r="D50" s="186"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x14ac:dyDescent="0.15">
      <c r="D51" s="179" t="str">
        <f>BS_Hist_TA!D51</f>
        <v>Total Non-Current Liabilities</v>
      </c>
      <c r="I51" s="226">
        <f>SUM(I48:I50)</f>
        <v>56</v>
      </c>
      <c r="J51" s="226">
        <f>SUM(J48:J50)</f>
        <v>56</v>
      </c>
      <c r="K51" s="226">
        <f t="shared" ref="K51:Q51" si="20">SUM(K48:K50)</f>
        <v>57</v>
      </c>
      <c r="L51" s="226">
        <f t="shared" si="20"/>
        <v>58</v>
      </c>
      <c r="M51" s="226">
        <f t="shared" si="20"/>
        <v>0</v>
      </c>
      <c r="N51" s="226">
        <f t="shared" si="20"/>
        <v>0</v>
      </c>
      <c r="O51" s="226">
        <f t="shared" si="20"/>
        <v>0</v>
      </c>
      <c r="P51" s="226">
        <f t="shared" si="20"/>
        <v>0</v>
      </c>
      <c r="Q51" s="226">
        <f t="shared" si="20"/>
        <v>0</v>
      </c>
    </row>
    <row r="52" spans="3:17" s="24" customFormat="1" x14ac:dyDescent="0.15">
      <c r="I52" s="143"/>
      <c r="J52" s="143"/>
      <c r="K52" s="143"/>
      <c r="L52" s="143"/>
      <c r="M52" s="143"/>
      <c r="N52" s="143"/>
      <c r="O52" s="143"/>
      <c r="P52" s="143"/>
      <c r="Q52" s="143"/>
    </row>
    <row r="53" spans="3:17" s="24" customFormat="1" ht="11.25" x14ac:dyDescent="0.15">
      <c r="C53" s="217" t="str">
        <f>BS_Hist_TA!C53</f>
        <v>Total Liabilities</v>
      </c>
      <c r="I53" s="212">
        <f t="shared" ref="I53:Q53" si="21">I44+I51</f>
        <v>81.80119863013698</v>
      </c>
      <c r="J53" s="212">
        <f t="shared" si="21"/>
        <v>81.80119863013698</v>
      </c>
      <c r="K53" s="212">
        <f t="shared" si="21"/>
        <v>84.34560359589041</v>
      </c>
      <c r="L53" s="212">
        <f t="shared" si="21"/>
        <v>86.880614882172125</v>
      </c>
      <c r="M53" s="212">
        <f t="shared" si="21"/>
        <v>0</v>
      </c>
      <c r="N53" s="212">
        <f t="shared" si="21"/>
        <v>0</v>
      </c>
      <c r="O53" s="212">
        <f t="shared" si="21"/>
        <v>0</v>
      </c>
      <c r="P53" s="212">
        <f t="shared" si="21"/>
        <v>0</v>
      </c>
      <c r="Q53" s="212">
        <f t="shared" si="21"/>
        <v>0</v>
      </c>
    </row>
    <row r="54" spans="3:17" s="24" customFormat="1" x14ac:dyDescent="0.15">
      <c r="I54" s="143"/>
      <c r="J54" s="143"/>
      <c r="K54" s="143"/>
      <c r="L54" s="143"/>
      <c r="M54" s="143"/>
      <c r="N54" s="143"/>
      <c r="O54" s="143"/>
      <c r="P54" s="143"/>
      <c r="Q54" s="143"/>
    </row>
    <row r="55" spans="3:17" s="24" customFormat="1" ht="12" thickBot="1" x14ac:dyDescent="0.2">
      <c r="C55" s="217" t="str">
        <f>BS_Hist_TA!C55</f>
        <v>Net Assets</v>
      </c>
      <c r="I55" s="214">
        <f t="shared" ref="I55:Q55" si="22">I35-I53</f>
        <v>100.34777397260274</v>
      </c>
      <c r="J55" s="214">
        <f t="shared" si="22"/>
        <v>102.84777397260274</v>
      </c>
      <c r="K55" s="214">
        <f t="shared" si="22"/>
        <v>110.66793022260278</v>
      </c>
      <c r="L55" s="214">
        <f t="shared" si="22"/>
        <v>126.39952787885275</v>
      </c>
      <c r="M55" s="214">
        <f t="shared" si="22"/>
        <v>0</v>
      </c>
      <c r="N55" s="214">
        <f t="shared" si="22"/>
        <v>0</v>
      </c>
      <c r="O55" s="214">
        <f t="shared" si="22"/>
        <v>0</v>
      </c>
      <c r="P55" s="214">
        <f t="shared" si="22"/>
        <v>0</v>
      </c>
      <c r="Q55" s="214">
        <f t="shared" si="22"/>
        <v>0</v>
      </c>
    </row>
    <row r="56" spans="3:17" s="24" customFormat="1" ht="11.25" thickTop="1" x14ac:dyDescent="0.15">
      <c r="I56" s="143"/>
      <c r="J56" s="143"/>
      <c r="K56" s="143"/>
      <c r="L56" s="143"/>
      <c r="M56" s="143"/>
      <c r="N56" s="143"/>
      <c r="O56" s="143"/>
      <c r="P56" s="143"/>
      <c r="Q56" s="143"/>
    </row>
    <row r="57" spans="3:17" s="24" customFormat="1" ht="11.25" x14ac:dyDescent="0.15">
      <c r="C57" s="217" t="str">
        <f>BS_Hist_TA!C57</f>
        <v>Equity</v>
      </c>
      <c r="I57" s="143"/>
      <c r="J57" s="143"/>
      <c r="K57" s="143"/>
      <c r="L57" s="143"/>
      <c r="M57" s="143"/>
      <c r="N57" s="143"/>
      <c r="O57" s="143"/>
      <c r="P57" s="143"/>
      <c r="Q57" s="143"/>
    </row>
    <row r="58" spans="3:17" s="24" customFormat="1" x14ac:dyDescent="0.15">
      <c r="I58" s="143"/>
      <c r="J58" s="143"/>
      <c r="K58" s="143"/>
      <c r="L58" s="143"/>
      <c r="M58" s="143"/>
      <c r="N58" s="143"/>
      <c r="O58" s="143"/>
      <c r="P58" s="143"/>
      <c r="Q58" s="143"/>
    </row>
    <row r="59" spans="3:17" s="24" customFormat="1" x14ac:dyDescent="0.15">
      <c r="D59" s="186" t="str">
        <f>BS_Hist_TA!D59</f>
        <v>Ordinary Equity</v>
      </c>
      <c r="I59" s="220">
        <f>IF(ISBLANK(I$12),BS_Hist_TA!I59,IF(I$12=0,0,BS_Hist_TA!I59))</f>
        <v>75</v>
      </c>
      <c r="J59" s="220">
        <f>IF(ISBLANK(J$12),BS_Hist_TA!J59,IF(J$12=0,0,BS_Hist_TA!J59))</f>
        <v>75</v>
      </c>
      <c r="K59" s="220">
        <f>IF(ISBLANK(K$12),BS_Hist_TA!K59,IF(K$12=0,0,BS_Hist_TA!K59))</f>
        <v>75</v>
      </c>
      <c r="L59" s="220">
        <f>IF(ISBLANK(L$12),BS_Hist_TA!L59,IF(L$12=0,0,BS_Hist_TA!L59))</f>
        <v>75</v>
      </c>
      <c r="M59" s="220">
        <f>IF(ISBLANK(M$12),BS_Hist_TA!M59,IF(M$12=0,0,BS_Hist_TA!M59))</f>
        <v>0</v>
      </c>
      <c r="N59" s="220">
        <f>IF(ISBLANK(N$12),BS_Hist_TA!N59,IF(N$12=0,0,BS_Hist_TA!N59))</f>
        <v>0</v>
      </c>
      <c r="O59" s="220">
        <f>IF(ISBLANK(O$12),BS_Hist_TA!O59,IF(O$12=0,0,BS_Hist_TA!O59))</f>
        <v>0</v>
      </c>
      <c r="P59" s="220">
        <f>IF(ISBLANK(P$12),BS_Hist_TA!P59,IF(P$12=0,0,BS_Hist_TA!P59))</f>
        <v>0</v>
      </c>
      <c r="Q59" s="220">
        <f>IF(ISBLANK(Q$12),BS_Hist_TA!Q59,IF(Q$12=0,0,BS_Hist_TA!Q59))</f>
        <v>0</v>
      </c>
    </row>
    <row r="60" spans="3:17" s="24" customFormat="1" x14ac:dyDescent="0.15">
      <c r="D60" s="204" t="str">
        <f>BS_Hist_TA!D60</f>
        <v>Other Equity</v>
      </c>
      <c r="I60" s="220">
        <f>IF(ISBLANK(I$12),BS_Hist_TA!I60,IF(I$12=0,0,BS_Hist_TA!I60))</f>
        <v>5</v>
      </c>
      <c r="J60" s="220">
        <f>IF(ISBLANK(J$12),BS_Hist_TA!J60,IF(J$12=0,0,BS_Hist_TA!J60))</f>
        <v>5</v>
      </c>
      <c r="K60" s="220">
        <f>IF(ISBLANK(K$12),BS_Hist_TA!K60,IF(K$12=0,0,BS_Hist_TA!K60))</f>
        <v>5</v>
      </c>
      <c r="L60" s="220">
        <f>IF(ISBLANK(L$12),BS_Hist_TA!L60,IF(L$12=0,0,BS_Hist_TA!L60))</f>
        <v>5</v>
      </c>
      <c r="M60" s="220">
        <f>IF(ISBLANK(M$12),BS_Hist_TA!M60,IF(M$12=0,0,BS_Hist_TA!M60))</f>
        <v>0</v>
      </c>
      <c r="N60" s="220">
        <f>IF(ISBLANK(N$12),BS_Hist_TA!N60,IF(N$12=0,0,BS_Hist_TA!N60))</f>
        <v>0</v>
      </c>
      <c r="O60" s="220">
        <f>IF(ISBLANK(O$12),BS_Hist_TA!O60,IF(O$12=0,0,BS_Hist_TA!O60))</f>
        <v>0</v>
      </c>
      <c r="P60" s="220">
        <f>IF(ISBLANK(P$12),BS_Hist_TA!P60,IF(P$12=0,0,BS_Hist_TA!P60))</f>
        <v>0</v>
      </c>
      <c r="Q60" s="220">
        <f>IF(ISBLANK(Q$12),BS_Hist_TA!Q60,IF(Q$12=0,0,BS_Hist_TA!Q60))</f>
        <v>0</v>
      </c>
    </row>
    <row r="61" spans="3:17" s="24" customFormat="1" hidden="1" outlineLevel="2" x14ac:dyDescent="0.15">
      <c r="D61" s="204"/>
      <c r="E61" s="203" t="s">
        <v>298</v>
      </c>
      <c r="I61" s="220"/>
      <c r="J61" s="220">
        <f>IF(J$12=0,0,I64)</f>
        <v>20.347773972602738</v>
      </c>
      <c r="K61" s="220">
        <f t="shared" ref="K61" si="23">IF(K$12=0,0,J64)</f>
        <v>22.847773972602738</v>
      </c>
      <c r="L61" s="220">
        <f t="shared" ref="L61" si="24">IF(L$12=0,0,K64)</f>
        <v>30.667930222602777</v>
      </c>
      <c r="M61" s="220">
        <f t="shared" ref="M61" si="25">IF(M$12=0,0,L64)</f>
        <v>0</v>
      </c>
      <c r="N61" s="220">
        <f t="shared" ref="N61" si="26">IF(N$12=0,0,M64)</f>
        <v>0</v>
      </c>
      <c r="O61" s="220">
        <f t="shared" ref="O61" si="27">IF(O$12=0,0,N64)</f>
        <v>0</v>
      </c>
      <c r="P61" s="220">
        <f t="shared" ref="P61" si="28">IF(P$12=0,0,O64)</f>
        <v>0</v>
      </c>
      <c r="Q61" s="220">
        <f t="shared" ref="Q61" si="29">IF(Q$12=0,0,P64)</f>
        <v>0</v>
      </c>
    </row>
    <row r="62" spans="3:17" s="24" customFormat="1" hidden="1" outlineLevel="2" x14ac:dyDescent="0.15">
      <c r="D62" s="204"/>
      <c r="E62" s="203" t="s">
        <v>583</v>
      </c>
      <c r="I62" s="220"/>
      <c r="J62" s="220">
        <f>IF(ISBLANK(J$12),BS_Hist_TA!J61,IF(J$12=0,0,BS_Hist_TA!J61))-J61</f>
        <v>2.5</v>
      </c>
      <c r="K62" s="220">
        <f>IF(ISBLANK(K$12),BS_Hist_TA!K61,IF(K$12=0,0,BS_Hist_TA!K61))-K61</f>
        <v>7.8201562500000392</v>
      </c>
      <c r="L62" s="220">
        <f>IF(ISBLANK(L$12),BS_Hist_TA!L61,IF(L$12=0,0,BS_Hist_TA!L61))-L61</f>
        <v>15.731597656249974</v>
      </c>
      <c r="M62" s="220">
        <f>IF(ISBLANK(M$12),BS_Hist_TA!M61,IF(M$12=0,0,BS_Hist_TA!M61))-M61</f>
        <v>0</v>
      </c>
      <c r="N62" s="220">
        <f>IF(ISBLANK(N$12),BS_Hist_TA!N61,IF(N$12=0,0,BS_Hist_TA!N61))-N61</f>
        <v>0</v>
      </c>
      <c r="O62" s="220">
        <f>IF(ISBLANK(O$12),BS_Hist_TA!O61,IF(O$12=0,0,BS_Hist_TA!O61))-O61</f>
        <v>0</v>
      </c>
      <c r="P62" s="220">
        <f>IF(ISBLANK(P$12),BS_Hist_TA!P61,IF(P$12=0,0,BS_Hist_TA!P61))-P61</f>
        <v>0</v>
      </c>
      <c r="Q62" s="220">
        <f>IF(ISBLANK(Q$12),BS_Hist_TA!Q61,IF(Q$12=0,0,BS_Hist_TA!Q61))-Q61</f>
        <v>0</v>
      </c>
    </row>
    <row r="63" spans="3:17" s="24" customFormat="1" hidden="1" outlineLevel="2" x14ac:dyDescent="0.15">
      <c r="E63" s="204" t="str">
        <f>BS_Hist_TA!E62</f>
        <v>Retained Profits - Balancing Item</v>
      </c>
      <c r="I63" s="220"/>
      <c r="J63" s="220">
        <f>IF(ISBLANK(J$12),BS_Hist_TA!J62,IF(J$12=0,0,BS_Hist_TA!J62))</f>
        <v>0</v>
      </c>
      <c r="K63" s="220">
        <f>IF(ISBLANK(K$12),BS_Hist_TA!K62,IF(K$12=0,0,BS_Hist_TA!K62))</f>
        <v>0</v>
      </c>
      <c r="L63" s="220">
        <f>IF(ISBLANK(L$12),BS_Hist_TA!L62,IF(L$12=0,0,BS_Hist_TA!L62))</f>
        <v>0</v>
      </c>
      <c r="M63" s="220">
        <f>IF(ISBLANK(M$12),BS_Hist_TA!M62,IF(M$12=0,0,BS_Hist_TA!M62))</f>
        <v>0</v>
      </c>
      <c r="N63" s="220">
        <f>IF(ISBLANK(N$12),BS_Hist_TA!N62,IF(N$12=0,0,BS_Hist_TA!N62))</f>
        <v>0</v>
      </c>
      <c r="O63" s="220">
        <f>IF(ISBLANK(O$12),BS_Hist_TA!O62,IF(O$12=0,0,BS_Hist_TA!O62))</f>
        <v>0</v>
      </c>
      <c r="P63" s="220">
        <f>IF(ISBLANK(P$12),BS_Hist_TA!P62,IF(P$12=0,0,BS_Hist_TA!P62))</f>
        <v>0</v>
      </c>
      <c r="Q63" s="220">
        <f>IF(ISBLANK(Q$12),BS_Hist_TA!Q62,IF(Q$12=0,0,BS_Hist_TA!Q62))</f>
        <v>0</v>
      </c>
    </row>
    <row r="64" spans="3:17" s="24" customFormat="1" collapsed="1" x14ac:dyDescent="0.15">
      <c r="D64" s="186" t="str">
        <f>BS_Hist_TA!D63</f>
        <v>Retained Profits</v>
      </c>
      <c r="I64" s="213">
        <f>IF(ISBLANK(I$12),BS_Hist_TA!$I$63,SUM(I61:I63))</f>
        <v>20.347773972602738</v>
      </c>
      <c r="J64" s="213">
        <f>IF(ISBLANK(J$12),BS_Hist_TA!$I$63,SUM(J61:J63))</f>
        <v>22.847773972602738</v>
      </c>
      <c r="K64" s="213">
        <f>IF(ISBLANK(K$12),BS_Hist_TA!$I$63,SUM(K61:K63))</f>
        <v>30.667930222602777</v>
      </c>
      <c r="L64" s="213">
        <f>IF(ISBLANK(L$12),BS_Hist_TA!$I$63,SUM(L61:L63))</f>
        <v>46.399527878852751</v>
      </c>
      <c r="M64" s="213">
        <f>IF(ISBLANK(M$12),BS_Hist_TA!$I$63,SUM(M61:M63))</f>
        <v>0</v>
      </c>
      <c r="N64" s="213">
        <f>IF(ISBLANK(N$12),BS_Hist_TA!$I$63,SUM(N61:N63))</f>
        <v>0</v>
      </c>
      <c r="O64" s="213">
        <f>IF(ISBLANK(O$12),BS_Hist_TA!$I$63,SUM(O61:O63))</f>
        <v>0</v>
      </c>
      <c r="P64" s="213">
        <f>IF(ISBLANK(P$12),BS_Hist_TA!$I$63,SUM(P61:P63))</f>
        <v>0</v>
      </c>
      <c r="Q64" s="213">
        <f>IF(ISBLANK(Q$12),BS_Hist_TA!$I$63,SUM(Q61:Q63))</f>
        <v>0</v>
      </c>
    </row>
    <row r="65" spans="3:17" s="24" customFormat="1" x14ac:dyDescent="0.15">
      <c r="I65" s="143"/>
      <c r="J65" s="143"/>
      <c r="K65" s="143"/>
      <c r="L65" s="143"/>
      <c r="M65" s="143"/>
      <c r="N65" s="143"/>
      <c r="O65" s="143"/>
      <c r="P65" s="143"/>
      <c r="Q65" s="143"/>
    </row>
    <row r="66" spans="3:17" s="24" customFormat="1" ht="12" thickBot="1" x14ac:dyDescent="0.2">
      <c r="C66" s="217" t="str">
        <f>BS_Hist_TA!C65</f>
        <v>Total Equity</v>
      </c>
      <c r="I66" s="214">
        <f t="shared" ref="I66:Q66" si="30">I59+I60+I64</f>
        <v>100.34777397260274</v>
      </c>
      <c r="J66" s="214">
        <f t="shared" si="30"/>
        <v>102.84777397260274</v>
      </c>
      <c r="K66" s="214">
        <f t="shared" si="30"/>
        <v>110.66793022260278</v>
      </c>
      <c r="L66" s="214">
        <f t="shared" si="30"/>
        <v>126.39952787885275</v>
      </c>
      <c r="M66" s="214">
        <f t="shared" si="30"/>
        <v>0</v>
      </c>
      <c r="N66" s="214">
        <f t="shared" si="30"/>
        <v>0</v>
      </c>
      <c r="O66" s="214">
        <f t="shared" si="30"/>
        <v>0</v>
      </c>
      <c r="P66" s="214">
        <f t="shared" si="30"/>
        <v>0</v>
      </c>
      <c r="Q66" s="214">
        <f t="shared" si="30"/>
        <v>0</v>
      </c>
    </row>
    <row r="67" spans="3:17" s="24" customFormat="1" ht="12" thickTop="1" x14ac:dyDescent="0.15">
      <c r="C67" s="245"/>
      <c r="I67" s="226"/>
      <c r="J67" s="226"/>
      <c r="K67" s="226"/>
      <c r="L67" s="226"/>
      <c r="M67" s="226"/>
      <c r="N67" s="226"/>
      <c r="O67" s="226"/>
      <c r="P67" s="226"/>
      <c r="Q67" s="226"/>
    </row>
    <row r="68" spans="3:17" s="24" customFormat="1" hidden="1" outlineLevel="2" x14ac:dyDescent="0.15">
      <c r="D68" s="229" t="str">
        <f>BS_Hist_TA!D67</f>
        <v>Error Values</v>
      </c>
      <c r="I68" s="222">
        <f>IF(ISERROR(I55-I66),1,0)</f>
        <v>0</v>
      </c>
      <c r="J68" s="222">
        <f t="shared" ref="J68:Q68" si="31">IF(ISERROR(J55-J66),1,0)</f>
        <v>0</v>
      </c>
      <c r="K68" s="222">
        <f t="shared" si="31"/>
        <v>0</v>
      </c>
      <c r="L68" s="222">
        <f t="shared" si="31"/>
        <v>0</v>
      </c>
      <c r="M68" s="222">
        <f t="shared" si="31"/>
        <v>0</v>
      </c>
      <c r="N68" s="222">
        <f t="shared" si="31"/>
        <v>0</v>
      </c>
      <c r="O68" s="222">
        <f t="shared" si="31"/>
        <v>0</v>
      </c>
      <c r="P68" s="222">
        <f t="shared" si="31"/>
        <v>0</v>
      </c>
      <c r="Q68" s="222">
        <f t="shared" si="31"/>
        <v>0</v>
      </c>
    </row>
    <row r="69" spans="3:17" s="24" customFormat="1" hidden="1" outlineLevel="2" x14ac:dyDescent="0.15">
      <c r="D69" s="229" t="str">
        <f>BS_Hist_TA!D68</f>
        <v>Balancing Item Used</v>
      </c>
      <c r="I69" s="223">
        <f>IF(I68&lt;&gt;0,0,(ROUND(I55-I66,5)&lt;&gt;0)*1)</f>
        <v>0</v>
      </c>
      <c r="J69" s="223">
        <f t="shared" ref="J69:Q69" si="32">IF(J68&lt;&gt;0,0,(ROUND(J55-J66,5)&lt;&gt;0)*1)</f>
        <v>0</v>
      </c>
      <c r="K69" s="223">
        <f t="shared" si="32"/>
        <v>0</v>
      </c>
      <c r="L69" s="223">
        <f t="shared" si="32"/>
        <v>0</v>
      </c>
      <c r="M69" s="223">
        <f t="shared" si="32"/>
        <v>0</v>
      </c>
      <c r="N69" s="223">
        <f t="shared" si="32"/>
        <v>0</v>
      </c>
      <c r="O69" s="223">
        <f t="shared" si="32"/>
        <v>0</v>
      </c>
      <c r="P69" s="223">
        <f t="shared" si="32"/>
        <v>0</v>
      </c>
      <c r="Q69" s="223">
        <f t="shared" si="32"/>
        <v>0</v>
      </c>
    </row>
    <row r="70" spans="3:17" s="24" customFormat="1" collapsed="1" x14ac:dyDescent="0.15">
      <c r="C70" s="229" t="str">
        <f>BS_Hist_TA!C69</f>
        <v>Total Error Check Result</v>
      </c>
      <c r="H70" s="224">
        <f>IF(ISERROR(SUM(I70:Q70)),0,MIN(SUM(I70:Q70),1))</f>
        <v>0</v>
      </c>
      <c r="I70" s="225">
        <f t="shared" ref="I70:Q70" si="33">MIN(SUM(I68:I69),1)</f>
        <v>0</v>
      </c>
      <c r="J70" s="225">
        <f t="shared" si="33"/>
        <v>0</v>
      </c>
      <c r="K70" s="225">
        <f t="shared" si="33"/>
        <v>0</v>
      </c>
      <c r="L70" s="225">
        <f t="shared" si="33"/>
        <v>0</v>
      </c>
      <c r="M70" s="225">
        <f t="shared" si="33"/>
        <v>0</v>
      </c>
      <c r="N70" s="225">
        <f t="shared" si="33"/>
        <v>0</v>
      </c>
      <c r="O70" s="225">
        <f t="shared" si="33"/>
        <v>0</v>
      </c>
      <c r="P70" s="225">
        <f t="shared" si="33"/>
        <v>0</v>
      </c>
      <c r="Q70" s="225">
        <f t="shared" si="33"/>
        <v>0</v>
      </c>
    </row>
    <row r="71" spans="3:17" s="24" customFormat="1" hidden="1" outlineLevel="2" x14ac:dyDescent="0.15">
      <c r="J71" s="221"/>
      <c r="K71" s="221"/>
      <c r="L71" s="221"/>
      <c r="M71" s="221"/>
      <c r="N71" s="221"/>
      <c r="O71" s="221"/>
      <c r="P71" s="221"/>
      <c r="Q71" s="221"/>
    </row>
    <row r="72" spans="3:17" s="24" customFormat="1" hidden="1" outlineLevel="2" x14ac:dyDescent="0.15">
      <c r="D72" s="186" t="str">
        <f>BS_Hist_TA!D71</f>
        <v>Negative Cash</v>
      </c>
      <c r="I72" s="248">
        <f>IF(I$12=0,0,IF(ISERROR(I22),1,IF(ROUND(I22,5)&lt;0,1,0)))</f>
        <v>0</v>
      </c>
      <c r="J72" s="248">
        <f>IF(J$12=0,0,IF(ISERROR(J22),1,IF(ROUND(J22,5)&lt;0,1,0)))</f>
        <v>0</v>
      </c>
      <c r="K72" s="248">
        <f t="shared" ref="K72:Q72" si="34">IF(K$12=0,0,IF(ISERROR(K22),1,IF(ROUND(K22,5)&lt;0,1,0)))</f>
        <v>0</v>
      </c>
      <c r="L72" s="248">
        <f t="shared" si="34"/>
        <v>0</v>
      </c>
      <c r="M72" s="248">
        <f t="shared" si="34"/>
        <v>0</v>
      </c>
      <c r="N72" s="248">
        <f t="shared" si="34"/>
        <v>0</v>
      </c>
      <c r="O72" s="248">
        <f t="shared" si="34"/>
        <v>0</v>
      </c>
      <c r="P72" s="248">
        <f t="shared" si="34"/>
        <v>0</v>
      </c>
      <c r="Q72" s="248">
        <f t="shared" si="34"/>
        <v>0</v>
      </c>
    </row>
    <row r="73" spans="3:17" s="24" customFormat="1" hidden="1" outlineLevel="2" x14ac:dyDescent="0.15">
      <c r="D73" s="186" t="str">
        <f>BS_Hist_TA!D72</f>
        <v>Balancing Item Used</v>
      </c>
      <c r="I73" s="223">
        <f>IF(OR(ISBLANK(I$12),I$12&lt;&gt;0),IF(ISERROR(I63),1,IF(ROUND(I63,5)&lt;&gt;0,1,0)),0)</f>
        <v>0</v>
      </c>
      <c r="J73" s="223">
        <f t="shared" ref="J73:Q73" si="35">IF(OR(ISBLANK(J$12),J$12&lt;&gt;0),IF(ISERROR(J63),1,IF(ROUND(J63,5)&lt;&gt;0,1,0)),0)</f>
        <v>0</v>
      </c>
      <c r="K73" s="223">
        <f t="shared" si="35"/>
        <v>0</v>
      </c>
      <c r="L73" s="223">
        <f t="shared" si="35"/>
        <v>0</v>
      </c>
      <c r="M73" s="223">
        <f t="shared" si="35"/>
        <v>0</v>
      </c>
      <c r="N73" s="223">
        <f t="shared" si="35"/>
        <v>0</v>
      </c>
      <c r="O73" s="223">
        <f t="shared" si="35"/>
        <v>0</v>
      </c>
      <c r="P73" s="223">
        <f t="shared" si="35"/>
        <v>0</v>
      </c>
      <c r="Q73" s="223">
        <f t="shared" si="35"/>
        <v>0</v>
      </c>
    </row>
    <row r="74" spans="3:17" s="24" customFormat="1" collapsed="1" x14ac:dyDescent="0.15">
      <c r="C74" s="186" t="str">
        <f>BS_Hist_TA!C73</f>
        <v>Total Alert Check Result</v>
      </c>
      <c r="H74" s="224">
        <f>IF(ISERROR(SUM(I74:Q74)),0,MIN(SUM(I74:Q74),1))</f>
        <v>0</v>
      </c>
      <c r="I74" s="225">
        <f t="shared" ref="I74:Q74" si="36">MIN(SUM(I72:I73),1)</f>
        <v>0</v>
      </c>
      <c r="J74" s="225">
        <f t="shared" si="36"/>
        <v>0</v>
      </c>
      <c r="K74" s="225">
        <f t="shared" si="36"/>
        <v>0</v>
      </c>
      <c r="L74" s="225">
        <f t="shared" si="36"/>
        <v>0</v>
      </c>
      <c r="M74" s="225">
        <f t="shared" si="36"/>
        <v>0</v>
      </c>
      <c r="N74" s="225">
        <f t="shared" si="36"/>
        <v>0</v>
      </c>
      <c r="O74" s="225">
        <f t="shared" si="36"/>
        <v>0</v>
      </c>
      <c r="P74" s="225">
        <f t="shared" si="36"/>
        <v>0</v>
      </c>
      <c r="Q74" s="225">
        <f t="shared" si="36"/>
        <v>0</v>
      </c>
    </row>
    <row r="75" spans="3:17" s="24" customFormat="1" x14ac:dyDescent="0.15"/>
    <row r="76" spans="3:17" s="24" customFormat="1" x14ac:dyDescent="0.15">
      <c r="C76" s="179" t="str">
        <f>BS_Hist_TA!C75</f>
        <v>Notes</v>
      </c>
    </row>
    <row r="77" spans="3:17" s="24" customFormat="1" x14ac:dyDescent="0.15">
      <c r="C77" s="219">
        <f>BS_Hist_TA!C76</f>
        <v>1</v>
      </c>
      <c r="D77" s="215" t="str">
        <f>"All balances are specified in "&amp;INDEX(LU_Denom,DD_TS_Denom)&amp;"."</f>
        <v>All balances are specified in $Millions.</v>
      </c>
    </row>
  </sheetData>
  <sheetProtection sheet="1" objects="1" scenarios="1"/>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xr:uid="{00000000-0002-0000-1400-000000000000}">
      <formula1>NOT(ISERROR(I22/1))</formula1>
    </dataValidation>
  </dataValidations>
  <hyperlinks>
    <hyperlink ref="B3" location="HL_Home" tooltip="Go to Table of Contents" display="HL_Home" xr:uid="{00000000-0004-0000-1400-000000000000}"/>
    <hyperlink ref="A4" location="$B$14" tooltip="Go to Top of Sheet" display="$B$14" xr:uid="{00000000-0004-0000-1400-000001000000}"/>
    <hyperlink ref="B4" location="HL_Sheet_Main_29" tooltip="Go to Previous Sheet" display="HL_Sheet_Main_29" xr:uid="{00000000-0004-0000-1400-000002000000}"/>
    <hyperlink ref="C4" location="HL_Sheet_Main_31" tooltip="Go to Next Sheet" display="HL_Sheet_Main_31" xr:uid="{00000000-0004-0000-1400-000003000000}"/>
    <hyperlink ref="D4" location="HL_Err_Chk" tooltip="Go to Error Checks" display="HL_Err_Chk" xr:uid="{00000000-0004-0000-1400-000004000000}"/>
    <hyperlink ref="E4" location="HL_Sens_Chk" tooltip="Go to Sensitivity Checks" display="HL_Sens_Chk" xr:uid="{00000000-0004-0000-1400-000005000000}"/>
    <hyperlink ref="F4" location="HL_Alt_Chk" tooltip="Go to Alert Checks" display="HL_Alt_Chk" xr:uid="{00000000-0004-0000-14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autoPageBreaks="0"/>
  </sheetPr>
  <dimension ref="A1:R6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 min="18" max="18" width="12.83203125" collapsed="1"/>
  </cols>
  <sheetData>
    <row r="1" spans="1:17" ht="18" x14ac:dyDescent="0.15">
      <c r="B1" s="1" t="s">
        <v>562</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CFS_Hist_TA!B16</f>
        <v>Cash Flow Statement</v>
      </c>
    </row>
    <row r="17" spans="3:17" s="24" customFormat="1" x14ac:dyDescent="0.15"/>
    <row r="18" spans="3:17" s="24" customFormat="1" ht="11.25" x14ac:dyDescent="0.15">
      <c r="C18" s="217" t="str">
        <f>CFS_Hist_TA!C18</f>
        <v>Cash Flow from Operating Activities</v>
      </c>
    </row>
    <row r="19" spans="3:17" s="24" customFormat="1" x14ac:dyDescent="0.15"/>
    <row r="20" spans="3:17" s="24" customFormat="1" hidden="1" outlineLevel="2" x14ac:dyDescent="0.15">
      <c r="E20" s="204" t="str">
        <f>CFS_Hist_TA!E20</f>
        <v>Revenue</v>
      </c>
      <c r="J20" s="220">
        <f>IF(J$12=0,0,CFS_Hist_TA!J20)</f>
        <v>125</v>
      </c>
      <c r="K20" s="220">
        <f>IF(K$12=0,0,CFS_Hist_TA!K20)</f>
        <v>128.125</v>
      </c>
      <c r="L20" s="220">
        <f>IF(L$12=0,0,CFS_Hist_TA!L20)</f>
        <v>131.328125</v>
      </c>
      <c r="M20" s="220">
        <f>IF(M$12=0,0,CFS_Hist_TA!M20)</f>
        <v>0</v>
      </c>
      <c r="N20" s="220">
        <f>IF(N$12=0,0,CFS_Hist_TA!N20)</f>
        <v>0</v>
      </c>
      <c r="O20" s="220">
        <f>IF(O$12=0,0,CFS_Hist_TA!O20)</f>
        <v>0</v>
      </c>
      <c r="P20" s="220">
        <f>IF(P$12=0,0,CFS_Hist_TA!P20)</f>
        <v>0</v>
      </c>
      <c r="Q20" s="220">
        <f>IF(Q$12=0,0,CFS_Hist_TA!Q20)</f>
        <v>0</v>
      </c>
    </row>
    <row r="21" spans="3:17" s="24" customFormat="1" hidden="1" outlineLevel="2" x14ac:dyDescent="0.15">
      <c r="E21" s="204"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x14ac:dyDescent="0.15">
      <c r="D22" s="204" t="str">
        <f>CFS_Hist_TA!D22</f>
        <v>Cash Receipts</v>
      </c>
      <c r="J22" s="220">
        <f t="shared" ref="J22" si="8">J20+J21</f>
        <v>135.72602739726028</v>
      </c>
      <c r="K22" s="220">
        <f t="shared" ref="K22:Q22" si="9">K20+K21</f>
        <v>127.86815068493149</v>
      </c>
      <c r="L22" s="220">
        <f t="shared" si="9"/>
        <v>131.09434650797215</v>
      </c>
      <c r="M22" s="220">
        <f t="shared" si="9"/>
        <v>0</v>
      </c>
      <c r="N22" s="220">
        <f t="shared" si="9"/>
        <v>0</v>
      </c>
      <c r="O22" s="220">
        <f t="shared" si="9"/>
        <v>0</v>
      </c>
      <c r="P22" s="220">
        <f t="shared" si="9"/>
        <v>0</v>
      </c>
      <c r="Q22" s="220">
        <f t="shared" si="9"/>
        <v>0</v>
      </c>
    </row>
    <row r="23" spans="3:17" s="24" customFormat="1" hidden="1" outlineLevel="2" x14ac:dyDescent="0.15">
      <c r="D23" s="186"/>
      <c r="E23" s="204" t="str">
        <f>CFS_Hist_TA!E23</f>
        <v>Cost of Goods Sold</v>
      </c>
      <c r="J23" s="220">
        <f>IF(J$12=0,0,CFS_Hist_TA!J23)</f>
        <v>-25</v>
      </c>
      <c r="K23" s="220">
        <f>IF(K$12=0,0,CFS_Hist_TA!K23)</f>
        <v>-25.624999999999996</v>
      </c>
      <c r="L23" s="220">
        <f>IF(L$12=0,0,CFS_Hist_TA!L23)</f>
        <v>-26.265624999999993</v>
      </c>
      <c r="M23" s="220">
        <f>IF(M$12=0,0,CFS_Hist_TA!M23)</f>
        <v>0</v>
      </c>
      <c r="N23" s="220">
        <f>IF(N$12=0,0,CFS_Hist_TA!N23)</f>
        <v>0</v>
      </c>
      <c r="O23" s="220">
        <f>IF(O$12=0,0,CFS_Hist_TA!O23)</f>
        <v>0</v>
      </c>
      <c r="P23" s="220">
        <f>IF(P$12=0,0,CFS_Hist_TA!P23)</f>
        <v>0</v>
      </c>
      <c r="Q23" s="220">
        <f>IF(Q$12=0,0,CFS_Hist_TA!Q23)</f>
        <v>0</v>
      </c>
    </row>
    <row r="24" spans="3:17" s="24" customFormat="1" hidden="1" outlineLevel="2" x14ac:dyDescent="0.15">
      <c r="D24" s="186"/>
      <c r="E24" s="204" t="str">
        <f>CFS_Hist_TA!E24</f>
        <v>Operating Expenditure</v>
      </c>
      <c r="J24" s="220">
        <f>IF(J$12=0,0,CFS_Hist_TA!J24)</f>
        <v>-40</v>
      </c>
      <c r="K24" s="220">
        <f>IF(K$12=0,0,CFS_Hist_TA!K24)</f>
        <v>-41</v>
      </c>
      <c r="L24" s="220">
        <f>IF(L$12=0,0,CFS_Hist_TA!L24)</f>
        <v>-42.024999999999999</v>
      </c>
      <c r="M24" s="220">
        <f>IF(M$12=0,0,CFS_Hist_TA!M24)</f>
        <v>0</v>
      </c>
      <c r="N24" s="220">
        <f>IF(N$12=0,0,CFS_Hist_TA!N24)</f>
        <v>0</v>
      </c>
      <c r="O24" s="220">
        <f>IF(O$12=0,0,CFS_Hist_TA!O24)</f>
        <v>0</v>
      </c>
      <c r="P24" s="220">
        <f>IF(P$12=0,0,CFS_Hist_TA!P24)</f>
        <v>0</v>
      </c>
      <c r="Q24" s="220">
        <f>IF(Q$12=0,0,CFS_Hist_TA!Q24)</f>
        <v>0</v>
      </c>
    </row>
    <row r="25" spans="3:17" s="24" customFormat="1" hidden="1" outlineLevel="2" x14ac:dyDescent="0.15">
      <c r="D25" s="186"/>
      <c r="E25" s="204"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x14ac:dyDescent="0.15">
      <c r="D26" s="204" t="str">
        <f>CFS_Hist_TA!D26</f>
        <v>Cash Payments</v>
      </c>
      <c r="J26" s="220">
        <f t="shared" ref="J26" si="10">SUM(J23:J25)</f>
        <v>-72.986301369863014</v>
      </c>
      <c r="K26" s="220">
        <f t="shared" ref="K26:Q26" si="11">SUM(K23:K25)</f>
        <v>-66.424657534246577</v>
      </c>
      <c r="L26" s="220">
        <f t="shared" si="11"/>
        <v>-68.108277776218273</v>
      </c>
      <c r="M26" s="220">
        <f t="shared" si="11"/>
        <v>0</v>
      </c>
      <c r="N26" s="220">
        <f t="shared" si="11"/>
        <v>0</v>
      </c>
      <c r="O26" s="220">
        <f t="shared" si="11"/>
        <v>0</v>
      </c>
      <c r="P26" s="220">
        <f t="shared" si="11"/>
        <v>0</v>
      </c>
      <c r="Q26" s="220">
        <f t="shared" si="11"/>
        <v>0</v>
      </c>
    </row>
    <row r="27" spans="3:17" s="24" customFormat="1" x14ac:dyDescent="0.15">
      <c r="D27" s="204" t="str">
        <f>CFS_Hist_TA!D27</f>
        <v>Interest Paid</v>
      </c>
      <c r="J27" s="220">
        <f>IF(J$12=0,0,CFS_Hist_TA!J27)</f>
        <v>-3.25</v>
      </c>
      <c r="K27" s="220">
        <f>IF(K$12=0,0,CFS_Hist_TA!K27)</f>
        <v>-3.25</v>
      </c>
      <c r="L27" s="220">
        <f>IF(L$12=0,0,CFS_Hist_TA!L27)</f>
        <v>-3.25</v>
      </c>
      <c r="M27" s="220">
        <f>IF(M$12=0,0,CFS_Hist_TA!M27)</f>
        <v>0</v>
      </c>
      <c r="N27" s="220">
        <f>IF(N$12=0,0,CFS_Hist_TA!N27)</f>
        <v>0</v>
      </c>
      <c r="O27" s="220">
        <f>IF(O$12=0,0,CFS_Hist_TA!O27)</f>
        <v>0</v>
      </c>
      <c r="P27" s="220">
        <f>IF(P$12=0,0,CFS_Hist_TA!P27)</f>
        <v>0</v>
      </c>
      <c r="Q27" s="220">
        <f>IF(Q$12=0,0,CFS_Hist_TA!Q27)</f>
        <v>0</v>
      </c>
    </row>
    <row r="28" spans="3:17" s="24" customFormat="1" x14ac:dyDescent="0.15">
      <c r="D28" s="204" t="str">
        <f>CFS_Hist_TA!D28</f>
        <v>Tax Paid</v>
      </c>
      <c r="J28" s="220">
        <f>IF(J$12=0,0,CFS_Hist_TA!J28)</f>
        <v>-3.5</v>
      </c>
      <c r="K28" s="220">
        <f>IF(K$12=0,0,CFS_Hist_TA!K28)</f>
        <v>-12.7875</v>
      </c>
      <c r="L28" s="220">
        <f>IF(L$12=0,0,CFS_Hist_TA!L28)</f>
        <v>-13.131562499999999</v>
      </c>
      <c r="M28" s="220">
        <f>IF(M$12=0,0,CFS_Hist_TA!M28)</f>
        <v>0</v>
      </c>
      <c r="N28" s="220">
        <f>IF(N$12=0,0,CFS_Hist_TA!N28)</f>
        <v>0</v>
      </c>
      <c r="O28" s="220">
        <f>IF(O$12=0,0,CFS_Hist_TA!O28)</f>
        <v>0</v>
      </c>
      <c r="P28" s="220">
        <f>IF(P$12=0,0,CFS_Hist_TA!P28)</f>
        <v>0</v>
      </c>
      <c r="Q28" s="220">
        <f>IF(Q$12=0,0,CFS_Hist_TA!Q28)</f>
        <v>0</v>
      </c>
    </row>
    <row r="29" spans="3:17" s="24" customFormat="1" x14ac:dyDescent="0.15">
      <c r="D29" s="204" t="str">
        <f>CFS_Hist_TA!D29</f>
        <v>Decrease in Other Current Assets</v>
      </c>
      <c r="J29" s="220">
        <f>IF(J$12=0,0,CFS_Hist_TA!J29)</f>
        <v>-1</v>
      </c>
      <c r="K29" s="220">
        <f>IF(K$12=0,0,CFS_Hist_TA!K29)</f>
        <v>-1</v>
      </c>
      <c r="L29" s="220">
        <f>IF(L$12=0,0,CFS_Hist_TA!L29)</f>
        <v>-1</v>
      </c>
      <c r="M29" s="220">
        <f>IF(M$12=0,0,CFS_Hist_TA!M29)</f>
        <v>0</v>
      </c>
      <c r="N29" s="220">
        <f>IF(N$12=0,0,CFS_Hist_TA!N29)</f>
        <v>0</v>
      </c>
      <c r="O29" s="220">
        <f>IF(O$12=0,0,CFS_Hist_TA!O29)</f>
        <v>0</v>
      </c>
      <c r="P29" s="220">
        <f>IF(P$12=0,0,CFS_Hist_TA!P29)</f>
        <v>0</v>
      </c>
      <c r="Q29" s="220">
        <f>IF(Q$12=0,0,CFS_Hist_TA!Q29)</f>
        <v>0</v>
      </c>
    </row>
    <row r="30" spans="3:17" s="24" customFormat="1" x14ac:dyDescent="0.15">
      <c r="D30" s="204" t="str">
        <f>CFS_Hist_TA!D30</f>
        <v>Increase in Other Current Liabilities</v>
      </c>
      <c r="J30" s="220">
        <f>IF(J$12=0,0,CFS_Hist_TA!J30)</f>
        <v>1</v>
      </c>
      <c r="K30" s="220">
        <f>IF(K$12=0,0,CFS_Hist_TA!K30)</f>
        <v>1</v>
      </c>
      <c r="L30" s="220">
        <f>IF(L$12=0,0,CFS_Hist_TA!L30)</f>
        <v>1</v>
      </c>
      <c r="M30" s="220">
        <f>IF(M$12=0,0,CFS_Hist_TA!M30)</f>
        <v>0</v>
      </c>
      <c r="N30" s="220">
        <f>IF(N$12=0,0,CFS_Hist_TA!N30)</f>
        <v>0</v>
      </c>
      <c r="O30" s="220">
        <f>IF(O$12=0,0,CFS_Hist_TA!O30)</f>
        <v>0</v>
      </c>
      <c r="P30" s="220">
        <f>IF(P$12=0,0,CFS_Hist_TA!P30)</f>
        <v>0</v>
      </c>
      <c r="Q30" s="220">
        <f>IF(Q$12=0,0,CFS_Hist_TA!Q30)</f>
        <v>0</v>
      </c>
    </row>
    <row r="31" spans="3:17" s="24" customFormat="1" x14ac:dyDescent="0.15">
      <c r="D31" s="179" t="str">
        <f>CFS_Hist_TA!D31</f>
        <v>Net Cash Flow from Operating Activities</v>
      </c>
      <c r="J31" s="212">
        <f t="shared" ref="J31" si="12">J22+J26+SUM(J27:J30)</f>
        <v>55.989726027397268</v>
      </c>
      <c r="K31" s="212">
        <f t="shared" ref="K31:Q31" si="13">K22+K26+SUM(K27:K30)</f>
        <v>45.405993150684914</v>
      </c>
      <c r="L31" s="212">
        <f t="shared" si="13"/>
        <v>46.604506231753874</v>
      </c>
      <c r="M31" s="212">
        <f t="shared" si="13"/>
        <v>0</v>
      </c>
      <c r="N31" s="212">
        <f t="shared" si="13"/>
        <v>0</v>
      </c>
      <c r="O31" s="212">
        <f t="shared" si="13"/>
        <v>0</v>
      </c>
      <c r="P31" s="212">
        <f t="shared" si="13"/>
        <v>0</v>
      </c>
      <c r="Q31" s="212">
        <f t="shared" si="13"/>
        <v>0</v>
      </c>
    </row>
    <row r="32" spans="3:17" s="24" customFormat="1" x14ac:dyDescent="0.15">
      <c r="J32" s="143"/>
      <c r="K32" s="143"/>
      <c r="L32" s="143"/>
      <c r="M32" s="143"/>
      <c r="N32" s="143"/>
      <c r="O32" s="143"/>
      <c r="P32" s="143"/>
      <c r="Q32" s="143"/>
    </row>
    <row r="33" spans="3:17" s="24" customFormat="1" ht="11.25" x14ac:dyDescent="0.15">
      <c r="C33" s="217" t="str">
        <f>CFS_Hist_TA!C33</f>
        <v>Cash Flow from Investing Activities</v>
      </c>
      <c r="J33" s="143"/>
      <c r="K33" s="143"/>
      <c r="L33" s="143"/>
      <c r="M33" s="143"/>
      <c r="N33" s="143"/>
      <c r="O33" s="143"/>
      <c r="P33" s="143"/>
      <c r="Q33" s="143"/>
    </row>
    <row r="34" spans="3:17" s="24" customFormat="1" x14ac:dyDescent="0.15">
      <c r="J34" s="143"/>
      <c r="K34" s="143"/>
      <c r="L34" s="143"/>
      <c r="M34" s="143"/>
      <c r="N34" s="143"/>
      <c r="O34" s="143"/>
      <c r="P34" s="143"/>
      <c r="Q34" s="143"/>
    </row>
    <row r="35" spans="3:17" s="24" customFormat="1" x14ac:dyDescent="0.15">
      <c r="D35" s="204" t="str">
        <f>CFS_Hist_TA!D35</f>
        <v>Capital Expenditure - Assets</v>
      </c>
      <c r="J35" s="220">
        <f>IF(J$12=0,0,CFS_Hist_TA!J35)</f>
        <v>-15</v>
      </c>
      <c r="K35" s="220">
        <f>IF(K$12=0,0,CFS_Hist_TA!K35)</f>
        <v>-15.374999999999998</v>
      </c>
      <c r="L35" s="220">
        <f>IF(L$12=0,0,CFS_Hist_TA!L35)</f>
        <v>-15.759374999999997</v>
      </c>
      <c r="M35" s="220">
        <f>IF(M$12=0,0,CFS_Hist_TA!M35)</f>
        <v>0</v>
      </c>
      <c r="N35" s="220">
        <f>IF(N$12=0,0,CFS_Hist_TA!N35)</f>
        <v>0</v>
      </c>
      <c r="O35" s="220">
        <f>IF(O$12=0,0,CFS_Hist_TA!O35)</f>
        <v>0</v>
      </c>
      <c r="P35" s="220">
        <f>IF(P$12=0,0,CFS_Hist_TA!P35)</f>
        <v>0</v>
      </c>
      <c r="Q35" s="220">
        <f>IF(Q$12=0,0,CFS_Hist_TA!Q35)</f>
        <v>0</v>
      </c>
    </row>
    <row r="36" spans="3:17" s="24" customFormat="1" x14ac:dyDescent="0.15">
      <c r="D36" s="204" t="str">
        <f>CFS_Hist_TA!D36</f>
        <v>Capital Expenditure - Intangibles</v>
      </c>
      <c r="J36" s="220">
        <f>IF(J$12=0,0,CFS_Hist_TA!J36)</f>
        <v>-2.5</v>
      </c>
      <c r="K36" s="220">
        <f>IF(K$12=0,0,CFS_Hist_TA!K36)</f>
        <v>-2.5625</v>
      </c>
      <c r="L36" s="220">
        <f>IF(L$12=0,0,CFS_Hist_TA!L36)</f>
        <v>-2.6265624999999999</v>
      </c>
      <c r="M36" s="220">
        <f>IF(M$12=0,0,CFS_Hist_TA!M36)</f>
        <v>0</v>
      </c>
      <c r="N36" s="220">
        <f>IF(N$12=0,0,CFS_Hist_TA!N36)</f>
        <v>0</v>
      </c>
      <c r="O36" s="220">
        <f>IF(O$12=0,0,CFS_Hist_TA!O36)</f>
        <v>0</v>
      </c>
      <c r="P36" s="220">
        <f>IF(P$12=0,0,CFS_Hist_TA!P36)</f>
        <v>0</v>
      </c>
      <c r="Q36" s="220">
        <f>IF(Q$12=0,0,CFS_Hist_TA!Q36)</f>
        <v>0</v>
      </c>
    </row>
    <row r="37" spans="3:17" s="24" customFormat="1" x14ac:dyDescent="0.15">
      <c r="D37" s="204" t="str">
        <f>CFS_Hist_TA!D37</f>
        <v>Decrease in Other Non-Current Assets</v>
      </c>
      <c r="J37" s="220">
        <f>IF(J$12=0,0,CFS_Hist_TA!J37)</f>
        <v>-1</v>
      </c>
      <c r="K37" s="220">
        <f>IF(K$12=0,0,CFS_Hist_TA!K37)</f>
        <v>-1</v>
      </c>
      <c r="L37" s="220">
        <f>IF(L$12=0,0,CFS_Hist_TA!L37)</f>
        <v>-1</v>
      </c>
      <c r="M37" s="220">
        <f>IF(M$12=0,0,CFS_Hist_TA!M37)</f>
        <v>0</v>
      </c>
      <c r="N37" s="220">
        <f>IF(N$12=0,0,CFS_Hist_TA!N37)</f>
        <v>0</v>
      </c>
      <c r="O37" s="220">
        <f>IF(O$12=0,0,CFS_Hist_TA!O37)</f>
        <v>0</v>
      </c>
      <c r="P37" s="220">
        <f>IF(P$12=0,0,CFS_Hist_TA!P37)</f>
        <v>0</v>
      </c>
      <c r="Q37" s="220">
        <f>IF(Q$12=0,0,CFS_Hist_TA!Q37)</f>
        <v>0</v>
      </c>
    </row>
    <row r="38" spans="3:17" s="24" customFormat="1" x14ac:dyDescent="0.15">
      <c r="D38" s="204" t="str">
        <f>CFS_Hist_TA!D38</f>
        <v>Increase in Other Non-Current Liabilities</v>
      </c>
      <c r="J38" s="220">
        <f>IF(J$12=0,0,CFS_Hist_TA!J38)</f>
        <v>1</v>
      </c>
      <c r="K38" s="220">
        <f>IF(K$12=0,0,CFS_Hist_TA!K38)</f>
        <v>1</v>
      </c>
      <c r="L38" s="220">
        <f>IF(L$12=0,0,CFS_Hist_TA!L38)</f>
        <v>1</v>
      </c>
      <c r="M38" s="220">
        <f>IF(M$12=0,0,CFS_Hist_TA!M38)</f>
        <v>0</v>
      </c>
      <c r="N38" s="220">
        <f>IF(N$12=0,0,CFS_Hist_TA!N38)</f>
        <v>0</v>
      </c>
      <c r="O38" s="220">
        <f>IF(O$12=0,0,CFS_Hist_TA!O38)</f>
        <v>0</v>
      </c>
      <c r="P38" s="220">
        <f>IF(P$12=0,0,CFS_Hist_TA!P38)</f>
        <v>0</v>
      </c>
      <c r="Q38" s="220">
        <f>IF(Q$12=0,0,CFS_Hist_TA!Q38)</f>
        <v>0</v>
      </c>
    </row>
    <row r="39" spans="3:17" s="24" customFormat="1" x14ac:dyDescent="0.15">
      <c r="D39" s="179" t="str">
        <f>CFS_Hist_TA!D39</f>
        <v>Net Cash Flow from Investing Activities</v>
      </c>
      <c r="J39" s="212">
        <f t="shared" ref="J39" si="14">SUM(J35:J38)</f>
        <v>-17.5</v>
      </c>
      <c r="K39" s="212">
        <f t="shared" ref="K39:Q39" si="15">SUM(K35:K38)</f>
        <v>-17.9375</v>
      </c>
      <c r="L39" s="212">
        <f t="shared" si="15"/>
        <v>-18.385937499999997</v>
      </c>
      <c r="M39" s="212">
        <f t="shared" si="15"/>
        <v>0</v>
      </c>
      <c r="N39" s="212">
        <f t="shared" si="15"/>
        <v>0</v>
      </c>
      <c r="O39" s="212">
        <f t="shared" si="15"/>
        <v>0</v>
      </c>
      <c r="P39" s="212">
        <f t="shared" si="15"/>
        <v>0</v>
      </c>
      <c r="Q39" s="212">
        <f t="shared" si="15"/>
        <v>0</v>
      </c>
    </row>
    <row r="40" spans="3:17" s="24" customFormat="1" x14ac:dyDescent="0.15">
      <c r="J40" s="143"/>
      <c r="K40" s="143"/>
      <c r="L40" s="143"/>
      <c r="M40" s="143"/>
      <c r="N40" s="143"/>
      <c r="O40" s="143"/>
      <c r="P40" s="143"/>
      <c r="Q40" s="143"/>
    </row>
    <row r="41" spans="3:17" s="24" customFormat="1" ht="11.25" x14ac:dyDescent="0.15">
      <c r="C41" s="217" t="str">
        <f>CFS_Hist_TA!C41</f>
        <v>Cash Flow from Financing Activities</v>
      </c>
      <c r="J41" s="143"/>
      <c r="K41" s="143"/>
      <c r="L41" s="143"/>
      <c r="M41" s="143"/>
      <c r="N41" s="143"/>
      <c r="O41" s="143"/>
      <c r="P41" s="143"/>
      <c r="Q41" s="143"/>
    </row>
    <row r="42" spans="3:17" s="24" customFormat="1" x14ac:dyDescent="0.15">
      <c r="J42" s="143"/>
      <c r="K42" s="143"/>
      <c r="L42" s="143"/>
      <c r="M42" s="143"/>
      <c r="N42" s="143"/>
      <c r="O42" s="143"/>
      <c r="P42" s="143"/>
      <c r="Q42" s="143"/>
    </row>
    <row r="43" spans="3:17" s="24" customFormat="1" x14ac:dyDescent="0.15">
      <c r="D43" s="204" t="str">
        <f>CFS_Hist_TA!D43</f>
        <v>Debt Drawdowns</v>
      </c>
      <c r="J43" s="220">
        <f>IF(J$12=0,0,CFS_Hist_TA!J43)</f>
        <v>0</v>
      </c>
      <c r="K43" s="220">
        <f>IF(K$12=0,0,CFS_Hist_TA!K43)</f>
        <v>0</v>
      </c>
      <c r="L43" s="220">
        <f>IF(L$12=0,0,CFS_Hist_TA!L43)</f>
        <v>0</v>
      </c>
      <c r="M43" s="220">
        <f>IF(M$12=0,0,CFS_Hist_TA!M43)</f>
        <v>0</v>
      </c>
      <c r="N43" s="220">
        <f>IF(N$12=0,0,CFS_Hist_TA!N43)</f>
        <v>0</v>
      </c>
      <c r="O43" s="220">
        <f>IF(O$12=0,0,CFS_Hist_TA!O43)</f>
        <v>0</v>
      </c>
      <c r="P43" s="220">
        <f>IF(P$12=0,0,CFS_Hist_TA!P43)</f>
        <v>0</v>
      </c>
      <c r="Q43" s="220">
        <f>IF(Q$12=0,0,CFS_Hist_TA!Q43)</f>
        <v>0</v>
      </c>
    </row>
    <row r="44" spans="3:17" s="24" customFormat="1" x14ac:dyDescent="0.15">
      <c r="D44" s="204" t="str">
        <f>CFS_Hist_TA!D44</f>
        <v>Debt Repayments</v>
      </c>
      <c r="J44" s="220">
        <f>IF(J$12=0,0,CFS_Hist_TA!J44)</f>
        <v>0</v>
      </c>
      <c r="K44" s="220">
        <f>IF(K$12=0,0,CFS_Hist_TA!K44)</f>
        <v>0</v>
      </c>
      <c r="L44" s="220">
        <f>IF(L$12=0,0,CFS_Hist_TA!L44)</f>
        <v>0</v>
      </c>
      <c r="M44" s="220">
        <f>IF(M$12=0,0,CFS_Hist_TA!M44)</f>
        <v>0</v>
      </c>
      <c r="N44" s="220">
        <f>IF(N$12=0,0,CFS_Hist_TA!N44)</f>
        <v>0</v>
      </c>
      <c r="O44" s="220">
        <f>IF(O$12=0,0,CFS_Hist_TA!O44)</f>
        <v>0</v>
      </c>
      <c r="P44" s="220">
        <f>IF(P$12=0,0,CFS_Hist_TA!P44)</f>
        <v>0</v>
      </c>
      <c r="Q44" s="220">
        <f>IF(Q$12=0,0,CFS_Hist_TA!Q44)</f>
        <v>0</v>
      </c>
    </row>
    <row r="45" spans="3:17" s="24" customFormat="1" x14ac:dyDescent="0.15">
      <c r="D45" s="204" t="str">
        <f>CFS_Hist_TA!D45</f>
        <v>Equity Raisings</v>
      </c>
      <c r="J45" s="220">
        <f>IF(J$12=0,0,CFS_Hist_TA!J45)</f>
        <v>0</v>
      </c>
      <c r="K45" s="220">
        <f>IF(K$12=0,0,CFS_Hist_TA!K45)</f>
        <v>0</v>
      </c>
      <c r="L45" s="220">
        <f>IF(L$12=0,0,CFS_Hist_TA!L45)</f>
        <v>0</v>
      </c>
      <c r="M45" s="220">
        <f>IF(M$12=0,0,CFS_Hist_TA!M45)</f>
        <v>0</v>
      </c>
      <c r="N45" s="220">
        <f>IF(N$12=0,0,CFS_Hist_TA!N45)</f>
        <v>0</v>
      </c>
      <c r="O45" s="220">
        <f>IF(O$12=0,0,CFS_Hist_TA!O45)</f>
        <v>0</v>
      </c>
      <c r="P45" s="220">
        <f>IF(P$12=0,0,CFS_Hist_TA!P45)</f>
        <v>0</v>
      </c>
      <c r="Q45" s="220">
        <f>IF(Q$12=0,0,CFS_Hist_TA!Q45)</f>
        <v>0</v>
      </c>
    </row>
    <row r="46" spans="3:17" s="24" customFormat="1" x14ac:dyDescent="0.15">
      <c r="D46" s="204" t="str">
        <f>CFS_Hist_TA!D46</f>
        <v>Equity Repayments</v>
      </c>
      <c r="J46" s="220">
        <f>IF(J$12=0,0,CFS_Hist_TA!J46)</f>
        <v>0</v>
      </c>
      <c r="K46" s="220">
        <f>IF(K$12=0,0,CFS_Hist_TA!K46)</f>
        <v>0</v>
      </c>
      <c r="L46" s="220">
        <f>IF(L$12=0,0,CFS_Hist_TA!L46)</f>
        <v>0</v>
      </c>
      <c r="M46" s="220">
        <f>IF(M$12=0,0,CFS_Hist_TA!M46)</f>
        <v>0</v>
      </c>
      <c r="N46" s="220">
        <f>IF(N$12=0,0,CFS_Hist_TA!N46)</f>
        <v>0</v>
      </c>
      <c r="O46" s="220">
        <f>IF(O$12=0,0,CFS_Hist_TA!O46)</f>
        <v>0</v>
      </c>
      <c r="P46" s="220">
        <f>IF(P$12=0,0,CFS_Hist_TA!P46)</f>
        <v>0</v>
      </c>
      <c r="Q46" s="220">
        <f>IF(Q$12=0,0,CFS_Hist_TA!Q46)</f>
        <v>0</v>
      </c>
    </row>
    <row r="47" spans="3:17" s="24" customFormat="1" x14ac:dyDescent="0.15">
      <c r="D47" s="204" t="str">
        <f>CFS_Hist_TA!D47</f>
        <v>Dividends Paid During Period</v>
      </c>
      <c r="J47" s="220">
        <f>IF(J$12=0,0,CFS_Hist_TA!J47)</f>
        <v>-14.918749999999999</v>
      </c>
      <c r="K47" s="220">
        <f>IF(K$12=0,0,CFS_Hist_TA!K47)</f>
        <v>-15.32015625</v>
      </c>
      <c r="L47" s="220">
        <f>IF(L$12=0,0,CFS_Hist_TA!L47)</f>
        <v>-15.731597656250003</v>
      </c>
      <c r="M47" s="220">
        <f>IF(M$12=0,0,CFS_Hist_TA!M47)</f>
        <v>0</v>
      </c>
      <c r="N47" s="220">
        <f>IF(N$12=0,0,CFS_Hist_TA!N47)</f>
        <v>0</v>
      </c>
      <c r="O47" s="220">
        <f>IF(O$12=0,0,CFS_Hist_TA!O47)</f>
        <v>0</v>
      </c>
      <c r="P47" s="220">
        <f>IF(P$12=0,0,CFS_Hist_TA!P47)</f>
        <v>0</v>
      </c>
      <c r="Q47" s="220">
        <f>IF(Q$12=0,0,CFS_Hist_TA!Q47)</f>
        <v>0</v>
      </c>
    </row>
    <row r="48" spans="3:17" s="24" customFormat="1" x14ac:dyDescent="0.15">
      <c r="D48" s="204" t="str">
        <f>CFS_Hist_TA!D48</f>
        <v>Increase in Other Equity</v>
      </c>
      <c r="J48" s="220">
        <f>IF(J$12=0,0,CFS_Hist_TA!J48)</f>
        <v>0.1</v>
      </c>
      <c r="K48" s="220">
        <f>IF(K$12=0,0,CFS_Hist_TA!K48)</f>
        <v>0.1</v>
      </c>
      <c r="L48" s="220">
        <f>IF(L$12=0,0,CFS_Hist_TA!L48)</f>
        <v>0.1</v>
      </c>
      <c r="M48" s="220">
        <f>IF(M$12=0,0,CFS_Hist_TA!M48)</f>
        <v>0</v>
      </c>
      <c r="N48" s="220">
        <f>IF(N$12=0,0,CFS_Hist_TA!N48)</f>
        <v>0</v>
      </c>
      <c r="O48" s="220">
        <f>IF(O$12=0,0,CFS_Hist_TA!O48)</f>
        <v>0</v>
      </c>
      <c r="P48" s="220">
        <f>IF(P$12=0,0,CFS_Hist_TA!P48)</f>
        <v>0</v>
      </c>
      <c r="Q48" s="220">
        <f>IF(Q$12=0,0,CFS_Hist_TA!Q48)</f>
        <v>0</v>
      </c>
    </row>
    <row r="49" spans="3:17" s="24" customFormat="1" x14ac:dyDescent="0.15">
      <c r="D49" s="179" t="str">
        <f>CFS_Hist_TA!D49</f>
        <v>Net Cash Flow from Financing Activities</v>
      </c>
      <c r="J49" s="212">
        <f>SUM(J43:J48)</f>
        <v>-14.81875</v>
      </c>
      <c r="K49" s="212">
        <f t="shared" ref="K49:Q49" si="16">SUM(K43:K48)</f>
        <v>-15.22015625</v>
      </c>
      <c r="L49" s="212">
        <f t="shared" si="16"/>
        <v>-15.631597656250003</v>
      </c>
      <c r="M49" s="212">
        <f t="shared" si="16"/>
        <v>0</v>
      </c>
      <c r="N49" s="212">
        <f t="shared" si="16"/>
        <v>0</v>
      </c>
      <c r="O49" s="212">
        <f t="shared" si="16"/>
        <v>0</v>
      </c>
      <c r="P49" s="212">
        <f t="shared" si="16"/>
        <v>0</v>
      </c>
      <c r="Q49" s="212">
        <f t="shared" si="16"/>
        <v>0</v>
      </c>
    </row>
    <row r="50" spans="3:17" s="24" customFormat="1" x14ac:dyDescent="0.15">
      <c r="J50" s="143"/>
      <c r="K50" s="143"/>
      <c r="L50" s="143"/>
      <c r="M50" s="143"/>
      <c r="N50" s="143"/>
      <c r="O50" s="143"/>
      <c r="P50" s="143"/>
      <c r="Q50" s="143"/>
    </row>
    <row r="51" spans="3:17" s="24" customFormat="1" ht="12" thickBot="1" x14ac:dyDescent="0.2">
      <c r="C51" s="217" t="str">
        <f>CFS_Hist_TA!C51</f>
        <v>Net Increase / (Decrease) in Cash Held</v>
      </c>
      <c r="J51" s="214">
        <f t="shared" ref="J51" si="17">J31+J39+J49</f>
        <v>23.670976027397266</v>
      </c>
      <c r="K51" s="214">
        <f t="shared" ref="K51:Q51" si="18">K31+K39+K49</f>
        <v>12.248336900684913</v>
      </c>
      <c r="L51" s="214">
        <f t="shared" si="18"/>
        <v>12.586971075503874</v>
      </c>
      <c r="M51" s="214">
        <f t="shared" si="18"/>
        <v>0</v>
      </c>
      <c r="N51" s="214">
        <f t="shared" si="18"/>
        <v>0</v>
      </c>
      <c r="O51" s="214">
        <f t="shared" si="18"/>
        <v>0</v>
      </c>
      <c r="P51" s="214">
        <f t="shared" si="18"/>
        <v>0</v>
      </c>
      <c r="Q51" s="214">
        <f t="shared" si="18"/>
        <v>0</v>
      </c>
    </row>
    <row r="52" spans="3:17" s="24" customFormat="1" ht="11.25" thickTop="1" x14ac:dyDescent="0.15"/>
    <row r="53" spans="3:17" s="24" customFormat="1" x14ac:dyDescent="0.15">
      <c r="C53" s="179" t="str">
        <f>CFS_Hist_TA!C53</f>
        <v>Notes</v>
      </c>
    </row>
    <row r="54" spans="3:17" s="24" customFormat="1" x14ac:dyDescent="0.15">
      <c r="C54" s="219">
        <f>CFS_Hist_TA!C54</f>
        <v>1</v>
      </c>
      <c r="D54" s="215" t="str">
        <f>"All cash flows are specified in "&amp;INDEX(LU_Denom,DD_TS_Denom)&amp;"."</f>
        <v>All cash flows are specified in $Millions.</v>
      </c>
    </row>
    <row r="55" spans="3:17" s="24" customFormat="1" x14ac:dyDescent="0.15"/>
    <row r="56" spans="3:17" s="24" customFormat="1" x14ac:dyDescent="0.15"/>
    <row r="57" spans="3:17" s="24" customFormat="1" x14ac:dyDescent="0.15"/>
    <row r="58" spans="3:17" s="24" customFormat="1" x14ac:dyDescent="0.15"/>
    <row r="59" spans="3:17" s="24" customFormat="1" x14ac:dyDescent="0.15"/>
    <row r="60" spans="3:17" s="24" customFormat="1" x14ac:dyDescent="0.15"/>
    <row r="61" spans="3:17" s="24" customFormat="1" x14ac:dyDescent="0.15"/>
    <row r="62" spans="3:17" s="24" customFormat="1" x14ac:dyDescent="0.15"/>
    <row r="63" spans="3:17" s="24" customFormat="1" x14ac:dyDescent="0.15"/>
  </sheetData>
  <sheetProtection sheet="1" objects="1" scenarios="1"/>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xr:uid="{00000000-0002-0000-1500-000000000000}">
      <formula1>NOT(ISERROR(J20/1))</formula1>
    </dataValidation>
  </dataValidations>
  <hyperlinks>
    <hyperlink ref="B3" location="HL_Home" tooltip="Go to Table of Contents" display="HL_Home" xr:uid="{00000000-0004-0000-1500-000000000000}"/>
    <hyperlink ref="A4" location="$B$14" tooltip="Go to Top of Sheet" display="$B$14" xr:uid="{00000000-0004-0000-1500-000001000000}"/>
    <hyperlink ref="B4" location="HL_Sheet_Main_30" tooltip="Go to Previous Sheet" display="HL_Sheet_Main_30" xr:uid="{00000000-0004-0000-1500-000002000000}"/>
    <hyperlink ref="C4" location="HL_Sheet_Main_15" tooltip="Go to Next Sheet" display="HL_Sheet_Main_15" xr:uid="{00000000-0004-0000-1500-000003000000}"/>
    <hyperlink ref="D4" location="HL_Err_Chk" tooltip="Go to Error Checks" display="HL_Err_Chk" xr:uid="{00000000-0004-0000-1500-000004000000}"/>
    <hyperlink ref="E4" location="HL_Sens_Chk" tooltip="Go to Sensitivity Checks" display="HL_Sens_Chk" xr:uid="{00000000-0004-0000-1500-000005000000}"/>
    <hyperlink ref="F4" location="HL_Alt_Chk" tooltip="Go to Alert Checks" display="HL_Alt_Chk" xr:uid="{00000000-0004-0000-15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527</v>
      </c>
    </row>
    <row r="10" spans="3:7" ht="16.5" x14ac:dyDescent="0.15">
      <c r="C10" s="27" t="s">
        <v>535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528</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xr:uid="{00000000-0004-0000-1600-000000000000}"/>
    <hyperlink ref="C13" location="HL_Sheet_Main_31" tooltip="Go to Previous Sheet" display="HL_Sheet_Main_31" xr:uid="{00000000-0004-0000-1600-000001000000}"/>
    <hyperlink ref="D13" location="HL_Output_sheet_Example" tooltip="Go to Next Sheet" display="HL_Output_sheet_Example" xr:uid="{00000000-0004-0000-16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6">
    <pageSetUpPr autoPageBreaks="0"/>
  </sheetPr>
  <dimension ref="A1:Q214"/>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527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06"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06"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06"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06"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06"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422</v>
      </c>
    </row>
    <row r="18" spans="2:17" s="15" customFormat="1" x14ac:dyDescent="0.15">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x14ac:dyDescent="0.15">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x14ac:dyDescent="0.15">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x14ac:dyDescent="0.15">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x14ac:dyDescent="0.15">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x14ac:dyDescent="0.15">
      <c r="C23" s="5"/>
      <c r="J23" s="94"/>
      <c r="K23" s="94"/>
      <c r="L23" s="94"/>
      <c r="M23" s="94"/>
      <c r="N23" s="94"/>
      <c r="O23" s="94"/>
      <c r="P23" s="94"/>
      <c r="Q23" s="94"/>
    </row>
    <row r="25" spans="2:17" ht="12.75" x14ac:dyDescent="0.15">
      <c r="B25" s="119" t="s">
        <v>436</v>
      </c>
    </row>
    <row r="26" spans="2:17" s="15" customFormat="1" ht="12.75" x14ac:dyDescent="0.15">
      <c r="B26" s="23"/>
    </row>
    <row r="27" spans="2:17" ht="11.25" x14ac:dyDescent="0.15">
      <c r="C27" s="125" t="str">
        <f>"Accounts Receivable Balances ("&amp;INDEX(LU_Denom,DD_TS_Denom)&amp;")"</f>
        <v>Accounts Receivable Balances ($Millions)</v>
      </c>
      <c r="I27" s="15"/>
    </row>
    <row r="29" spans="2:17" x14ac:dyDescent="0.15">
      <c r="D29" s="107" t="s">
        <v>266</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x14ac:dyDescent="0.15">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x14ac:dyDescent="0.15">
      <c r="D31" s="172" t="s">
        <v>259</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x14ac:dyDescent="0.15">
      <c r="D32" s="173" t="s">
        <v>504</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x14ac:dyDescent="0.15">
      <c r="D33" s="108" t="s">
        <v>434</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x14ac:dyDescent="0.15">
      <c r="D35" s="117" t="str">
        <f>"Closing Balance Periodic Growth (% per "&amp;INDEX(LU_Period_Type_Names,MATCH(TS_Periodicity,LU_Periodicity,0))&amp;")"</f>
        <v>Closing Balance Periodic Growth (% per Year)</v>
      </c>
      <c r="K35" s="234">
        <f>IF(K$12=0,0,IF(ISERROR(K33/J33),"N/A",ROUND(K33/J33-1,5)))</f>
        <v>0</v>
      </c>
      <c r="L35" s="234">
        <f t="shared" ref="L35:Q35" si="12">IF(L$12=0,0,IF(ISERROR(L33/K33),"N/A",ROUND(L33/K33-1,5)))</f>
        <v>0</v>
      </c>
      <c r="M35" s="234" t="str">
        <f t="shared" si="12"/>
        <v>N/A</v>
      </c>
      <c r="N35" s="234">
        <f t="shared" si="12"/>
        <v>2.5000000000000001E-2</v>
      </c>
      <c r="O35" s="234">
        <f t="shared" si="12"/>
        <v>2.5000000000000001E-2</v>
      </c>
      <c r="P35" s="234">
        <f t="shared" si="12"/>
        <v>2.2200000000000001E-2</v>
      </c>
      <c r="Q35" s="234">
        <f t="shared" si="12"/>
        <v>2.7810000000000001E-2</v>
      </c>
    </row>
    <row r="36" spans="3:17" x14ac:dyDescent="0.15">
      <c r="D36" s="173" t="s">
        <v>432</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x14ac:dyDescent="0.15">
      <c r="E38" s="107" t="s">
        <v>260</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x14ac:dyDescent="0.15">
      <c r="E39" s="107" t="s">
        <v>261</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x14ac:dyDescent="0.15">
      <c r="E40" s="107" t="s">
        <v>262</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x14ac:dyDescent="0.15">
      <c r="E41" s="107" t="s">
        <v>263</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x14ac:dyDescent="0.15">
      <c r="D42" s="107" t="s">
        <v>435</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x14ac:dyDescent="0.15">
      <c r="C44" s="125" t="str">
        <f>"Accounts Payable Balances ("&amp;INDEX(LU_Denom,DD_TS_Denom)&amp;")"</f>
        <v>Accounts Payable Balances ($Millions)</v>
      </c>
    </row>
    <row r="45" spans="3:17" s="15" customFormat="1" ht="11.25" x14ac:dyDescent="0.15">
      <c r="C45" s="125"/>
    </row>
    <row r="46" spans="3:17" x14ac:dyDescent="0.15">
      <c r="D46" s="107" t="s">
        <v>266</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x14ac:dyDescent="0.15">
      <c r="D47" s="167" t="s">
        <v>490</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x14ac:dyDescent="0.15">
      <c r="D48" s="172" t="s">
        <v>264</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x14ac:dyDescent="0.15">
      <c r="D49" s="173" t="s">
        <v>505</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x14ac:dyDescent="0.15">
      <c r="D50" s="108" t="s">
        <v>434</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x14ac:dyDescent="0.15">
      <c r="D52" s="117" t="str">
        <f>"Closing Balance Periodic Growth (% per "&amp;INDEX(LU_Period_Type_Names,MATCH(TS_Periodicity,LU_Periodicity,0))&amp;")"</f>
        <v>Closing Balance Periodic Growth (% per Year)</v>
      </c>
      <c r="K52" s="234">
        <f>IF(K$12=0,0,IF(ISERROR(K50/J50),"N/A",ROUND(K50/J50-1,5)))</f>
        <v>0</v>
      </c>
      <c r="L52" s="234">
        <f t="shared" ref="L52:Q52" si="22">IF(L$12=0,0,IF(ISERROR(L50/K50),"N/A",ROUND(L50/K50-1,5)))</f>
        <v>0</v>
      </c>
      <c r="M52" s="234" t="str">
        <f t="shared" si="22"/>
        <v>N/A</v>
      </c>
      <c r="N52" s="234">
        <f t="shared" si="22"/>
        <v>2.5000000000000001E-2</v>
      </c>
      <c r="O52" s="234">
        <f t="shared" si="22"/>
        <v>2.5000000000000001E-2</v>
      </c>
      <c r="P52" s="234">
        <f t="shared" si="22"/>
        <v>2.2200000000000001E-2</v>
      </c>
      <c r="Q52" s="234">
        <f t="shared" si="22"/>
        <v>2.7810000000000001E-2</v>
      </c>
    </row>
    <row r="53" spans="2:17" x14ac:dyDescent="0.15">
      <c r="D53" s="173" t="s">
        <v>433</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x14ac:dyDescent="0.15">
      <c r="E55" s="107" t="s">
        <v>260</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x14ac:dyDescent="0.15">
      <c r="E56" s="107" t="s">
        <v>261</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x14ac:dyDescent="0.15">
      <c r="E57" s="107" t="s">
        <v>265</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x14ac:dyDescent="0.15">
      <c r="E58" s="107" t="s">
        <v>263</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x14ac:dyDescent="0.15">
      <c r="D59" s="107" t="s">
        <v>435</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x14ac:dyDescent="0.15">
      <c r="B62" s="119" t="s">
        <v>423</v>
      </c>
    </row>
    <row r="64" spans="2:17" s="15" customFormat="1" ht="11.25" x14ac:dyDescent="0.15">
      <c r="C64" s="125" t="str">
        <f>"Assets Balances ("&amp;INDEX(LU_Denom,DD_TS_Denom)&amp;")"</f>
        <v>Assets Balances ($Millions)</v>
      </c>
    </row>
    <row r="65" spans="3:17" s="15" customFormat="1" x14ac:dyDescent="0.15"/>
    <row r="66" spans="3:17" s="15" customFormat="1" x14ac:dyDescent="0.15">
      <c r="D66" s="167" t="s">
        <v>266</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x14ac:dyDescent="0.15">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x14ac:dyDescent="0.15">
      <c r="D68" s="167" t="s">
        <v>493</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x14ac:dyDescent="0.15">
      <c r="D69" s="172" t="s">
        <v>438</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x14ac:dyDescent="0.15">
      <c r="D70" s="168" t="s">
        <v>434</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x14ac:dyDescent="0.15"/>
    <row r="72" spans="3:17" s="15" customFormat="1" hidden="1" outlineLevel="2" x14ac:dyDescent="0.15">
      <c r="E72" s="167" t="s">
        <v>260</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x14ac:dyDescent="0.15">
      <c r="E73" s="167" t="s">
        <v>261</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x14ac:dyDescent="0.15">
      <c r="D74" s="167" t="s">
        <v>435</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x14ac:dyDescent="0.15"/>
    <row r="76" spans="3:17" s="15" customFormat="1" ht="11.25" x14ac:dyDescent="0.15">
      <c r="C76" s="125" t="str">
        <f>"Intangibles Balances ("&amp;INDEX(LU_Denom,DD_TS_Denom)&amp;")"</f>
        <v>Intangibles Balances ($Millions)</v>
      </c>
    </row>
    <row r="77" spans="3:17" s="15" customFormat="1" x14ac:dyDescent="0.15"/>
    <row r="78" spans="3:17" s="15" customFormat="1" x14ac:dyDescent="0.15">
      <c r="D78" s="167" t="s">
        <v>266</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x14ac:dyDescent="0.15">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x14ac:dyDescent="0.15">
      <c r="D80" s="167" t="s">
        <v>494</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x14ac:dyDescent="0.15">
      <c r="D81" s="172" t="s">
        <v>495</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x14ac:dyDescent="0.15">
      <c r="D82" s="168" t="s">
        <v>434</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x14ac:dyDescent="0.15"/>
    <row r="84" spans="2:17" s="15" customFormat="1" hidden="1" outlineLevel="2" x14ac:dyDescent="0.15">
      <c r="E84" s="167" t="s">
        <v>260</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x14ac:dyDescent="0.15">
      <c r="E85" s="167" t="s">
        <v>261</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x14ac:dyDescent="0.15">
      <c r="D86" s="167" t="s">
        <v>435</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x14ac:dyDescent="0.15">
      <c r="B89" s="119" t="s">
        <v>424</v>
      </c>
    </row>
    <row r="91" spans="2:17" s="15" customFormat="1" ht="11.25" x14ac:dyDescent="0.15">
      <c r="C91" s="93" t="s">
        <v>499</v>
      </c>
    </row>
    <row r="92" spans="2:17" s="15" customFormat="1" ht="11.25" x14ac:dyDescent="0.15">
      <c r="C92" s="93"/>
    </row>
    <row r="93" spans="2:17" x14ac:dyDescent="0.15">
      <c r="D93" s="4" t="str">
        <f>Fcast_TA!$D$62</f>
        <v>Funds Drawn ($Millions)</v>
      </c>
    </row>
    <row r="95" spans="2:17" x14ac:dyDescent="0.15">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x14ac:dyDescent="0.15">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x14ac:dyDescent="0.15">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x14ac:dyDescent="0.15">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x14ac:dyDescent="0.15">
      <c r="D100" s="4" t="str">
        <f>Fcast_TA!$D$71</f>
        <v>Interest Expense</v>
      </c>
    </row>
    <row r="102" spans="4:17" x14ac:dyDescent="0.15">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x14ac:dyDescent="0.15">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x14ac:dyDescent="0.15">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x14ac:dyDescent="0.15">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x14ac:dyDescent="0.15">
      <c r="E107" s="107" t="s">
        <v>276</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x14ac:dyDescent="0.15">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x14ac:dyDescent="0.15">
      <c r="E109" s="107" t="s">
        <v>277</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x14ac:dyDescent="0.15">
      <c r="E110" s="168" t="s">
        <v>271</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x14ac:dyDescent="0.15">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x14ac:dyDescent="0.15">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x14ac:dyDescent="0.15">
      <c r="E114" s="107" t="s">
        <v>278</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x14ac:dyDescent="0.15">
      <c r="E115" s="108" t="s">
        <v>279</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x14ac:dyDescent="0.15">
      <c r="C117" s="93" t="s">
        <v>440</v>
      </c>
    </row>
    <row r="119" spans="3:17" x14ac:dyDescent="0.15">
      <c r="D119" s="4" t="str">
        <f>Fcast_TA!$D$81</f>
        <v>Ordinary Equity Balances ($Millions)</v>
      </c>
    </row>
    <row r="121" spans="3:17" x14ac:dyDescent="0.15">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x14ac:dyDescent="0.15">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x14ac:dyDescent="0.15">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x14ac:dyDescent="0.15">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x14ac:dyDescent="0.15">
      <c r="D126" s="4" t="str">
        <f>Fcast_TA!$D$88</f>
        <v>Dividends Payable &amp; Paid</v>
      </c>
    </row>
    <row r="128" spans="3:17" x14ac:dyDescent="0.15">
      <c r="E128" s="107" t="s">
        <v>266</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x14ac:dyDescent="0.15">
      <c r="E129" s="107" t="s">
        <v>293</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x14ac:dyDescent="0.15">
      <c r="E130" s="107" t="s">
        <v>294</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x14ac:dyDescent="0.15">
      <c r="E131" s="108" t="s">
        <v>295</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x14ac:dyDescent="0.15">
      <c r="F133" s="107" t="s">
        <v>260</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x14ac:dyDescent="0.15">
      <c r="F134" s="107" t="s">
        <v>296</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x14ac:dyDescent="0.15">
      <c r="F135" s="107" t="s">
        <v>297</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x14ac:dyDescent="0.15">
      <c r="E136" s="107" t="s">
        <v>435</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x14ac:dyDescent="0.15"/>
    <row r="138" spans="4:17" collapsed="1" x14ac:dyDescent="0.15">
      <c r="E138" s="107" t="s">
        <v>448</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x14ac:dyDescent="0.15">
      <c r="D140" s="168" t="s">
        <v>447</v>
      </c>
    </row>
    <row r="142" spans="4:17" x14ac:dyDescent="0.15">
      <c r="E142" s="5" t="str">
        <f>Fcast_TA!$E$92</f>
        <v>Determination Method:</v>
      </c>
      <c r="I142" s="5" t="str">
        <f>INDEX(LU_Eq_Ord_Div_Meth,DD_Eq_Ord_Div_Meth)</f>
        <v>% of NPAT</v>
      </c>
    </row>
    <row r="144" spans="4:17" x14ac:dyDescent="0.15">
      <c r="E144" s="5" t="str">
        <f>Fcast_TA!$E$94</f>
        <v>Dividend Declaration Period?</v>
      </c>
      <c r="J144" s="252" t="str">
        <f>IF(J$12=0,"-",Fcast_TA!J94)</f>
        <v>-</v>
      </c>
      <c r="K144" s="252" t="str">
        <f>IF(K$12=0,"-",Fcast_TA!K94)</f>
        <v>-</v>
      </c>
      <c r="L144" s="252" t="str">
        <f>IF(L$12=0,"-",Fcast_TA!L94)</f>
        <v>-</v>
      </c>
      <c r="M144" s="252" t="str">
        <f>IF(M$12=0,"-",Fcast_TA!M94)</f>
        <v>Yes</v>
      </c>
      <c r="N144" s="252" t="str">
        <f>IF(N$12=0,"-",Fcast_TA!N94)</f>
        <v>Yes</v>
      </c>
      <c r="O144" s="252" t="str">
        <f>IF(O$12=0,"-",Fcast_TA!O94)</f>
        <v>Yes</v>
      </c>
      <c r="P144" s="252" t="str">
        <f>IF(P$12=0,"-",Fcast_TA!P94)</f>
        <v>Yes</v>
      </c>
      <c r="Q144" s="252" t="str">
        <f>IF(Q$12=0,"-",Fcast_TA!Q94)</f>
        <v>Yes</v>
      </c>
    </row>
    <row r="146" spans="2:17" s="24" customFormat="1" x14ac:dyDescent="0.15">
      <c r="E146" s="146" t="s">
        <v>298</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x14ac:dyDescent="0.15">
      <c r="E147" s="146" t="s">
        <v>299</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x14ac:dyDescent="0.15">
      <c r="E148" s="108" t="s">
        <v>302</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x14ac:dyDescent="0.15">
      <c r="E149" s="146" t="s">
        <v>300</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x14ac:dyDescent="0.15">
      <c r="E150" s="146" t="s">
        <v>301</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x14ac:dyDescent="0.15">
      <c r="E151" s="108" t="s">
        <v>303</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x14ac:dyDescent="0.15">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x14ac:dyDescent="0.15">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x14ac:dyDescent="0.15">
      <c r="E154" s="107" t="s">
        <v>304</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x14ac:dyDescent="0.15">
      <c r="E155" s="108" t="s">
        <v>305</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x14ac:dyDescent="0.15">
      <c r="B158" s="119" t="s">
        <v>442</v>
      </c>
    </row>
    <row r="160" spans="2:17" s="15" customFormat="1" ht="12.75" x14ac:dyDescent="0.15">
      <c r="B160" s="119"/>
      <c r="C160" s="125" t="str">
        <f>"Tax Expense ("&amp;INDEX(LU_Denom,DD_TS_Denom)&amp;")"</f>
        <v>Tax Expense ($Millions)</v>
      </c>
    </row>
    <row r="162" spans="3:17" x14ac:dyDescent="0.15">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x14ac:dyDescent="0.15">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x14ac:dyDescent="0.15">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x14ac:dyDescent="0.15">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x14ac:dyDescent="0.15">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x14ac:dyDescent="0.15">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x14ac:dyDescent="0.15">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x14ac:dyDescent="0.15">
      <c r="J169" s="94"/>
      <c r="K169" s="94"/>
      <c r="L169" s="94"/>
      <c r="M169" s="94"/>
      <c r="N169" s="94"/>
      <c r="O169" s="94"/>
      <c r="P169" s="94"/>
      <c r="Q169" s="94"/>
    </row>
    <row r="170" spans="3:17" x14ac:dyDescent="0.15">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x14ac:dyDescent="0.15">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x14ac:dyDescent="0.2">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x14ac:dyDescent="0.15"/>
    <row r="176" spans="3:17" ht="11.25" x14ac:dyDescent="0.15">
      <c r="C176" s="93" t="s">
        <v>514</v>
      </c>
    </row>
    <row r="178" spans="2:17" x14ac:dyDescent="0.15">
      <c r="D178" s="167" t="s">
        <v>266</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x14ac:dyDescent="0.15">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x14ac:dyDescent="0.15">
      <c r="D180" s="167" t="s">
        <v>501</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x14ac:dyDescent="0.15">
      <c r="D181" s="168" t="s">
        <v>434</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x14ac:dyDescent="0.15">
      <c r="B184" s="119" t="s">
        <v>515</v>
      </c>
    </row>
    <row r="186" spans="2:17" ht="11.25" x14ac:dyDescent="0.15">
      <c r="C186" s="125" t="str">
        <f>Fcast_TA!D135&amp;" ("&amp;INDEX(LU_Denom,DD_TS_Denom)&amp;")"</f>
        <v>Other Current Assets ($Millions)</v>
      </c>
    </row>
    <row r="188" spans="2:17" x14ac:dyDescent="0.15">
      <c r="D188" s="167" t="s">
        <v>266</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x14ac:dyDescent="0.15">
      <c r="D189" s="167" t="s">
        <v>516</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x14ac:dyDescent="0.15">
      <c r="D190" s="168" t="s">
        <v>434</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x14ac:dyDescent="0.15">
      <c r="K191" s="15"/>
      <c r="L191" s="15"/>
      <c r="M191" s="15"/>
      <c r="N191" s="15"/>
      <c r="O191" s="15"/>
      <c r="P191" s="15"/>
      <c r="Q191" s="15"/>
    </row>
    <row r="192" spans="2:17" s="15" customFormat="1" ht="11.25" x14ac:dyDescent="0.15">
      <c r="C192" s="125" t="str">
        <f>Fcast_TA!D136&amp;" ("&amp;INDEX(LU_Denom,DD_TS_Denom)&amp;")"</f>
        <v>Other Non-Current Assets ($Millions)</v>
      </c>
    </row>
    <row r="193" spans="3:17" s="15" customFormat="1" x14ac:dyDescent="0.15"/>
    <row r="194" spans="3:17" s="15" customFormat="1" x14ac:dyDescent="0.15">
      <c r="D194" s="167" t="s">
        <v>266</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x14ac:dyDescent="0.15">
      <c r="D195" s="167" t="s">
        <v>516</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x14ac:dyDescent="0.15">
      <c r="D196" s="168" t="s">
        <v>434</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x14ac:dyDescent="0.15">
      <c r="K197" s="15"/>
      <c r="L197" s="15"/>
      <c r="M197" s="15"/>
      <c r="N197" s="15"/>
      <c r="O197" s="15"/>
      <c r="P197" s="15"/>
      <c r="Q197" s="15"/>
    </row>
    <row r="198" spans="3:17" s="15" customFormat="1" ht="11.25" x14ac:dyDescent="0.15">
      <c r="C198" s="125" t="str">
        <f>Fcast_TA!D137&amp;" ("&amp;INDEX(LU_Denom,DD_TS_Denom)&amp;")"</f>
        <v>Other Current Liabilities ($Millions)</v>
      </c>
    </row>
    <row r="199" spans="3:17" s="15" customFormat="1" x14ac:dyDescent="0.15"/>
    <row r="200" spans="3:17" s="15" customFormat="1" x14ac:dyDescent="0.15">
      <c r="D200" s="167" t="s">
        <v>266</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x14ac:dyDescent="0.15">
      <c r="D201" s="167" t="s">
        <v>516</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x14ac:dyDescent="0.15">
      <c r="D202" s="168" t="s">
        <v>434</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x14ac:dyDescent="0.15">
      <c r="K203" s="15"/>
      <c r="L203" s="15"/>
      <c r="M203" s="15"/>
      <c r="N203" s="15"/>
      <c r="O203" s="15"/>
      <c r="P203" s="15"/>
      <c r="Q203" s="15"/>
    </row>
    <row r="204" spans="3:17" s="15" customFormat="1" ht="11.25" x14ac:dyDescent="0.15">
      <c r="C204" s="125" t="str">
        <f>Fcast_TA!D138&amp;" ("&amp;INDEX(LU_Denom,DD_TS_Denom)&amp;")"</f>
        <v>Other Non-Current Liabilities ($Millions)</v>
      </c>
    </row>
    <row r="205" spans="3:17" s="15" customFormat="1" x14ac:dyDescent="0.15"/>
    <row r="206" spans="3:17" s="15" customFormat="1" x14ac:dyDescent="0.15">
      <c r="D206" s="167" t="s">
        <v>266</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x14ac:dyDescent="0.15">
      <c r="D207" s="167" t="s">
        <v>516</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x14ac:dyDescent="0.15">
      <c r="D208" s="168" t="s">
        <v>434</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x14ac:dyDescent="0.15">
      <c r="C210" s="125" t="str">
        <f>Fcast_TA!D139&amp;" ("&amp;INDEX(LU_Denom,DD_TS_Denom)&amp;")"</f>
        <v>Other Equity ($Millions)</v>
      </c>
    </row>
    <row r="211" spans="3:17" s="15" customFormat="1" x14ac:dyDescent="0.15"/>
    <row r="212" spans="3:17" s="15" customFormat="1" x14ac:dyDescent="0.15">
      <c r="D212" s="170" t="s">
        <v>266</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x14ac:dyDescent="0.15">
      <c r="D213" s="170" t="s">
        <v>516</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x14ac:dyDescent="0.15">
      <c r="D214" s="171" t="s">
        <v>434</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sheetProtection sheet="1" objects="1" scenarios="1"/>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xr:uid="{00000000-0004-0000-1700-000000000000}"/>
    <hyperlink ref="A4" location="$B$14" tooltip="Go to Top of Sheet" display="$B$14" xr:uid="{00000000-0004-0000-1700-000001000000}"/>
    <hyperlink ref="B4" location="HL_Sheet_Main_15" tooltip="Go to Previous Sheet" display="HL_Sheet_Main_15" xr:uid="{00000000-0004-0000-1700-000002000000}"/>
    <hyperlink ref="C4" location="HL_Sheet_Main_35" tooltip="Go to Next Sheet" display="HL_Sheet_Main_35" xr:uid="{00000000-0004-0000-1700-000003000000}"/>
    <hyperlink ref="D4" location="HL_Err_Chk" tooltip="Go to Error Checks" display="HL_Err_Chk" xr:uid="{00000000-0004-0000-1700-000004000000}"/>
    <hyperlink ref="E4" location="HL_Sens_Chk" tooltip="Go to Sensitivity Checks" display="HL_Sens_Chk" xr:uid="{00000000-0004-0000-1700-000005000000}"/>
    <hyperlink ref="F4" location="HL_Alt_Chk" tooltip="Go to Alert Checks" display="HL_Alt_Chk" xr:uid="{00000000-0004-0000-17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autoPageBreaks="0"/>
  </sheetPr>
  <dimension ref="A1:Q4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566</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47</v>
      </c>
    </row>
    <row r="18" spans="3:17" x14ac:dyDescent="0.15">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x14ac:dyDescent="0.15">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x14ac:dyDescent="0.15">
      <c r="J20" s="94"/>
      <c r="K20" s="94"/>
      <c r="L20" s="94"/>
      <c r="M20" s="94"/>
      <c r="N20" s="94"/>
      <c r="O20" s="94"/>
      <c r="P20" s="94"/>
      <c r="Q20" s="94"/>
    </row>
    <row r="21" spans="3:17" s="15" customFormat="1" ht="11.25" x14ac:dyDescent="0.15">
      <c r="C21" s="93" t="s">
        <v>496</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x14ac:dyDescent="0.15">
      <c r="J22" s="94"/>
      <c r="K22" s="94"/>
      <c r="L22" s="94"/>
      <c r="M22" s="94"/>
      <c r="N22" s="94"/>
      <c r="O22" s="94"/>
      <c r="P22" s="94"/>
      <c r="Q22" s="94"/>
    </row>
    <row r="23" spans="3:17" x14ac:dyDescent="0.15">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x14ac:dyDescent="0.15">
      <c r="J24" s="94"/>
      <c r="K24" s="94"/>
      <c r="L24" s="94"/>
      <c r="M24" s="94"/>
      <c r="N24" s="94"/>
      <c r="O24" s="94"/>
      <c r="P24" s="94"/>
      <c r="Q24" s="94"/>
    </row>
    <row r="25" spans="3:17" ht="11.25" x14ac:dyDescent="0.1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x14ac:dyDescent="0.15">
      <c r="J26" s="94"/>
      <c r="K26" s="94"/>
      <c r="L26" s="94"/>
      <c r="M26" s="94"/>
      <c r="N26" s="94"/>
      <c r="O26" s="94"/>
      <c r="P26" s="94"/>
      <c r="Q26" s="94"/>
    </row>
    <row r="27" spans="3:17" hidden="1" outlineLevel="2" x14ac:dyDescent="0.15">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x14ac:dyDescent="0.15">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x14ac:dyDescent="0.15">
      <c r="D29" s="167" t="s">
        <v>497</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x14ac:dyDescent="0.15">
      <c r="J30" s="94"/>
      <c r="K30" s="94"/>
      <c r="L30" s="94"/>
      <c r="M30" s="94"/>
      <c r="N30" s="94"/>
      <c r="O30" s="94"/>
      <c r="P30" s="94"/>
      <c r="Q30" s="94"/>
    </row>
    <row r="31" spans="3:17" ht="11.25" x14ac:dyDescent="0.1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x14ac:dyDescent="0.15">
      <c r="J32" s="94"/>
      <c r="K32" s="94"/>
      <c r="L32" s="94"/>
      <c r="M32" s="94"/>
      <c r="N32" s="94"/>
      <c r="O32" s="94"/>
      <c r="P32" s="94"/>
      <c r="Q32" s="94"/>
    </row>
    <row r="33" spans="3:17" x14ac:dyDescent="0.15">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x14ac:dyDescent="0.15">
      <c r="J34" s="94"/>
      <c r="K34" s="94"/>
      <c r="L34" s="94"/>
      <c r="M34" s="94"/>
      <c r="N34" s="94"/>
      <c r="O34" s="94"/>
      <c r="P34" s="94"/>
      <c r="Q34" s="94"/>
    </row>
    <row r="35" spans="3:17" ht="11.25" x14ac:dyDescent="0.1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x14ac:dyDescent="0.15">
      <c r="J36" s="94"/>
      <c r="K36" s="94"/>
      <c r="L36" s="94"/>
      <c r="M36" s="94"/>
      <c r="N36" s="94"/>
      <c r="O36" s="94"/>
      <c r="P36" s="94"/>
      <c r="Q36" s="94"/>
    </row>
    <row r="37" spans="3:17" x14ac:dyDescent="0.15">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x14ac:dyDescent="0.15">
      <c r="J38" s="94"/>
      <c r="K38" s="94"/>
      <c r="L38" s="94"/>
      <c r="M38" s="94"/>
      <c r="N38" s="94"/>
      <c r="O38" s="94"/>
      <c r="P38" s="94"/>
      <c r="Q38" s="94"/>
    </row>
    <row r="39" spans="3:17" ht="12.75" thickBot="1" x14ac:dyDescent="0.2">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x14ac:dyDescent="0.15"/>
    <row r="41" spans="3:17" ht="11.25" x14ac:dyDescent="0.15">
      <c r="C41" s="14" t="s">
        <v>437</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x14ac:dyDescent="0.15">
      <c r="C43" s="161" t="s">
        <v>218</v>
      </c>
      <c r="D43" s="15"/>
    </row>
    <row r="44" spans="3:17" s="15" customFormat="1" x14ac:dyDescent="0.15">
      <c r="C44" s="138">
        <v>1</v>
      </c>
      <c r="D44" s="215" t="str">
        <f>"All revenues and expenses are specified in "&amp;INDEX(LU_Denom,DD_TS_Denom)&amp;"."</f>
        <v>All revenues and expenses are specified in $Millions.</v>
      </c>
    </row>
    <row r="45" spans="3:17" s="15" customFormat="1" x14ac:dyDescent="0.15">
      <c r="C45" s="138">
        <v>2</v>
      </c>
      <c r="D45" s="107" t="s">
        <v>14</v>
      </c>
    </row>
    <row r="47" spans="3:17" x14ac:dyDescent="0.15">
      <c r="C47" s="106" t="str">
        <f>"Go to "&amp;BS_Fcast_TO!$B$1</f>
        <v>Go to Balance Sheet - Forecast Outputs</v>
      </c>
      <c r="D47" s="8"/>
      <c r="E47" s="8"/>
      <c r="F47" s="8"/>
      <c r="G47" s="8"/>
      <c r="H47" s="8"/>
      <c r="I47" s="8"/>
    </row>
  </sheetData>
  <sheetProtection sheet="1" objects="1" scenarios="1"/>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xr:uid="{00000000-0004-0000-1800-000000000000}"/>
    <hyperlink ref="B3" location="HL_Home" tooltip="Go to Table of Contents" display="HL_Home" xr:uid="{00000000-0004-0000-1800-000001000000}"/>
    <hyperlink ref="A4" location="$B$14" tooltip="Go to Top of Sheet" display="$B$14" xr:uid="{00000000-0004-0000-1800-000002000000}"/>
    <hyperlink ref="B4" location="HL_Output_sheet_Example" tooltip="Go to Previous Sheet" display="HL_Output_sheet_Example" xr:uid="{00000000-0004-0000-1800-000003000000}"/>
    <hyperlink ref="C4" location="HL_Sheet_Main_36" tooltip="Go to Next Sheet" display="HL_Sheet_Main_36" xr:uid="{00000000-0004-0000-1800-000004000000}"/>
    <hyperlink ref="D4" location="HL_Err_Chk" tooltip="Go to Error Checks" display="HL_Err_Chk" xr:uid="{00000000-0004-0000-1800-000005000000}"/>
    <hyperlink ref="E4" location="HL_Sens_Chk" tooltip="Go to Sensitivity Checks" display="HL_Sens_Chk" xr:uid="{00000000-0004-0000-1800-000006000000}"/>
    <hyperlink ref="F4" location="HL_Alt_Chk" tooltip="Go to Alert Checks" display="HL_Alt_Chk" xr:uid="{00000000-0004-0000-1800-000007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autoPageBreaks="0"/>
  </sheetPr>
  <dimension ref="A1:Q78"/>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0</v>
      </c>
    </row>
    <row r="18" spans="3:17" ht="11.25" x14ac:dyDescent="0.15">
      <c r="C18" s="93" t="s">
        <v>30</v>
      </c>
    </row>
    <row r="20" spans="3:17" hidden="1" outlineLevel="2" x14ac:dyDescent="0.15">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x14ac:dyDescent="0.15">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x14ac:dyDescent="0.15">
      <c r="D22" s="167" t="s">
        <v>512</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x14ac:dyDescent="0.15">
      <c r="D23" s="167" t="s">
        <v>317</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x14ac:dyDescent="0.15">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x14ac:dyDescent="0.15">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x14ac:dyDescent="0.15">
      <c r="J26" s="94"/>
      <c r="K26" s="94"/>
      <c r="L26" s="94"/>
      <c r="M26" s="94"/>
      <c r="N26" s="94"/>
      <c r="O26" s="94"/>
      <c r="P26" s="94"/>
      <c r="Q26" s="94"/>
    </row>
    <row r="27" spans="3:17" ht="11.25" x14ac:dyDescent="0.15">
      <c r="C27" s="93" t="s">
        <v>31</v>
      </c>
      <c r="J27" s="94"/>
      <c r="K27" s="94"/>
      <c r="L27" s="94"/>
      <c r="M27" s="94"/>
      <c r="N27" s="94"/>
      <c r="O27" s="94"/>
      <c r="P27" s="94"/>
      <c r="Q27" s="94"/>
    </row>
    <row r="28" spans="3:17" x14ac:dyDescent="0.15">
      <c r="J28" s="94"/>
      <c r="K28" s="94"/>
      <c r="L28" s="94"/>
      <c r="M28" s="94"/>
      <c r="N28" s="94"/>
      <c r="O28" s="94"/>
      <c r="P28" s="94"/>
      <c r="Q28" s="94"/>
    </row>
    <row r="29" spans="3:17" x14ac:dyDescent="0.15">
      <c r="D29" s="167" t="s">
        <v>480</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x14ac:dyDescent="0.15">
      <c r="D30" s="167" t="s">
        <v>498</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x14ac:dyDescent="0.15">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x14ac:dyDescent="0.15">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x14ac:dyDescent="0.15">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x14ac:dyDescent="0.15">
      <c r="J34" s="94"/>
      <c r="K34" s="94"/>
      <c r="L34" s="94"/>
      <c r="M34" s="94"/>
      <c r="N34" s="94"/>
      <c r="O34" s="94"/>
      <c r="P34" s="94"/>
      <c r="Q34" s="94"/>
    </row>
    <row r="35" spans="3:17" ht="11.25" x14ac:dyDescent="0.1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x14ac:dyDescent="0.15">
      <c r="J36" s="94"/>
      <c r="K36" s="94"/>
      <c r="L36" s="94"/>
      <c r="M36" s="94"/>
      <c r="N36" s="94"/>
      <c r="O36" s="94"/>
      <c r="P36" s="94"/>
      <c r="Q36" s="94"/>
    </row>
    <row r="37" spans="3:17" ht="11.25" x14ac:dyDescent="0.15">
      <c r="C37" s="93" t="s">
        <v>33</v>
      </c>
      <c r="J37" s="94"/>
      <c r="K37" s="94"/>
      <c r="L37" s="94"/>
      <c r="M37" s="94"/>
      <c r="N37" s="94"/>
      <c r="O37" s="94"/>
      <c r="P37" s="94"/>
      <c r="Q37" s="94"/>
    </row>
    <row r="38" spans="3:17" x14ac:dyDescent="0.15">
      <c r="J38" s="94"/>
      <c r="K38" s="94"/>
      <c r="L38" s="94"/>
      <c r="M38" s="94"/>
      <c r="N38" s="94"/>
      <c r="O38" s="94"/>
      <c r="P38" s="94"/>
      <c r="Q38" s="94"/>
    </row>
    <row r="39" spans="3:17" x14ac:dyDescent="0.15">
      <c r="D39" s="170" t="s">
        <v>318</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x14ac:dyDescent="0.15">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x14ac:dyDescent="0.15">
      <c r="D41" s="170" t="s">
        <v>503</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x14ac:dyDescent="0.15">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x14ac:dyDescent="0.15">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x14ac:dyDescent="0.15">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x14ac:dyDescent="0.15">
      <c r="J45" s="94"/>
      <c r="K45" s="94"/>
      <c r="L45" s="94"/>
      <c r="M45" s="94"/>
      <c r="N45" s="94"/>
      <c r="O45" s="94"/>
      <c r="P45" s="94"/>
      <c r="Q45" s="94"/>
    </row>
    <row r="46" spans="3:17" ht="11.25" x14ac:dyDescent="0.15">
      <c r="C46" s="93" t="s">
        <v>35</v>
      </c>
      <c r="J46" s="94"/>
      <c r="K46" s="94"/>
      <c r="L46" s="94"/>
      <c r="M46" s="94"/>
      <c r="N46" s="94"/>
      <c r="O46" s="94"/>
      <c r="P46" s="94"/>
      <c r="Q46" s="94"/>
    </row>
    <row r="47" spans="3:17" x14ac:dyDescent="0.15">
      <c r="J47" s="94"/>
      <c r="K47" s="94"/>
      <c r="L47" s="94"/>
      <c r="M47" s="94"/>
      <c r="N47" s="94"/>
      <c r="O47" s="94"/>
      <c r="P47" s="94"/>
      <c r="Q47" s="94"/>
    </row>
    <row r="48" spans="3:17" x14ac:dyDescent="0.15">
      <c r="D48" s="167" t="s">
        <v>275</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x14ac:dyDescent="0.15">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x14ac:dyDescent="0.15">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x14ac:dyDescent="0.15">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x14ac:dyDescent="0.15">
      <c r="J52" s="94"/>
      <c r="K52" s="94"/>
      <c r="L52" s="94"/>
      <c r="M52" s="94"/>
      <c r="N52" s="94"/>
      <c r="O52" s="94"/>
      <c r="P52" s="94"/>
      <c r="Q52" s="94"/>
    </row>
    <row r="53" spans="2:17" ht="11.25" x14ac:dyDescent="0.1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x14ac:dyDescent="0.15">
      <c r="J54" s="94"/>
      <c r="K54" s="94"/>
      <c r="L54" s="94"/>
      <c r="M54" s="94"/>
      <c r="N54" s="94"/>
      <c r="O54" s="94"/>
      <c r="P54" s="94"/>
      <c r="Q54" s="94"/>
    </row>
    <row r="55" spans="2:17" ht="12" thickBot="1" x14ac:dyDescent="0.2">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x14ac:dyDescent="0.15">
      <c r="B56" s="15"/>
      <c r="C56" s="15"/>
      <c r="D56" s="15"/>
      <c r="J56" s="94"/>
      <c r="K56" s="94"/>
      <c r="L56" s="94"/>
      <c r="M56" s="94"/>
      <c r="N56" s="94"/>
      <c r="O56" s="94"/>
      <c r="P56" s="94"/>
      <c r="Q56" s="94"/>
    </row>
    <row r="57" spans="2:17" ht="11.25" x14ac:dyDescent="0.15">
      <c r="C57" s="93" t="s">
        <v>38</v>
      </c>
      <c r="J57" s="94"/>
      <c r="K57" s="94"/>
      <c r="L57" s="94"/>
      <c r="M57" s="94"/>
      <c r="N57" s="94"/>
      <c r="O57" s="94"/>
      <c r="P57" s="94"/>
      <c r="Q57" s="94"/>
    </row>
    <row r="58" spans="2:17" x14ac:dyDescent="0.15">
      <c r="J58" s="94"/>
      <c r="K58" s="94"/>
      <c r="L58" s="94"/>
      <c r="M58" s="94"/>
      <c r="N58" s="94"/>
      <c r="O58" s="94"/>
      <c r="P58" s="94"/>
      <c r="Q58" s="94"/>
    </row>
    <row r="59" spans="2:17" x14ac:dyDescent="0.15">
      <c r="D59" s="107" t="s">
        <v>292</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x14ac:dyDescent="0.15">
      <c r="D60" s="170" t="s">
        <v>580</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x14ac:dyDescent="0.15">
      <c r="E61" s="170" t="s">
        <v>266</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x14ac:dyDescent="0.15">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x14ac:dyDescent="0.15">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x14ac:dyDescent="0.15">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x14ac:dyDescent="0.15">
      <c r="J65" s="94"/>
      <c r="K65" s="94"/>
      <c r="L65" s="94"/>
      <c r="M65" s="94"/>
      <c r="N65" s="94"/>
      <c r="O65" s="94"/>
      <c r="P65" s="94"/>
      <c r="Q65" s="94"/>
    </row>
    <row r="66" spans="3:17" ht="12" thickBot="1" x14ac:dyDescent="0.2">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x14ac:dyDescent="0.15">
      <c r="J67" s="175"/>
      <c r="K67" s="175"/>
      <c r="L67" s="175"/>
      <c r="M67" s="175"/>
      <c r="N67" s="175"/>
      <c r="O67" s="175"/>
      <c r="P67" s="175"/>
      <c r="Q67" s="175"/>
    </row>
    <row r="68" spans="3:17" hidden="1" outlineLevel="2" x14ac:dyDescent="0.15">
      <c r="D68" s="170" t="s">
        <v>587</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x14ac:dyDescent="0.15">
      <c r="D69" s="170" t="s">
        <v>588</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x14ac:dyDescent="0.15">
      <c r="C70" s="167" t="s">
        <v>439</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x14ac:dyDescent="0.15"/>
    <row r="72" spans="3:17" collapsed="1" x14ac:dyDescent="0.15">
      <c r="C72" s="167" t="s">
        <v>444</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x14ac:dyDescent="0.15">
      <c r="C74" s="171" t="s">
        <v>218</v>
      </c>
      <c r="J74" s="175"/>
      <c r="K74" s="175"/>
      <c r="L74" s="175"/>
      <c r="M74" s="175"/>
      <c r="N74" s="175"/>
      <c r="O74" s="175"/>
      <c r="P74" s="175"/>
      <c r="Q74" s="175"/>
    </row>
    <row r="75" spans="3:17" s="15" customFormat="1" x14ac:dyDescent="0.15">
      <c r="C75" s="138">
        <v>1</v>
      </c>
      <c r="D75" s="215" t="str">
        <f>"All balances are specified in "&amp;INDEX(LU_Denom,DD_TS_Denom)&amp;"."</f>
        <v>All balances are specified in $Millions.</v>
      </c>
    </row>
    <row r="76" spans="3:17" s="15" customFormat="1" x14ac:dyDescent="0.15"/>
    <row r="77" spans="3:17" x14ac:dyDescent="0.15">
      <c r="C77" s="106" t="str">
        <f>"Go to "&amp;Err_Chk_11_Hdg</f>
        <v>Go to Income Statement - Forecast Outputs</v>
      </c>
      <c r="D77" s="8"/>
      <c r="E77" s="8"/>
      <c r="F77" s="8"/>
      <c r="G77" s="8"/>
      <c r="H77" s="8"/>
      <c r="I77" s="8"/>
    </row>
    <row r="78" spans="3:17" x14ac:dyDescent="0.15">
      <c r="C78" s="106" t="str">
        <f>"Go to "&amp;Err_Chk_14_Hdg</f>
        <v>Go to Cash Flow Statement - Forecast Outputs</v>
      </c>
      <c r="D78" s="8"/>
      <c r="E78" s="8"/>
      <c r="F78" s="8"/>
      <c r="G78" s="8"/>
      <c r="H78" s="8"/>
    </row>
  </sheetData>
  <sheetProtection sheet="1" objects="1" scenarios="1"/>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xr:uid="{00000000-0004-0000-1900-000000000000}"/>
    <hyperlink ref="C78:H78" location="HL_Sheet_Main_37" tooltip="Go to Cash Flow Statement" display="HL_Sheet_Main_37" xr:uid="{00000000-0004-0000-1900-000001000000}"/>
    <hyperlink ref="B3" location="HL_Home" tooltip="Go to Table of Contents" display="HL_Home" xr:uid="{00000000-0004-0000-1900-000002000000}"/>
    <hyperlink ref="A4" location="$B$14" tooltip="Go to Top of Sheet" display="$B$14" xr:uid="{00000000-0004-0000-1900-000003000000}"/>
    <hyperlink ref="B4" location="HL_Sheet_Main_35" tooltip="Go to Previous Sheet" display="HL_Sheet_Main_35" xr:uid="{00000000-0004-0000-1900-000004000000}"/>
    <hyperlink ref="C4" location="HL_Sheet_Main_37" tooltip="Go to Next Sheet" display="HL_Sheet_Main_37" xr:uid="{00000000-0004-0000-1900-000005000000}"/>
    <hyperlink ref="D4" location="HL_Err_Chk" tooltip="Go to Error Checks" display="HL_Err_Chk" xr:uid="{00000000-0004-0000-1900-000006000000}"/>
    <hyperlink ref="E4" location="HL_Sens_Chk" tooltip="Go to Sensitivity Checks" display="HL_Sens_Chk" xr:uid="{00000000-0004-0000-1900-000007000000}"/>
    <hyperlink ref="F4" location="HL_Alt_Chk" tooltip="Go to Alert Checks" display="HL_Alt_Chk" xr:uid="{00000000-0004-0000-1900-000008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autoPageBreaks="0"/>
  </sheetPr>
  <dimension ref="A1:Q120"/>
  <sheetViews>
    <sheetView showGridLines="0" tabSelected="1" zoomScaleNormal="100" workbookViewId="0">
      <pane xSplit="1" ySplit="13" topLeftCell="J14" activePane="bottomRight" state="frozen"/>
      <selection activeCell="D23" sqref="D23:N24"/>
      <selection pane="topRight" activeCell="D23" sqref="D23:N24"/>
      <selection pane="bottomLeft" activeCell="D23" sqref="D23:N24"/>
      <selection pane="bottomRight" activeCell="M7" sqref="M7"/>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568</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x14ac:dyDescent="0.15"/>
    <row r="16" spans="1:17" ht="12.75" x14ac:dyDescent="0.15">
      <c r="B16" s="119" t="s">
        <v>449</v>
      </c>
    </row>
    <row r="18" spans="3:17" ht="11.25" x14ac:dyDescent="0.15">
      <c r="C18" s="93" t="s">
        <v>15</v>
      </c>
    </row>
    <row r="20" spans="3:17" hidden="1" outlineLevel="2" x14ac:dyDescent="0.15">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x14ac:dyDescent="0.15">
      <c r="E21" s="107" t="s">
        <v>445</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x14ac:dyDescent="0.15">
      <c r="D22" s="170" t="s">
        <v>259</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x14ac:dyDescent="0.15">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x14ac:dyDescent="0.15">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x14ac:dyDescent="0.15">
      <c r="D25" s="5"/>
      <c r="E25" s="107" t="s">
        <v>446</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x14ac:dyDescent="0.15">
      <c r="D26" s="170" t="s">
        <v>264</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x14ac:dyDescent="0.15">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x14ac:dyDescent="0.15">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x14ac:dyDescent="0.15">
      <c r="D29" s="170" t="s">
        <v>517</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x14ac:dyDescent="0.15">
      <c r="D30" s="170" t="s">
        <v>518</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x14ac:dyDescent="0.15">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x14ac:dyDescent="0.15">
      <c r="J32" s="94"/>
      <c r="K32" s="94"/>
      <c r="L32" s="94"/>
      <c r="M32" s="94"/>
      <c r="N32" s="94"/>
      <c r="O32" s="94"/>
      <c r="P32" s="94"/>
      <c r="Q32" s="94"/>
    </row>
    <row r="33" spans="3:17" ht="11.25" x14ac:dyDescent="0.15">
      <c r="C33" s="93" t="s">
        <v>16</v>
      </c>
      <c r="J33" s="94"/>
      <c r="K33" s="94"/>
      <c r="L33" s="94"/>
      <c r="M33" s="94"/>
      <c r="N33" s="94"/>
      <c r="O33" s="94"/>
      <c r="P33" s="94"/>
      <c r="Q33" s="94"/>
    </row>
    <row r="34" spans="3:17" x14ac:dyDescent="0.15">
      <c r="J34" s="94"/>
      <c r="K34" s="94"/>
      <c r="L34" s="94"/>
      <c r="M34" s="94"/>
      <c r="N34" s="94"/>
      <c r="O34" s="94"/>
      <c r="P34" s="94"/>
      <c r="Q34" s="94"/>
    </row>
    <row r="35" spans="3:17" x14ac:dyDescent="0.15">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x14ac:dyDescent="0.15">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x14ac:dyDescent="0.15">
      <c r="D37" s="167" t="s">
        <v>519</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x14ac:dyDescent="0.15">
      <c r="D38" s="167" t="s">
        <v>520</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x14ac:dyDescent="0.15">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x14ac:dyDescent="0.15">
      <c r="J40" s="94"/>
      <c r="K40" s="94"/>
      <c r="L40" s="94"/>
      <c r="M40" s="94"/>
      <c r="N40" s="94"/>
      <c r="O40" s="94"/>
      <c r="P40" s="94"/>
      <c r="Q40" s="94"/>
    </row>
    <row r="41" spans="3:17" ht="11.25" x14ac:dyDescent="0.15">
      <c r="C41" s="93" t="s">
        <v>17</v>
      </c>
      <c r="J41" s="94"/>
      <c r="K41" s="94"/>
      <c r="L41" s="94"/>
      <c r="M41" s="94"/>
      <c r="N41" s="94"/>
      <c r="O41" s="94"/>
      <c r="P41" s="94"/>
      <c r="Q41" s="94"/>
    </row>
    <row r="42" spans="3:17" x14ac:dyDescent="0.15">
      <c r="J42" s="94"/>
      <c r="K42" s="94"/>
      <c r="L42" s="94"/>
      <c r="M42" s="94"/>
      <c r="N42" s="94"/>
      <c r="O42" s="94"/>
      <c r="P42" s="94"/>
      <c r="Q42" s="94"/>
    </row>
    <row r="43" spans="3:17" x14ac:dyDescent="0.15">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x14ac:dyDescent="0.15">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x14ac:dyDescent="0.15">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x14ac:dyDescent="0.15">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x14ac:dyDescent="0.15">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x14ac:dyDescent="0.15">
      <c r="D48" s="170" t="s">
        <v>582</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x14ac:dyDescent="0.15">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x14ac:dyDescent="0.15">
      <c r="J50" s="94"/>
      <c r="K50" s="94"/>
      <c r="L50" s="94"/>
      <c r="M50" s="94"/>
      <c r="N50" s="94"/>
      <c r="O50" s="94"/>
      <c r="P50" s="94"/>
      <c r="Q50" s="94"/>
    </row>
    <row r="51" spans="2:17" ht="12" thickBot="1" x14ac:dyDescent="0.2">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x14ac:dyDescent="0.15"/>
    <row r="54" spans="2:17" ht="12.75" x14ac:dyDescent="0.15">
      <c r="B54" s="119" t="s">
        <v>450</v>
      </c>
    </row>
    <row r="56" spans="2:17" ht="11.25" x14ac:dyDescent="0.15">
      <c r="C56" s="120" t="str">
        <f>C18</f>
        <v>Cash Flow from Operating Activities</v>
      </c>
    </row>
    <row r="58" spans="2:17" x14ac:dyDescent="0.15">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x14ac:dyDescent="0.15">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x14ac:dyDescent="0.15">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x14ac:dyDescent="0.15">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x14ac:dyDescent="0.15">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x14ac:dyDescent="0.15">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x14ac:dyDescent="0.15">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x14ac:dyDescent="0.15">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x14ac:dyDescent="0.15">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x14ac:dyDescent="0.15">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x14ac:dyDescent="0.15">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x14ac:dyDescent="0.15">
      <c r="C70" s="120" t="str">
        <f>C33</f>
        <v>Cash Flow from Investing Activities</v>
      </c>
    </row>
    <row r="72" spans="3:17" x14ac:dyDescent="0.15">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x14ac:dyDescent="0.15">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x14ac:dyDescent="0.15">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x14ac:dyDescent="0.15">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x14ac:dyDescent="0.15">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x14ac:dyDescent="0.15">
      <c r="C78" s="120" t="str">
        <f>C41</f>
        <v>Cash Flow from Financing Activities</v>
      </c>
    </row>
    <row r="80" spans="3:17" x14ac:dyDescent="0.15">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x14ac:dyDescent="0.15">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x14ac:dyDescent="0.15">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x14ac:dyDescent="0.15">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x14ac:dyDescent="0.15">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x14ac:dyDescent="0.15">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x14ac:dyDescent="0.15">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x14ac:dyDescent="0.2">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x14ac:dyDescent="0.15"/>
    <row r="91" spans="2:17" ht="12.75" x14ac:dyDescent="0.15">
      <c r="B91" s="119" t="s">
        <v>451</v>
      </c>
    </row>
    <row r="93" spans="2:17" x14ac:dyDescent="0.15">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x14ac:dyDescent="0.15">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x14ac:dyDescent="0.15">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x14ac:dyDescent="0.15">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x14ac:dyDescent="0.15">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x14ac:dyDescent="0.15">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x14ac:dyDescent="0.15">
      <c r="D99" s="241"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x14ac:dyDescent="0.15">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x14ac:dyDescent="0.15">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x14ac:dyDescent="0.15">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x14ac:dyDescent="0.15">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x14ac:dyDescent="0.15">
      <c r="D104" s="108" t="s">
        <v>301</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x14ac:dyDescent="0.15">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x14ac:dyDescent="0.2">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x14ac:dyDescent="0.15"/>
    <row r="108" spans="4:17" hidden="1" outlineLevel="2" x14ac:dyDescent="0.15">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x14ac:dyDescent="0.15">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x14ac:dyDescent="0.15">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x14ac:dyDescent="0.15">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x14ac:dyDescent="0.15">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x14ac:dyDescent="0.15">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x14ac:dyDescent="0.15">
      <c r="D114" s="107" t="s">
        <v>435</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x14ac:dyDescent="0.15">
      <c r="C116" s="161" t="s">
        <v>218</v>
      </c>
    </row>
    <row r="117" spans="3:17" s="15" customFormat="1" x14ac:dyDescent="0.15">
      <c r="C117" s="138">
        <v>1</v>
      </c>
      <c r="D117" s="116" t="str">
        <f>"All values are stated in "&amp;INDEX(LU_Denom,DD_TS_Denom)&amp;" unless stated otherwise."</f>
        <v>All values are stated in $Millions unless stated otherwise.</v>
      </c>
    </row>
    <row r="118" spans="3:17" s="15" customFormat="1" x14ac:dyDescent="0.15"/>
    <row r="119" spans="3:17" s="15" customFormat="1" x14ac:dyDescent="0.15">
      <c r="C119" s="106" t="str">
        <f>"Go to "&amp;Err_Chk_11_Hdg</f>
        <v>Go to Income Statement - Forecast Outputs</v>
      </c>
      <c r="D119" s="8"/>
      <c r="E119" s="8"/>
      <c r="F119" s="8"/>
      <c r="G119" s="8"/>
      <c r="H119" s="8"/>
      <c r="I119" s="8"/>
    </row>
    <row r="120" spans="3:17" s="15" customFormat="1" x14ac:dyDescent="0.15">
      <c r="C120" s="106" t="str">
        <f>"Go to "&amp;BS_Fcast_TO!$B$1</f>
        <v>Go to Balance Sheet - Forecast Outputs</v>
      </c>
      <c r="D120" s="8"/>
      <c r="E120" s="8"/>
      <c r="F120" s="8"/>
      <c r="G120" s="8"/>
      <c r="H120" s="8"/>
      <c r="I120" s="8"/>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xr:uid="{00000000-0004-0000-1A00-000000000000}"/>
    <hyperlink ref="C120:I120" location="HL_Sheet_Main_36" tooltip="Go to Balance Sheet" display="HL_Sheet_Main_36" xr:uid="{00000000-0004-0000-1A00-000001000000}"/>
    <hyperlink ref="B3" location="HL_Home" tooltip="Go to Table of Contents" display="HL_Home" xr:uid="{00000000-0004-0000-1A00-000002000000}"/>
    <hyperlink ref="A4" location="$B$14" tooltip="Go to Top of Sheet" display="$B$14" xr:uid="{00000000-0004-0000-1A00-000003000000}"/>
    <hyperlink ref="B4" location="HL_Sheet_Main_36" tooltip="Go to Previous Sheet" display="HL_Sheet_Main_36" xr:uid="{00000000-0004-0000-1A00-000004000000}"/>
    <hyperlink ref="C4" location="HL_Sheet_Main_18" tooltip="Go to Next Sheet" display="HL_Sheet_Main_18" xr:uid="{00000000-0004-0000-1A00-000005000000}"/>
    <hyperlink ref="D4" location="HL_Err_Chk" tooltip="Go to Error Checks" display="HL_Err_Chk" xr:uid="{00000000-0004-0000-1A00-000006000000}"/>
    <hyperlink ref="E4" location="HL_Sens_Chk" tooltip="Go to Sensitivity Checks" display="HL_Sens_Chk" xr:uid="{00000000-0004-0000-1A00-000007000000}"/>
    <hyperlink ref="F4" location="HL_Alt_Chk" tooltip="Go to Alert Checks" display="HL_Alt_Chk" xr:uid="{00000000-0004-0000-1A00-000008000000}"/>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572</v>
      </c>
    </row>
    <row r="10" spans="3:7" ht="16.5" x14ac:dyDescent="0.15">
      <c r="C10" s="27" t="s">
        <v>537</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206" t="s">
        <v>573</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xr:uid="{00000000-0004-0000-1B00-000000000000}"/>
    <hyperlink ref="C13" location="HL_Sheet_Main_37" tooltip="Go to Previous Sheet" display="HL_Sheet_Main_37" xr:uid="{00000000-0004-0000-1B00-000001000000}"/>
    <hyperlink ref="D13" location="HL_Sheet_Main_17" tooltip="Go to Next Sheet" display="HL_Sheet_Main_17" xr:uid="{00000000-0004-0000-1B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pageSetUpPr autoPageBreaks="0"/>
  </sheetPr>
  <dimension ref="A1:Q4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2" x14ac:dyDescent="0.15"/>
  <cols>
    <col min="1" max="5" width="3.83203125" customWidth="1"/>
  </cols>
  <sheetData>
    <row r="1" spans="1:17" ht="18" x14ac:dyDescent="0.15">
      <c r="B1" s="1" t="s">
        <v>576</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24" customFormat="1" ht="12.75" x14ac:dyDescent="0.15">
      <c r="B16" s="216" t="str">
        <f>IS_Hist_TA!B16</f>
        <v>Income Statement</v>
      </c>
    </row>
    <row r="17" spans="3:17" s="24" customFormat="1" x14ac:dyDescent="0.15"/>
    <row r="18" spans="3:17" s="24" customFormat="1" x14ac:dyDescent="0.15">
      <c r="D18" s="204" t="str">
        <f>IS_Hist_TA!D18</f>
        <v>Revenue</v>
      </c>
      <c r="J18" s="220">
        <f>IS_Hist_TO!J18+IS_Fcast_TO!J18</f>
        <v>250</v>
      </c>
      <c r="K18" s="220">
        <f>IS_Hist_TO!K18+IS_Fcast_TO!K18</f>
        <v>128.125</v>
      </c>
      <c r="L18" s="220">
        <f>IS_Hist_TO!L18+IS_Fcast_TO!L18</f>
        <v>131.328125</v>
      </c>
      <c r="M18" s="220">
        <f>IS_Hist_TO!M18+IS_Fcast_TO!M18</f>
        <v>134.611328125</v>
      </c>
      <c r="N18" s="220">
        <f>IS_Hist_TO!N18+IS_Fcast_TO!N18</f>
        <v>137.97661132812499</v>
      </c>
      <c r="O18" s="220">
        <f>IS_Hist_TO!O18+IS_Fcast_TO!O18</f>
        <v>141.4260266113281</v>
      </c>
      <c r="P18" s="220">
        <f>IS_Hist_TO!P18+IS_Fcast_TO!P18</f>
        <v>144.96167727661128</v>
      </c>
      <c r="Q18" s="220">
        <f>IS_Hist_TO!Q18+IS_Fcast_TO!Q18</f>
        <v>148.58571920852654</v>
      </c>
    </row>
    <row r="19" spans="3:17" s="24" customFormat="1" x14ac:dyDescent="0.15">
      <c r="D19" s="204" t="str">
        <f>IS_Hist_TA!D19</f>
        <v>Cost of Goods Sold</v>
      </c>
      <c r="J19" s="220">
        <f>IS_Hist_TO!J19+IS_Fcast_TO!J19</f>
        <v>-25</v>
      </c>
      <c r="K19" s="220">
        <f>IS_Hist_TO!K19+IS_Fcast_TO!K19</f>
        <v>-25.624999999999996</v>
      </c>
      <c r="L19" s="220">
        <f>IS_Hist_TO!L19+IS_Fcast_TO!L19</f>
        <v>-26.265624999999993</v>
      </c>
      <c r="M19" s="220">
        <f>IS_Hist_TO!M19+IS_Fcast_TO!M19</f>
        <v>-26.922265624999991</v>
      </c>
      <c r="N19" s="220">
        <f>IS_Hist_TO!N19+IS_Fcast_TO!N19</f>
        <v>-27.59532226562499</v>
      </c>
      <c r="O19" s="220">
        <f>IS_Hist_TO!O19+IS_Fcast_TO!O19</f>
        <v>-28.285205322265611</v>
      </c>
      <c r="P19" s="220">
        <f>IS_Hist_TO!P19+IS_Fcast_TO!P19</f>
        <v>-28.992335455322248</v>
      </c>
      <c r="Q19" s="220">
        <f>IS_Hist_TO!Q19+IS_Fcast_TO!Q19</f>
        <v>-29.717143841705301</v>
      </c>
    </row>
    <row r="20" spans="3:17" s="24" customFormat="1" x14ac:dyDescent="0.15">
      <c r="J20" s="143"/>
      <c r="K20" s="143"/>
      <c r="L20" s="143"/>
      <c r="M20" s="143"/>
      <c r="N20" s="143"/>
      <c r="O20" s="143"/>
      <c r="P20" s="143"/>
      <c r="Q20" s="143"/>
    </row>
    <row r="21" spans="3:17" s="24" customFormat="1" ht="11.25" x14ac:dyDescent="0.15">
      <c r="C21" s="217" t="str">
        <f>IS_Hist_TA!C21</f>
        <v>Gross Margin</v>
      </c>
      <c r="J21" s="212">
        <f t="shared" ref="J21:Q21" si="8">J18+J19</f>
        <v>225</v>
      </c>
      <c r="K21" s="212">
        <f t="shared" si="8"/>
        <v>102.5</v>
      </c>
      <c r="L21" s="212">
        <f t="shared" si="8"/>
        <v>105.0625</v>
      </c>
      <c r="M21" s="212">
        <f t="shared" si="8"/>
        <v>107.68906250000001</v>
      </c>
      <c r="N21" s="212">
        <f t="shared" si="8"/>
        <v>110.3812890625</v>
      </c>
      <c r="O21" s="212">
        <f t="shared" si="8"/>
        <v>113.14082128906249</v>
      </c>
      <c r="P21" s="212">
        <f t="shared" si="8"/>
        <v>115.96934182128904</v>
      </c>
      <c r="Q21" s="212">
        <f t="shared" si="8"/>
        <v>118.86857536682123</v>
      </c>
    </row>
    <row r="22" spans="3:17" s="24" customFormat="1" x14ac:dyDescent="0.15">
      <c r="J22" s="143"/>
      <c r="K22" s="143"/>
      <c r="L22" s="143"/>
      <c r="M22" s="143"/>
      <c r="N22" s="143"/>
      <c r="O22" s="143"/>
      <c r="P22" s="143"/>
      <c r="Q22" s="143"/>
    </row>
    <row r="23" spans="3:17" s="24" customFormat="1" x14ac:dyDescent="0.15">
      <c r="D23" s="204" t="str">
        <f>IS_Hist_TA!D23</f>
        <v>Operating Expenditure</v>
      </c>
      <c r="J23" s="220">
        <f>IS_Hist_TO!J23+IS_Fcast_TO!J23</f>
        <v>-40</v>
      </c>
      <c r="K23" s="220">
        <f>IS_Hist_TO!K23+IS_Fcast_TO!K23</f>
        <v>-41</v>
      </c>
      <c r="L23" s="220">
        <f>IS_Hist_TO!L23+IS_Fcast_TO!L23</f>
        <v>-42.024999999999999</v>
      </c>
      <c r="M23" s="220">
        <f>IS_Hist_TO!M23+IS_Fcast_TO!M23</f>
        <v>-43.075624999999995</v>
      </c>
      <c r="N23" s="220">
        <f>IS_Hist_TO!N23+IS_Fcast_TO!N23</f>
        <v>-44.152515624999992</v>
      </c>
      <c r="O23" s="220">
        <f>IS_Hist_TO!O23+IS_Fcast_TO!O23</f>
        <v>-45.256328515624986</v>
      </c>
      <c r="P23" s="220">
        <f>IS_Hist_TO!P23+IS_Fcast_TO!P23</f>
        <v>-46.387736728515605</v>
      </c>
      <c r="Q23" s="220">
        <f>IS_Hist_TO!Q23+IS_Fcast_TO!Q23</f>
        <v>-47.547430146728495</v>
      </c>
    </row>
    <row r="24" spans="3:17" s="24" customFormat="1" x14ac:dyDescent="0.15">
      <c r="J24" s="143"/>
      <c r="K24" s="143"/>
      <c r="L24" s="143"/>
      <c r="M24" s="143"/>
      <c r="N24" s="143"/>
      <c r="O24" s="143"/>
      <c r="P24" s="143"/>
      <c r="Q24" s="143"/>
    </row>
    <row r="25" spans="3:17" s="24" customFormat="1" ht="11.25" x14ac:dyDescent="0.15">
      <c r="C25" s="217" t="str">
        <f>IS_Hist_TA!C25</f>
        <v>EBITDA</v>
      </c>
      <c r="J25" s="212">
        <f t="shared" ref="J25:Q25" si="9">J21+J23</f>
        <v>185</v>
      </c>
      <c r="K25" s="212">
        <f t="shared" si="9"/>
        <v>61.5</v>
      </c>
      <c r="L25" s="212">
        <f t="shared" si="9"/>
        <v>63.037500000000001</v>
      </c>
      <c r="M25" s="212">
        <f t="shared" si="9"/>
        <v>64.613437500000003</v>
      </c>
      <c r="N25" s="212">
        <f t="shared" si="9"/>
        <v>66.22877343750001</v>
      </c>
      <c r="O25" s="212">
        <f t="shared" si="9"/>
        <v>67.884492773437501</v>
      </c>
      <c r="P25" s="212">
        <f t="shared" si="9"/>
        <v>69.58160509277343</v>
      </c>
      <c r="Q25" s="212">
        <f t="shared" si="9"/>
        <v>71.321145220092745</v>
      </c>
    </row>
    <row r="26" spans="3:17" s="24" customFormat="1" x14ac:dyDescent="0.15">
      <c r="J26" s="143"/>
      <c r="K26" s="143"/>
      <c r="L26" s="143"/>
      <c r="M26" s="143"/>
      <c r="N26" s="143"/>
      <c r="O26" s="143"/>
      <c r="P26" s="143"/>
      <c r="Q26" s="143"/>
    </row>
    <row r="27" spans="3:17" s="24" customFormat="1" hidden="1" outlineLevel="2" x14ac:dyDescent="0.15">
      <c r="E27" s="204"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4" customFormat="1" hidden="1" outlineLevel="2" x14ac:dyDescent="0.15">
      <c r="E28" s="204"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x14ac:dyDescent="0.15">
      <c r="D29" s="204" t="str">
        <f>IS_Hist_TA!D29</f>
        <v>Depreciation &amp; Amortization</v>
      </c>
      <c r="J29" s="220">
        <f>IS_Hist_TO!J29+IS_Fcast_TO!J29</f>
        <v>-14.125</v>
      </c>
      <c r="K29" s="220">
        <f>IS_Hist_TO!K29+IS_Fcast_TO!K29</f>
        <v>-14.478124999999999</v>
      </c>
      <c r="L29" s="220">
        <f>IS_Hist_TO!L29+IS_Fcast_TO!L29</f>
        <v>-14.840078124999996</v>
      </c>
      <c r="M29" s="220">
        <f>IS_Hist_TO!M29+IS_Fcast_TO!M29</f>
        <v>-15.211080078124994</v>
      </c>
      <c r="N29" s="220">
        <f>IS_Hist_TO!N29+IS_Fcast_TO!N29</f>
        <v>-15.591357080078117</v>
      </c>
      <c r="O29" s="220">
        <f>IS_Hist_TO!O29+IS_Fcast_TO!O29</f>
        <v>-15.981141007080069</v>
      </c>
      <c r="P29" s="220">
        <f>IS_Hist_TO!P29+IS_Fcast_TO!P29</f>
        <v>-16.38066953225707</v>
      </c>
      <c r="Q29" s="220">
        <f>IS_Hist_TO!Q29+IS_Fcast_TO!Q29</f>
        <v>-16.790186270563492</v>
      </c>
    </row>
    <row r="30" spans="3:17" s="24" customFormat="1" x14ac:dyDescent="0.15">
      <c r="J30" s="143"/>
      <c r="K30" s="143"/>
      <c r="L30" s="143"/>
      <c r="M30" s="143"/>
      <c r="N30" s="143"/>
      <c r="O30" s="143"/>
      <c r="P30" s="143"/>
      <c r="Q30" s="143"/>
    </row>
    <row r="31" spans="3:17" s="24" customFormat="1" ht="11.25" x14ac:dyDescent="0.15">
      <c r="C31" s="217" t="str">
        <f>IS_Hist_TA!C31</f>
        <v>EBIT</v>
      </c>
      <c r="J31" s="212">
        <f t="shared" ref="J31:Q31" si="10">J25+J29</f>
        <v>170.875</v>
      </c>
      <c r="K31" s="212">
        <f t="shared" si="10"/>
        <v>47.021875000000001</v>
      </c>
      <c r="L31" s="212">
        <f t="shared" si="10"/>
        <v>48.197421875000003</v>
      </c>
      <c r="M31" s="212">
        <f t="shared" si="10"/>
        <v>49.40235742187501</v>
      </c>
      <c r="N31" s="212">
        <f t="shared" si="10"/>
        <v>50.637416357421891</v>
      </c>
      <c r="O31" s="212">
        <f t="shared" si="10"/>
        <v>51.903351766357432</v>
      </c>
      <c r="P31" s="212">
        <f t="shared" si="10"/>
        <v>53.200935560516356</v>
      </c>
      <c r="Q31" s="212">
        <f t="shared" si="10"/>
        <v>54.53095894952925</v>
      </c>
    </row>
    <row r="32" spans="3:17" s="24" customFormat="1" x14ac:dyDescent="0.15">
      <c r="J32" s="143"/>
      <c r="K32" s="143"/>
      <c r="L32" s="143"/>
      <c r="M32" s="143"/>
      <c r="N32" s="143"/>
      <c r="O32" s="143"/>
      <c r="P32" s="143"/>
      <c r="Q32" s="143"/>
    </row>
    <row r="33" spans="3:17" s="24" customFormat="1" x14ac:dyDescent="0.15">
      <c r="D33" s="204" t="str">
        <f>IS_Hist_TA!D33</f>
        <v>Interest Expense</v>
      </c>
      <c r="J33" s="220">
        <f>IS_Hist_TO!J33+IS_Fcast_TO!J33</f>
        <v>-3.25</v>
      </c>
      <c r="K33" s="220">
        <f>IS_Hist_TO!K33+IS_Fcast_TO!K33</f>
        <v>-3.25</v>
      </c>
      <c r="L33" s="220">
        <f>IS_Hist_TO!L33+IS_Fcast_TO!L33</f>
        <v>-3.25</v>
      </c>
      <c r="M33" s="220">
        <f ca="1">IS_Hist_TO!M33+IS_Fcast_TO!M33</f>
        <v>-3.25</v>
      </c>
      <c r="N33" s="220">
        <f ca="1">IS_Hist_TO!N33+IS_Fcast_TO!N33</f>
        <v>-3.4125000000000001</v>
      </c>
      <c r="O33" s="220">
        <f ca="1">IS_Hist_TO!O33+IS_Fcast_TO!O33</f>
        <v>-3.5750000000000002</v>
      </c>
      <c r="P33" s="220">
        <f ca="1">IS_Hist_TO!P33+IS_Fcast_TO!P33</f>
        <v>-3.5750000000000002</v>
      </c>
      <c r="Q33" s="220">
        <f ca="1">IS_Hist_TO!Q33+IS_Fcast_TO!Q33</f>
        <v>-3.5750000000000002</v>
      </c>
    </row>
    <row r="34" spans="3:17" s="24" customFormat="1" x14ac:dyDescent="0.15">
      <c r="J34" s="143"/>
      <c r="K34" s="143"/>
      <c r="L34" s="143"/>
      <c r="M34" s="143"/>
      <c r="N34" s="143"/>
      <c r="O34" s="143"/>
      <c r="P34" s="143"/>
      <c r="Q34" s="143"/>
    </row>
    <row r="35" spans="3:17" s="24" customFormat="1" ht="11.25" x14ac:dyDescent="0.15">
      <c r="C35" s="217" t="str">
        <f>IS_Hist_TA!C35</f>
        <v>Net Profit Before Tax</v>
      </c>
      <c r="J35" s="212">
        <f t="shared" ref="J35:Q35" si="11">J31+J33</f>
        <v>167.625</v>
      </c>
      <c r="K35" s="212">
        <f t="shared" si="11"/>
        <v>43.771875000000001</v>
      </c>
      <c r="L35" s="212">
        <f t="shared" si="11"/>
        <v>44.947421875000003</v>
      </c>
      <c r="M35" s="212">
        <f t="shared" ca="1" si="11"/>
        <v>46.15235742187501</v>
      </c>
      <c r="N35" s="212">
        <f t="shared" ca="1" si="11"/>
        <v>47.22491635742189</v>
      </c>
      <c r="O35" s="212">
        <f t="shared" ca="1" si="11"/>
        <v>48.328351766357429</v>
      </c>
      <c r="P35" s="212">
        <f t="shared" ca="1" si="11"/>
        <v>49.625935560516353</v>
      </c>
      <c r="Q35" s="212">
        <f t="shared" ca="1" si="11"/>
        <v>50.955958949529247</v>
      </c>
    </row>
    <row r="36" spans="3:17" s="24" customFormat="1" x14ac:dyDescent="0.15">
      <c r="J36" s="143"/>
      <c r="K36" s="143"/>
      <c r="L36" s="143"/>
      <c r="M36" s="143"/>
      <c r="N36" s="143"/>
      <c r="O36" s="143"/>
      <c r="P36" s="143"/>
      <c r="Q36" s="143"/>
    </row>
    <row r="37" spans="3:17" s="24" customFormat="1" x14ac:dyDescent="0.15">
      <c r="D37" s="204" t="str">
        <f>IS_Hist_TA!D37</f>
        <v>Tax Expense / (Benefit)</v>
      </c>
      <c r="J37" s="220">
        <f>IS_Hist_TO!J37+IS_Fcast_TO!J37</f>
        <v>-12.7875</v>
      </c>
      <c r="K37" s="220">
        <f>IS_Hist_TO!K37+IS_Fcast_TO!K37</f>
        <v>-13.131562499999999</v>
      </c>
      <c r="L37" s="220">
        <f>IS_Hist_TO!L37+IS_Fcast_TO!L37</f>
        <v>-13.4842265625</v>
      </c>
      <c r="M37" s="220">
        <f ca="1">IS_Hist_TO!M37+IS_Fcast_TO!M37</f>
        <v>-13.845707226562503</v>
      </c>
      <c r="N37" s="220">
        <f ca="1">IS_Hist_TO!N37+IS_Fcast_TO!N37</f>
        <v>-14.167474907226566</v>
      </c>
      <c r="O37" s="220">
        <f ca="1">IS_Hist_TO!O37+IS_Fcast_TO!O37</f>
        <v>-14.498505529907227</v>
      </c>
      <c r="P37" s="220">
        <f ca="1">IS_Hist_TO!P37+IS_Fcast_TO!P37</f>
        <v>-14.887780668154907</v>
      </c>
      <c r="Q37" s="220">
        <f ca="1">IS_Hist_TO!Q37+IS_Fcast_TO!Q37</f>
        <v>-15.286787684858773</v>
      </c>
    </row>
    <row r="38" spans="3:17" s="24" customFormat="1" x14ac:dyDescent="0.15">
      <c r="J38" s="143"/>
      <c r="K38" s="143"/>
      <c r="L38" s="143"/>
      <c r="M38" s="143"/>
      <c r="N38" s="143"/>
      <c r="O38" s="143"/>
      <c r="P38" s="143"/>
      <c r="Q38" s="143"/>
    </row>
    <row r="39" spans="3:17" s="24" customFormat="1" ht="12.75" thickBot="1" x14ac:dyDescent="0.2">
      <c r="C39" s="218" t="str">
        <f>IS_Hist_TA!C39</f>
        <v>Net Profit After Tax</v>
      </c>
      <c r="J39" s="214">
        <f t="shared" ref="J39:Q39" si="12">J35+J37</f>
        <v>154.83750000000001</v>
      </c>
      <c r="K39" s="214">
        <f t="shared" si="12"/>
        <v>30.6403125</v>
      </c>
      <c r="L39" s="214">
        <f t="shared" si="12"/>
        <v>31.463195312500005</v>
      </c>
      <c r="M39" s="214">
        <f t="shared" ca="1" si="12"/>
        <v>32.306650195312507</v>
      </c>
      <c r="N39" s="214">
        <f t="shared" ca="1" si="12"/>
        <v>33.057441450195327</v>
      </c>
      <c r="O39" s="214">
        <f t="shared" ca="1" si="12"/>
        <v>33.829846236450202</v>
      </c>
      <c r="P39" s="214">
        <f t="shared" ca="1" si="12"/>
        <v>34.73815489236145</v>
      </c>
      <c r="Q39" s="214">
        <f t="shared" ca="1" si="12"/>
        <v>35.669171264670474</v>
      </c>
    </row>
    <row r="40" spans="3:17" s="24" customFormat="1" ht="11.25" thickTop="1" x14ac:dyDescent="0.15"/>
    <row r="41" spans="3:17" s="24" customFormat="1" x14ac:dyDescent="0.15">
      <c r="C41" s="179" t="str">
        <f>IS_Hist_TA!C41</f>
        <v>Notes</v>
      </c>
    </row>
    <row r="42" spans="3:17" s="24" customFormat="1" x14ac:dyDescent="0.15">
      <c r="C42" s="219">
        <f>IS_Hist_TA!C42</f>
        <v>1</v>
      </c>
      <c r="D42" s="215" t="str">
        <f>"All revenues and expenses are specified in "&amp;INDEX(LU_Denom,DD_TS_Denom)&amp;"."</f>
        <v>All revenues and expenses are specified in $Millions.</v>
      </c>
    </row>
    <row r="43" spans="3:17" s="24" customFormat="1" x14ac:dyDescent="0.15">
      <c r="C43" s="219">
        <f>IS_Hist_TA!C43</f>
        <v>2</v>
      </c>
      <c r="D43" s="203" t="s">
        <v>563</v>
      </c>
    </row>
  </sheetData>
  <sheetProtection sheet="1" objects="1" scenarios="1"/>
  <mergeCells count="1">
    <mergeCell ref="B3:F3"/>
  </mergeCells>
  <dataValidations count="1">
    <dataValidation type="custom" showErrorMessage="1" errorTitle="Invalid Assumption" error="Assumption must be a number." sqref="J27:Q29 J33:Q33 J23:Q23 J18:Q19 J37:Q37" xr:uid="{00000000-0002-0000-1C00-000000000000}">
      <formula1>NOT(ISERROR(J18/1))</formula1>
    </dataValidation>
  </dataValidations>
  <hyperlinks>
    <hyperlink ref="B3" location="HL_Home" tooltip="Go to Table of Contents" display="HL_Home" xr:uid="{00000000-0004-0000-1C00-000000000000}"/>
    <hyperlink ref="A4" location="$B$14" tooltip="Go to Top of Sheet" display="$B$14" xr:uid="{00000000-0004-0000-1C00-000001000000}"/>
    <hyperlink ref="B4" location="HL_Sheet_Main_18" tooltip="Go to Previous Sheet" display="HL_Sheet_Main_18" xr:uid="{00000000-0004-0000-1C00-000002000000}"/>
    <hyperlink ref="C4" location="HL_Sheet_Main_32" tooltip="Go to Next Sheet" display="HL_Sheet_Main_32" xr:uid="{00000000-0004-0000-1C00-000003000000}"/>
    <hyperlink ref="D4" location="HL_Err_Chk" tooltip="Go to Error Checks" display="HL_Err_Chk" xr:uid="{00000000-0004-0000-1C00-000004000000}"/>
    <hyperlink ref="E4" location="HL_Sens_Chk" tooltip="Go to Sensitivity Checks" display="HL_Sens_Chk" xr:uid="{00000000-0004-0000-1C00-000005000000}"/>
    <hyperlink ref="F4" location="HL_Alt_Chk" tooltip="Go to Alert Checks" display="HL_Alt_Chk" xr:uid="{00000000-0004-0000-1C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fitToPage="1"/>
  </sheetPr>
  <dimension ref="C9:G20"/>
  <sheetViews>
    <sheetView showGridLines="0" zoomScaleNormal="100" workbookViewId="0">
      <selection activeCell="K32" sqref="K32"/>
    </sheetView>
  </sheetViews>
  <sheetFormatPr defaultRowHeight="10.5" x14ac:dyDescent="0.15"/>
  <cols>
    <col min="1" max="2" width="11.83203125" customWidth="1"/>
    <col min="3" max="6" width="3.83203125" customWidth="1"/>
    <col min="7" max="256" width="11.83203125" customWidth="1"/>
  </cols>
  <sheetData>
    <row r="9" spans="3:7" ht="18" x14ac:dyDescent="0.15">
      <c r="C9" s="1" t="s">
        <v>314</v>
      </c>
    </row>
    <row r="10" spans="3:7" ht="16.5" x14ac:dyDescent="0.15">
      <c r="C10" s="27" t="s">
        <v>206</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170" t="s">
        <v>306</v>
      </c>
    </row>
    <row r="19" spans="3:3" x14ac:dyDescent="0.15">
      <c r="C19" s="170" t="s">
        <v>307</v>
      </c>
    </row>
    <row r="20" spans="3:3" x14ac:dyDescent="0.15">
      <c r="C20" s="170" t="s">
        <v>315</v>
      </c>
    </row>
  </sheetData>
  <sheetProtection sheet="1" objects="1" scenarios="1"/>
  <mergeCells count="1">
    <mergeCell ref="C12:G12"/>
  </mergeCells>
  <hyperlinks>
    <hyperlink ref="C12" location="HL_Home" tooltip="Go to Table of Contents" display="HL_Home" xr:uid="{00000000-0004-0000-0200-000000000000}"/>
    <hyperlink ref="C13" location="HL_Contents_sheet_Example" tooltip="Go to Previous Sheet" display="HL_Contents_sheet_Example" xr:uid="{00000000-0004-0000-0200-000001000000}"/>
    <hyperlink ref="D13" location="HL_Sheet_Main_3" tooltip="Go to Next Sheet" display="HL_Sheet_Main_3" xr:uid="{00000000-0004-0000-02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8">
    <pageSetUpPr autoPageBreaks="0"/>
  </sheetPr>
  <dimension ref="A1:Q7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activeCell="L72" sqref="L72"/>
    </sheetView>
  </sheetViews>
  <sheetFormatPr defaultColWidth="11.83203125" defaultRowHeight="10.5" outlineLevelRow="2" x14ac:dyDescent="0.15"/>
  <cols>
    <col min="1" max="5" width="3.83203125" customWidth="1"/>
    <col min="13" max="13" width="12.83203125" customWidth="1"/>
  </cols>
  <sheetData>
    <row r="1" spans="1:17" ht="18" x14ac:dyDescent="0.15">
      <c r="B1" s="1" t="s">
        <v>575</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24" customFormat="1" ht="12.75" x14ac:dyDescent="0.15">
      <c r="B16" s="216" t="str">
        <f>BS_Hist_TA!B16</f>
        <v>Balance Sheet</v>
      </c>
      <c r="I16" s="227" t="s">
        <v>554</v>
      </c>
    </row>
    <row r="17" spans="3:17" s="24" customFormat="1" x14ac:dyDescent="0.15">
      <c r="I17" s="228">
        <f>TS_Start_Date</f>
        <v>40179</v>
      </c>
    </row>
    <row r="18" spans="3:17" s="24" customFormat="1" ht="11.25" x14ac:dyDescent="0.15">
      <c r="C18" s="217" t="str">
        <f>BS_Hist_TA!C18</f>
        <v>Current Assets</v>
      </c>
      <c r="M18" s="239"/>
    </row>
    <row r="19" spans="3:17" s="24" customFormat="1" ht="11.25" x14ac:dyDescent="0.15">
      <c r="C19" s="217"/>
    </row>
    <row r="20" spans="3:17" s="15" customFormat="1" hidden="1" outlineLevel="2" x14ac:dyDescent="0.15">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x14ac:dyDescent="0.15">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x14ac:dyDescent="0.15">
      <c r="D22" s="204" t="str">
        <f>BS_Hist_TA!D22</f>
        <v>Cash at Bank</v>
      </c>
      <c r="I22" s="220">
        <f>IF(ISBLANK(I$12),BS_Hist_TO!$I$22,SUM(I20:I21))</f>
        <v>5</v>
      </c>
      <c r="J22" s="220">
        <f>IF(ISBLANK(J$12),BS_Hist_TO!$I$22,SUM(J20:J21))</f>
        <v>7.5</v>
      </c>
      <c r="K22" s="220">
        <f>IF(ISBLANK(K$12),BS_Hist_TO!$I$22,SUM(K20:K21))</f>
        <v>12.148336900684967</v>
      </c>
      <c r="L22" s="220">
        <f>IF(ISBLANK(L$12),BS_Hist_TO!$I$22,SUM(L20:L21))</f>
        <v>24.635307976188827</v>
      </c>
      <c r="M22" s="220">
        <f ca="1">IF(ISBLANK(M$12),BS_Hist_TO!$I$22,SUM(M20:M21))</f>
        <v>37.849752117669134</v>
      </c>
      <c r="N22" s="220">
        <f ca="1">IF(ISBLANK(N$12),BS_Hist_TO!$I$22,SUM(N20:N21))</f>
        <v>56.014020321295796</v>
      </c>
      <c r="O22" s="220">
        <f ca="1">IF(ISBLANK(O$12),BS_Hist_TO!$I$22,SUM(O20:O21))</f>
        <v>69.479098355013136</v>
      </c>
      <c r="P22" s="220">
        <f ca="1">IF(ISBLANK(P$12),BS_Hist_TO!$I$22,SUM(P20:P21))</f>
        <v>83.366715156101776</v>
      </c>
      <c r="Q22" s="220">
        <f ca="1">IF(ISBLANK(Q$12),BS_Hist_TO!$I$22,SUM(Q20:Q21))</f>
        <v>97.615800948747676</v>
      </c>
    </row>
    <row r="23" spans="3:17" s="24" customFormat="1" x14ac:dyDescent="0.15">
      <c r="D23" s="204" t="str">
        <f>BS_Hist_TA!D23</f>
        <v>Accounts Receivable</v>
      </c>
      <c r="I23" s="220">
        <f>IF(OR(ISBLANK(I$12),I$12&lt;=TS_Data_Full_Pers),BS_Hist_TO!I23,BS_Fcast_TO!I23)</f>
        <v>10.273972602739725</v>
      </c>
      <c r="J23" s="220">
        <f>IF(OR(ISBLANK(J$12),J$12&lt;=TS_Data_Full_Pers),BS_Hist_TO!J23,BS_Fcast_TO!J23)</f>
        <v>10.273972602739725</v>
      </c>
      <c r="K23" s="220">
        <f>IF(OR(ISBLANK(K$12),K$12&lt;=TS_Data_Full_Pers),BS_Hist_TO!K23,BS_Fcast_TO!K23)</f>
        <v>10.530821917808218</v>
      </c>
      <c r="L23" s="220">
        <f>IF(OR(ISBLANK(L$12),L$12&lt;=TS_Data_Full_Pers),BS_Hist_TO!L23,BS_Fcast_TO!L23)</f>
        <v>10.764600409836065</v>
      </c>
      <c r="M23" s="220">
        <f>IF(OR(ISBLANK(M$12),M$12&lt;=TS_Data_Full_Pers),BS_Hist_TO!M23,BS_Fcast_TO!M23)</f>
        <v>11.063944777397261</v>
      </c>
      <c r="N23" s="220">
        <f>IF(OR(ISBLANK(N$12),N$12&lt;=TS_Data_Full_Pers),BS_Hist_TO!N23,BS_Fcast_TO!N23)</f>
        <v>11.340543396832192</v>
      </c>
      <c r="O23" s="220">
        <f>IF(OR(ISBLANK(O$12),O$12&lt;=TS_Data_Full_Pers),BS_Hist_TO!O23,BS_Fcast_TO!O23)</f>
        <v>11.624056981752995</v>
      </c>
      <c r="P23" s="220">
        <f>IF(OR(ISBLANK(P$12),P$12&lt;=TS_Data_Full_Pers),BS_Hist_TO!P23,BS_Fcast_TO!P23)</f>
        <v>11.882104694804204</v>
      </c>
      <c r="Q23" s="220">
        <f>IF(OR(ISBLANK(Q$12),Q$12&lt;=TS_Data_Full_Pers),BS_Hist_TO!Q23,BS_Fcast_TO!Q23)</f>
        <v>12.212524866454237</v>
      </c>
    </row>
    <row r="24" spans="3:17" s="24" customFormat="1" x14ac:dyDescent="0.15">
      <c r="D24" s="204"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x14ac:dyDescent="0.15">
      <c r="D25" s="179" t="str">
        <f>BS_Hist_TA!D25</f>
        <v>Total Current Assets</v>
      </c>
      <c r="I25" s="226">
        <f>I22+SUM(I23:I24)</f>
        <v>18.273972602739725</v>
      </c>
      <c r="J25" s="226">
        <f>J22+SUM(J23:J24)</f>
        <v>20.773972602739725</v>
      </c>
      <c r="K25" s="226">
        <f t="shared" ref="K25:Q25" si="9">K22+SUM(K23:K24)</f>
        <v>26.679158818493185</v>
      </c>
      <c r="L25" s="226">
        <f t="shared" si="9"/>
        <v>40.39990838602489</v>
      </c>
      <c r="M25" s="226">
        <f t="shared" ca="1" si="9"/>
        <v>54.913696895066394</v>
      </c>
      <c r="N25" s="226">
        <f t="shared" ca="1" si="9"/>
        <v>74.354563718127991</v>
      </c>
      <c r="O25" s="226">
        <f t="shared" ca="1" si="9"/>
        <v>89.103155336766122</v>
      </c>
      <c r="P25" s="226">
        <f t="shared" ca="1" si="9"/>
        <v>104.24881985090599</v>
      </c>
      <c r="Q25" s="226">
        <f t="shared" ca="1" si="9"/>
        <v>119.82832581520191</v>
      </c>
    </row>
    <row r="26" spans="3:17" s="24" customFormat="1" x14ac:dyDescent="0.15">
      <c r="I26" s="143"/>
      <c r="J26" s="143"/>
      <c r="K26" s="143"/>
      <c r="L26" s="143"/>
      <c r="M26" s="143"/>
      <c r="N26" s="143"/>
      <c r="O26" s="143"/>
      <c r="P26" s="143"/>
      <c r="Q26" s="143"/>
    </row>
    <row r="27" spans="3:17" s="24" customFormat="1" ht="11.25" x14ac:dyDescent="0.15">
      <c r="C27" s="217" t="str">
        <f>BS_Hist_TA!C27</f>
        <v>Non-Current Assets</v>
      </c>
      <c r="I27" s="143"/>
      <c r="J27" s="143"/>
      <c r="K27" s="143"/>
      <c r="L27" s="143"/>
      <c r="M27" s="143"/>
      <c r="N27" s="143"/>
      <c r="O27" s="143"/>
      <c r="P27" s="143"/>
      <c r="Q27" s="143"/>
    </row>
    <row r="28" spans="3:17" s="24" customFormat="1" x14ac:dyDescent="0.15">
      <c r="I28" s="143"/>
      <c r="J28" s="143"/>
      <c r="K28" s="143"/>
      <c r="L28" s="143"/>
      <c r="M28" s="143"/>
      <c r="N28" s="143"/>
      <c r="O28" s="143"/>
      <c r="P28" s="143"/>
      <c r="Q28" s="143"/>
    </row>
    <row r="29" spans="3:17" s="24" customFormat="1" x14ac:dyDescent="0.15">
      <c r="D29" s="204" t="str">
        <f>BS_Hist_TA!D29</f>
        <v>Assets</v>
      </c>
      <c r="I29" s="220">
        <f>IF(OR(ISBLANK(I$12),I$12&lt;=TS_Data_Full_Pers),BS_Hist_TO!I29,BS_Fcast_TO!I29)</f>
        <v>146.5</v>
      </c>
      <c r="J29" s="220">
        <f>IF(OR(ISBLANK(J$12),J$12&lt;=TS_Data_Full_Pers),BS_Hist_TO!J29,BS_Fcast_TO!J29)</f>
        <v>146.5</v>
      </c>
      <c r="K29" s="220">
        <f>IF(OR(ISBLANK(K$12),K$12&lt;=TS_Data_Full_Pers),BS_Hist_TO!K29,BS_Fcast_TO!K29)</f>
        <v>148.03749999999999</v>
      </c>
      <c r="L29" s="220">
        <f>IF(OR(ISBLANK(L$12),L$12&lt;=TS_Data_Full_Pers),BS_Hist_TO!L29,BS_Fcast_TO!L29)</f>
        <v>149.6134375</v>
      </c>
      <c r="M29" s="220">
        <f ca="1">IF(OR(ISBLANK(M$12),M$12&lt;=TS_Data_Full_Pers),BS_Hist_TO!M29,BS_Fcast_TO!M29)</f>
        <v>151.22877343750002</v>
      </c>
      <c r="N29" s="220">
        <f ca="1">IF(OR(ISBLANK(N$12),N$12&lt;=TS_Data_Full_Pers),BS_Hist_TO!N29,BS_Fcast_TO!N29)</f>
        <v>152.88449277343753</v>
      </c>
      <c r="O29" s="220">
        <f ca="1">IF(OR(ISBLANK(O$12),O$12&lt;=TS_Data_Full_Pers),BS_Hist_TO!O29,BS_Fcast_TO!O29)</f>
        <v>154.58160509277349</v>
      </c>
      <c r="P29" s="220">
        <f ca="1">IF(OR(ISBLANK(P$12),P$12&lt;=TS_Data_Full_Pers),BS_Hist_TO!P29,BS_Fcast_TO!P29)</f>
        <v>156.32114522009283</v>
      </c>
      <c r="Q29" s="220">
        <f ca="1">IF(OR(ISBLANK(Q$12),Q$12&lt;=TS_Data_Full_Pers),BS_Hist_TO!Q29,BS_Fcast_TO!Q29)</f>
        <v>158.10417385059515</v>
      </c>
    </row>
    <row r="30" spans="3:17" s="24" customFormat="1" x14ac:dyDescent="0.15">
      <c r="D30" s="204" t="str">
        <f>BS_Hist_TA!D30</f>
        <v>Intangibles</v>
      </c>
      <c r="I30" s="220">
        <f>IF(OR(ISBLANK(I$12),I$12&lt;=TS_Data_Full_Pers),BS_Hist_TO!I30,BS_Fcast_TO!I30)</f>
        <v>13.375</v>
      </c>
      <c r="J30" s="220">
        <f>IF(OR(ISBLANK(J$12),J$12&lt;=TS_Data_Full_Pers),BS_Hist_TO!J30,BS_Fcast_TO!J30)</f>
        <v>13.375</v>
      </c>
      <c r="K30" s="220">
        <f>IF(OR(ISBLANK(K$12),K$12&lt;=TS_Data_Full_Pers),BS_Hist_TO!K30,BS_Fcast_TO!K30)</f>
        <v>15.296875</v>
      </c>
      <c r="L30" s="220">
        <f>IF(OR(ISBLANK(L$12),L$12&lt;=TS_Data_Full_Pers),BS_Hist_TO!L30,BS_Fcast_TO!L30)</f>
        <v>17.266796874999997</v>
      </c>
      <c r="M30" s="220">
        <f ca="1">IF(OR(ISBLANK(M$12),M$12&lt;=TS_Data_Full_Pers),BS_Hist_TO!M30,BS_Fcast_TO!M30)</f>
        <v>19.285966796874998</v>
      </c>
      <c r="N30" s="220">
        <f ca="1">IF(OR(ISBLANK(N$12),N$12&lt;=TS_Data_Full_Pers),BS_Hist_TO!N30,BS_Fcast_TO!N30)</f>
        <v>21.355615966796872</v>
      </c>
      <c r="O30" s="220">
        <f ca="1">IF(OR(ISBLANK(O$12),O$12&lt;=TS_Data_Full_Pers),BS_Hist_TO!O30,BS_Fcast_TO!O30)</f>
        <v>23.477006365966794</v>
      </c>
      <c r="P30" s="220">
        <f ca="1">IF(OR(ISBLANK(P$12),P$12&lt;=TS_Data_Full_Pers),BS_Hist_TO!P30,BS_Fcast_TO!P30)</f>
        <v>25.651431525115964</v>
      </c>
      <c r="Q30" s="220">
        <f ca="1">IF(OR(ISBLANK(Q$12),Q$12&lt;=TS_Data_Full_Pers),BS_Hist_TO!Q30,BS_Fcast_TO!Q30)</f>
        <v>27.880217313243865</v>
      </c>
    </row>
    <row r="31" spans="3:17" s="24" customFormat="1" x14ac:dyDescent="0.15">
      <c r="D31" s="204" t="str">
        <f>BS_Hist_TA!D31</f>
        <v>Deferred Tax Assets</v>
      </c>
      <c r="I31" s="220">
        <f>IF(OR(ISBLANK(I$12),I$12&lt;=TS_Data_Full_Pers),BS_Hist_TO!I31,BS_Fcast_TO!I31)</f>
        <v>0</v>
      </c>
      <c r="J31" s="220">
        <f>IF(OR(ISBLANK(J$12),J$12&lt;=TS_Data_Full_Pers),BS_Hist_TO!J31,BS_Fcast_TO!J31)</f>
        <v>0</v>
      </c>
      <c r="K31" s="220">
        <f>IF(OR(ISBLANK(K$12),K$12&lt;=TS_Data_Full_Pers),BS_Hist_TO!K31,BS_Fcast_TO!K31)</f>
        <v>0</v>
      </c>
      <c r="L31" s="220">
        <f>IF(OR(ISBLANK(L$12),L$12&lt;=TS_Data_Full_Pers),BS_Hist_TO!L31,BS_Fcast_TO!L31)</f>
        <v>0</v>
      </c>
      <c r="M31" s="220">
        <f ca="1">IF(OR(ISBLANK(M$12),M$12&lt;=TS_Data_Full_Pers),BS_Hist_TO!M31,BS_Fcast_TO!M31)</f>
        <v>0</v>
      </c>
      <c r="N31" s="220">
        <f ca="1">IF(OR(ISBLANK(N$12),N$12&lt;=TS_Data_Full_Pers),BS_Hist_TO!N31,BS_Fcast_TO!N31)</f>
        <v>0</v>
      </c>
      <c r="O31" s="220">
        <f ca="1">IF(OR(ISBLANK(O$12),O$12&lt;=TS_Data_Full_Pers),BS_Hist_TO!O31,BS_Fcast_TO!O31)</f>
        <v>0</v>
      </c>
      <c r="P31" s="220">
        <f ca="1">IF(OR(ISBLANK(P$12),P$12&lt;=TS_Data_Full_Pers),BS_Hist_TO!P31,BS_Fcast_TO!P31)</f>
        <v>0</v>
      </c>
      <c r="Q31" s="220">
        <f ca="1">IF(OR(ISBLANK(Q$12),Q$12&lt;=TS_Data_Full_Pers),BS_Hist_TO!Q31,BS_Fcast_TO!Q31)</f>
        <v>0</v>
      </c>
    </row>
    <row r="32" spans="3:17" s="24" customFormat="1" x14ac:dyDescent="0.15">
      <c r="D32" s="204"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x14ac:dyDescent="0.15">
      <c r="D33" s="179" t="str">
        <f>BS_Hist_TA!D33</f>
        <v>Total Non-Current Assets</v>
      </c>
      <c r="I33" s="226">
        <f>SUM(I29:I32)</f>
        <v>163.875</v>
      </c>
      <c r="J33" s="226">
        <f>SUM(J29:J32)</f>
        <v>163.875</v>
      </c>
      <c r="K33" s="226">
        <f t="shared" ref="K33:Q33" si="10">SUM(K29:K32)</f>
        <v>168.33437499999999</v>
      </c>
      <c r="L33" s="226">
        <f t="shared" si="10"/>
        <v>172.88023437499999</v>
      </c>
      <c r="M33" s="226">
        <f t="shared" ca="1" si="10"/>
        <v>177.51474023437501</v>
      </c>
      <c r="N33" s="226">
        <f t="shared" ca="1" si="10"/>
        <v>182.2401087402344</v>
      </c>
      <c r="O33" s="226">
        <f t="shared" ca="1" si="10"/>
        <v>187.05861145874027</v>
      </c>
      <c r="P33" s="226">
        <f t="shared" ca="1" si="10"/>
        <v>191.97257674520878</v>
      </c>
      <c r="Q33" s="226">
        <f t="shared" ca="1" si="10"/>
        <v>196.98439116383901</v>
      </c>
    </row>
    <row r="34" spans="3:17" s="24" customFormat="1" x14ac:dyDescent="0.15">
      <c r="I34" s="143"/>
      <c r="J34" s="143"/>
      <c r="K34" s="143"/>
      <c r="L34" s="143"/>
      <c r="M34" s="143"/>
      <c r="N34" s="143"/>
      <c r="O34" s="143"/>
      <c r="P34" s="143"/>
      <c r="Q34" s="143"/>
    </row>
    <row r="35" spans="3:17" s="24" customFormat="1" ht="11.25" x14ac:dyDescent="0.15">
      <c r="C35" s="217" t="str">
        <f>BS_Hist_TA!C35</f>
        <v>Total Assets</v>
      </c>
      <c r="I35" s="212">
        <f t="shared" ref="I35:Q35" si="11">I25+I33</f>
        <v>182.14897260273972</v>
      </c>
      <c r="J35" s="212">
        <f t="shared" si="11"/>
        <v>184.64897260273972</v>
      </c>
      <c r="K35" s="212">
        <f t="shared" si="11"/>
        <v>195.01353381849319</v>
      </c>
      <c r="L35" s="212">
        <f t="shared" si="11"/>
        <v>213.28014276102488</v>
      </c>
      <c r="M35" s="212">
        <f t="shared" ca="1" si="11"/>
        <v>232.42843712944142</v>
      </c>
      <c r="N35" s="212">
        <f t="shared" ca="1" si="11"/>
        <v>256.59467245836242</v>
      </c>
      <c r="O35" s="212">
        <f t="shared" ca="1" si="11"/>
        <v>276.16176679550642</v>
      </c>
      <c r="P35" s="212">
        <f t="shared" ca="1" si="11"/>
        <v>296.2213965961148</v>
      </c>
      <c r="Q35" s="212">
        <f t="shared" ca="1" si="11"/>
        <v>316.81271697904094</v>
      </c>
    </row>
    <row r="36" spans="3:17" s="24" customFormat="1" x14ac:dyDescent="0.15">
      <c r="I36" s="143"/>
      <c r="J36" s="143"/>
      <c r="K36" s="143"/>
      <c r="L36" s="143"/>
      <c r="M36" s="143"/>
      <c r="N36" s="143"/>
      <c r="O36" s="143"/>
      <c r="P36" s="143"/>
      <c r="Q36" s="143"/>
    </row>
    <row r="37" spans="3:17" s="24" customFormat="1" ht="11.25" x14ac:dyDescent="0.15">
      <c r="C37" s="217" t="str">
        <f>BS_Hist_TA!C37</f>
        <v>Current Liabilities</v>
      </c>
      <c r="I37" s="143"/>
      <c r="J37" s="143"/>
      <c r="K37" s="143"/>
      <c r="L37" s="143"/>
      <c r="M37" s="143"/>
      <c r="N37" s="143"/>
      <c r="O37" s="143"/>
      <c r="P37" s="143"/>
      <c r="Q37" s="143"/>
    </row>
    <row r="38" spans="3:17" s="24" customFormat="1" x14ac:dyDescent="0.15">
      <c r="I38" s="143"/>
      <c r="J38" s="143"/>
      <c r="K38" s="143"/>
      <c r="L38" s="143"/>
      <c r="M38" s="143"/>
      <c r="N38" s="143"/>
      <c r="O38" s="143"/>
      <c r="P38" s="143"/>
      <c r="Q38" s="143"/>
    </row>
    <row r="39" spans="3:17" s="24" customFormat="1" x14ac:dyDescent="0.15">
      <c r="D39" s="204" t="str">
        <f>BS_Hist_TA!D39</f>
        <v>Accounts Payable</v>
      </c>
      <c r="I39" s="220">
        <f>IF(OR(ISBLANK(I$12),I$12&lt;=TS_Data_Full_Pers),BS_Hist_TO!I39,BS_Fcast_TO!I39)</f>
        <v>8.0136986301369859</v>
      </c>
      <c r="J39" s="220">
        <f>IF(OR(ISBLANK(J$12),J$12&lt;=TS_Data_Full_Pers),BS_Hist_TO!J39,BS_Fcast_TO!J39)</f>
        <v>8.0136986301369859</v>
      </c>
      <c r="K39" s="220">
        <f>IF(OR(ISBLANK(K$12),K$12&lt;=TS_Data_Full_Pers),BS_Hist_TO!K39,BS_Fcast_TO!K39)</f>
        <v>8.2140410958904102</v>
      </c>
      <c r="L39" s="220">
        <f>IF(OR(ISBLANK(L$12),L$12&lt;=TS_Data_Full_Pers),BS_Hist_TO!L39,BS_Fcast_TO!L39)</f>
        <v>8.3963883196721305</v>
      </c>
      <c r="M39" s="220">
        <f>IF(OR(ISBLANK(M$12),M$12&lt;=TS_Data_Full_Pers),BS_Hist_TO!M39,BS_Fcast_TO!M39)</f>
        <v>8.629876926369862</v>
      </c>
      <c r="N39" s="220">
        <f>IF(OR(ISBLANK(N$12),N$12&lt;=TS_Data_Full_Pers),BS_Hist_TO!N39,BS_Fcast_TO!N39)</f>
        <v>8.8456238495291082</v>
      </c>
      <c r="O39" s="220">
        <f>IF(OR(ISBLANK(O$12),O$12&lt;=TS_Data_Full_Pers),BS_Hist_TO!O39,BS_Fcast_TO!O39)</f>
        <v>9.0667644457673351</v>
      </c>
      <c r="P39" s="220">
        <f>IF(OR(ISBLANK(P$12),P$12&lt;=TS_Data_Full_Pers),BS_Hist_TO!P39,BS_Fcast_TO!P39)</f>
        <v>9.2680416619472759</v>
      </c>
      <c r="Q39" s="220">
        <f>IF(OR(ISBLANK(Q$12),Q$12&lt;=TS_Data_Full_Pers),BS_Hist_TO!Q39,BS_Fcast_TO!Q39)</f>
        <v>9.5257693958343044</v>
      </c>
    </row>
    <row r="40" spans="3:17" s="24" customFormat="1" x14ac:dyDescent="0.15">
      <c r="D40" s="204" t="str">
        <f>BS_Hist_TA!D40</f>
        <v>Tax Payable</v>
      </c>
      <c r="I40" s="220">
        <f>IF(OR(ISBLANK(I$12),I$12&lt;=TS_Data_Full_Pers),BS_Hist_TO!I40,BS_Fcast_TO!I40)</f>
        <v>12.787500000000001</v>
      </c>
      <c r="J40" s="220">
        <f>IF(OR(ISBLANK(J$12),J$12&lt;=TS_Data_Full_Pers),BS_Hist_TO!J40,BS_Fcast_TO!J40)</f>
        <v>12.787500000000001</v>
      </c>
      <c r="K40" s="220">
        <f>IF(OR(ISBLANK(K$12),K$12&lt;=TS_Data_Full_Pers),BS_Hist_TO!K40,BS_Fcast_TO!K40)</f>
        <v>13.131562500000003</v>
      </c>
      <c r="L40" s="220">
        <f>IF(OR(ISBLANK(L$12),L$12&lt;=TS_Data_Full_Pers),BS_Hist_TO!L40,BS_Fcast_TO!L40)</f>
        <v>13.484226562500004</v>
      </c>
      <c r="M40" s="220">
        <f ca="1">IF(OR(ISBLANK(M$12),M$12&lt;=TS_Data_Full_Pers),BS_Hist_TO!M40,BS_Fcast_TO!M40)</f>
        <v>13.845707226562505</v>
      </c>
      <c r="N40" s="220">
        <f ca="1">IF(OR(ISBLANK(N$12),N$12&lt;=TS_Data_Full_Pers),BS_Hist_TO!N40,BS_Fcast_TO!N40)</f>
        <v>14.16747490722657</v>
      </c>
      <c r="O40" s="220">
        <f ca="1">IF(OR(ISBLANK(O$12),O$12&lt;=TS_Data_Full_Pers),BS_Hist_TO!O40,BS_Fcast_TO!O40)</f>
        <v>14.498505529907231</v>
      </c>
      <c r="P40" s="220">
        <f ca="1">IF(OR(ISBLANK(P$12),P$12&lt;=TS_Data_Full_Pers),BS_Hist_TO!P40,BS_Fcast_TO!P40)</f>
        <v>14.88778066815491</v>
      </c>
      <c r="Q40" s="220">
        <f ca="1">IF(OR(ISBLANK(Q$12),Q$12&lt;=TS_Data_Full_Pers),BS_Hist_TO!Q40,BS_Fcast_TO!Q40)</f>
        <v>15.286787684858776</v>
      </c>
    </row>
    <row r="41" spans="3:17" s="24" customFormat="1" x14ac:dyDescent="0.15">
      <c r="D41" s="204" t="str">
        <f>BS_Hist_TA!D41</f>
        <v>Interest Payable</v>
      </c>
      <c r="I41" s="220">
        <f>IF(OR(ISBLANK(I$12),I$12&lt;=TS_Data_Full_Pers),BS_Hist_TO!I41,BS_Fcast_TO!I41)</f>
        <v>0</v>
      </c>
      <c r="J41" s="220">
        <f>IF(OR(ISBLANK(J$12),J$12&lt;=TS_Data_Full_Pers),BS_Hist_TO!J41,BS_Fcast_TO!J41)</f>
        <v>0</v>
      </c>
      <c r="K41" s="220">
        <f>IF(OR(ISBLANK(K$12),K$12&lt;=TS_Data_Full_Pers),BS_Hist_TO!K41,BS_Fcast_TO!K41)</f>
        <v>0</v>
      </c>
      <c r="L41" s="220">
        <f>IF(OR(ISBLANK(L$12),L$12&lt;=TS_Data_Full_Pers),BS_Hist_TO!L41,BS_Fcast_TO!L41)</f>
        <v>0</v>
      </c>
      <c r="M41" s="220">
        <f ca="1">IF(OR(ISBLANK(M$12),M$12&lt;=TS_Data_Full_Pers),BS_Hist_TO!M41,BS_Fcast_TO!M41)</f>
        <v>0</v>
      </c>
      <c r="N41" s="220">
        <f ca="1">IF(OR(ISBLANK(N$12),N$12&lt;=TS_Data_Full_Pers),BS_Hist_TO!N41,BS_Fcast_TO!N41)</f>
        <v>0</v>
      </c>
      <c r="O41" s="220">
        <f ca="1">IF(OR(ISBLANK(O$12),O$12&lt;=TS_Data_Full_Pers),BS_Hist_TO!O41,BS_Fcast_TO!O41)</f>
        <v>0</v>
      </c>
      <c r="P41" s="220">
        <f ca="1">IF(OR(ISBLANK(P$12),P$12&lt;=TS_Data_Full_Pers),BS_Hist_TO!P41,BS_Fcast_TO!P41)</f>
        <v>0</v>
      </c>
      <c r="Q41" s="220">
        <f ca="1">IF(OR(ISBLANK(Q$12),Q$12&lt;=TS_Data_Full_Pers),BS_Hist_TO!Q41,BS_Fcast_TO!Q41)</f>
        <v>0</v>
      </c>
    </row>
    <row r="42" spans="3:17" s="24" customFormat="1" x14ac:dyDescent="0.15">
      <c r="D42" s="204" t="str">
        <f>BS_Hist_TA!D42</f>
        <v>Ordinary Equity Dividends Payable</v>
      </c>
      <c r="I42" s="220">
        <f>IF(OR(ISBLANK(I$12),I$12&lt;=TS_Data_Full_Pers),BS_Hist_TO!I42,BS_Fcast_TO!I42)</f>
        <v>0</v>
      </c>
      <c r="J42" s="220">
        <f>IF(OR(ISBLANK(J$12),J$12&lt;=TS_Data_Full_Pers),BS_Hist_TO!J42,BS_Fcast_TO!J42)</f>
        <v>0</v>
      </c>
      <c r="K42" s="220">
        <f>IF(OR(ISBLANK(K$12),K$12&lt;=TS_Data_Full_Pers),BS_Hist_TO!K42,BS_Fcast_TO!K42)</f>
        <v>0</v>
      </c>
      <c r="L42" s="220">
        <f>IF(OR(ISBLANK(L$12),L$12&lt;=TS_Data_Full_Pers),BS_Hist_TO!L42,BS_Fcast_TO!L42)</f>
        <v>0</v>
      </c>
      <c r="M42" s="220">
        <f ca="1">IF(OR(ISBLANK(M$12),M$12&lt;=TS_Data_Full_Pers),BS_Hist_TO!M42,BS_Fcast_TO!M42)</f>
        <v>0</v>
      </c>
      <c r="N42" s="220">
        <f ca="1">IF(OR(ISBLANK(N$12),N$12&lt;=TS_Data_Full_Pers),BS_Hist_TO!N42,BS_Fcast_TO!N42)</f>
        <v>0</v>
      </c>
      <c r="O42" s="220">
        <f ca="1">IF(OR(ISBLANK(O$12),O$12&lt;=TS_Data_Full_Pers),BS_Hist_TO!O42,BS_Fcast_TO!O42)</f>
        <v>0</v>
      </c>
      <c r="P42" s="220">
        <f ca="1">IF(OR(ISBLANK(P$12),P$12&lt;=TS_Data_Full_Pers),BS_Hist_TO!P42,BS_Fcast_TO!P42)</f>
        <v>0</v>
      </c>
      <c r="Q42" s="220">
        <f ca="1">IF(OR(ISBLANK(Q$12),Q$12&lt;=TS_Data_Full_Pers),BS_Hist_TO!Q42,BS_Fcast_TO!Q42)</f>
        <v>0</v>
      </c>
    </row>
    <row r="43" spans="3:17" s="24" customFormat="1" x14ac:dyDescent="0.15">
      <c r="D43" s="204"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x14ac:dyDescent="0.15">
      <c r="D44" s="179" t="str">
        <f>BS_Hist_TA!D44</f>
        <v>Total Current Liabilities</v>
      </c>
      <c r="I44" s="226">
        <f>SUM(I39:I43)</f>
        <v>25.801198630136987</v>
      </c>
      <c r="J44" s="226">
        <f>SUM(J39:J43)</f>
        <v>25.801198630136987</v>
      </c>
      <c r="K44" s="226">
        <f t="shared" ref="K44:Q44" si="12">SUM(K39:K43)</f>
        <v>27.345603595890413</v>
      </c>
      <c r="L44" s="226">
        <f t="shared" si="12"/>
        <v>28.880614882172132</v>
      </c>
      <c r="M44" s="226">
        <f t="shared" ca="1" si="12"/>
        <v>30.475584152932367</v>
      </c>
      <c r="N44" s="226">
        <f t="shared" ca="1" si="12"/>
        <v>32.013098756755682</v>
      </c>
      <c r="O44" s="226">
        <f t="shared" ca="1" si="12"/>
        <v>33.565269975674568</v>
      </c>
      <c r="P44" s="226">
        <f t="shared" ca="1" si="12"/>
        <v>35.155822330102183</v>
      </c>
      <c r="Q44" s="226">
        <f t="shared" ca="1" si="12"/>
        <v>36.812557080693082</v>
      </c>
    </row>
    <row r="45" spans="3:17" s="24" customFormat="1" x14ac:dyDescent="0.15">
      <c r="I45" s="143"/>
      <c r="J45" s="143"/>
      <c r="K45" s="143"/>
      <c r="L45" s="143"/>
      <c r="M45" s="143"/>
      <c r="N45" s="143"/>
      <c r="O45" s="143"/>
      <c r="P45" s="143"/>
      <c r="Q45" s="143"/>
    </row>
    <row r="46" spans="3:17" s="24" customFormat="1" ht="11.25" x14ac:dyDescent="0.15">
      <c r="C46" s="217" t="str">
        <f>BS_Hist_TA!C46</f>
        <v>Non-Current Liabilities</v>
      </c>
      <c r="I46" s="143"/>
      <c r="J46" s="143"/>
      <c r="K46" s="143"/>
      <c r="L46" s="143"/>
      <c r="M46" s="143"/>
      <c r="N46" s="143"/>
      <c r="O46" s="143"/>
      <c r="P46" s="143"/>
      <c r="Q46" s="143"/>
    </row>
    <row r="47" spans="3:17" s="24" customFormat="1" x14ac:dyDescent="0.15">
      <c r="I47" s="143"/>
      <c r="J47" s="143"/>
      <c r="K47" s="143"/>
      <c r="L47" s="143"/>
      <c r="M47" s="143"/>
      <c r="N47" s="143"/>
      <c r="O47" s="143"/>
      <c r="P47" s="143"/>
      <c r="Q47" s="143"/>
    </row>
    <row r="48" spans="3:17" s="24" customFormat="1" x14ac:dyDescent="0.15">
      <c r="D48" s="204" t="str">
        <f>BS_Hist_TA!D48</f>
        <v>Debt</v>
      </c>
      <c r="I48" s="220">
        <f>IF(OR(ISBLANK(I$12),I$12&lt;=TS_Data_Full_Pers),BS_Hist_TO!I48,BS_Fcast_TO!I48)</f>
        <v>50</v>
      </c>
      <c r="J48" s="220">
        <f>IF(OR(ISBLANK(J$12),J$12&lt;=TS_Data_Full_Pers),BS_Hist_TO!J48,BS_Fcast_TO!J48)</f>
        <v>50</v>
      </c>
      <c r="K48" s="220">
        <f>IF(OR(ISBLANK(K$12),K$12&lt;=TS_Data_Full_Pers),BS_Hist_TO!K48,BS_Fcast_TO!K48)</f>
        <v>50</v>
      </c>
      <c r="L48" s="220">
        <f>IF(OR(ISBLANK(L$12),L$12&lt;=TS_Data_Full_Pers),BS_Hist_TO!L48,BS_Fcast_TO!L48)</f>
        <v>50</v>
      </c>
      <c r="M48" s="220">
        <f ca="1">IF(OR(ISBLANK(M$12),M$12&lt;=TS_Data_Full_Pers),BS_Hist_TO!M48,BS_Fcast_TO!M48)</f>
        <v>50</v>
      </c>
      <c r="N48" s="220">
        <f ca="1">IF(OR(ISBLANK(N$12),N$12&lt;=TS_Data_Full_Pers),BS_Hist_TO!N48,BS_Fcast_TO!N48)</f>
        <v>55</v>
      </c>
      <c r="O48" s="220">
        <f ca="1">IF(OR(ISBLANK(O$12),O$12&lt;=TS_Data_Full_Pers),BS_Hist_TO!O48,BS_Fcast_TO!O48)</f>
        <v>55</v>
      </c>
      <c r="P48" s="220">
        <f ca="1">IF(OR(ISBLANK(P$12),P$12&lt;=TS_Data_Full_Pers),BS_Hist_TO!P48,BS_Fcast_TO!P48)</f>
        <v>55</v>
      </c>
      <c r="Q48" s="220">
        <f ca="1">IF(OR(ISBLANK(Q$12),Q$12&lt;=TS_Data_Full_Pers),BS_Hist_TO!Q48,BS_Fcast_TO!Q48)</f>
        <v>55</v>
      </c>
    </row>
    <row r="49" spans="3:17" s="24" customFormat="1" x14ac:dyDescent="0.15">
      <c r="D49" s="204" t="str">
        <f>BS_Hist_TA!D49</f>
        <v>Deferred Tax Liabilities</v>
      </c>
      <c r="I49" s="220">
        <f>IF(OR(ISBLANK(I$12),I$12&lt;=TS_Data_Full_Pers),BS_Hist_TO!I49,BS_Fcast_TO!I49)</f>
        <v>0</v>
      </c>
      <c r="J49" s="220">
        <f>IF(OR(ISBLANK(J$12),J$12&lt;=TS_Data_Full_Pers),BS_Hist_TO!J49,BS_Fcast_TO!J49)</f>
        <v>0</v>
      </c>
      <c r="K49" s="220">
        <f>IF(OR(ISBLANK(K$12),K$12&lt;=TS_Data_Full_Pers),BS_Hist_TO!K49,BS_Fcast_TO!K49)</f>
        <v>0</v>
      </c>
      <c r="L49" s="220">
        <f>IF(OR(ISBLANK(L$12),L$12&lt;=TS_Data_Full_Pers),BS_Hist_TO!L49,BS_Fcast_TO!L49)</f>
        <v>0</v>
      </c>
      <c r="M49" s="220">
        <f ca="1">IF(OR(ISBLANK(M$12),M$12&lt;=TS_Data_Full_Pers),BS_Hist_TO!M49,BS_Fcast_TO!M49)</f>
        <v>0</v>
      </c>
      <c r="N49" s="220">
        <f ca="1">IF(OR(ISBLANK(N$12),N$12&lt;=TS_Data_Full_Pers),BS_Hist_TO!N49,BS_Fcast_TO!N49)</f>
        <v>0</v>
      </c>
      <c r="O49" s="220">
        <f ca="1">IF(OR(ISBLANK(O$12),O$12&lt;=TS_Data_Full_Pers),BS_Hist_TO!O49,BS_Fcast_TO!O49)</f>
        <v>0</v>
      </c>
      <c r="P49" s="220">
        <f ca="1">IF(OR(ISBLANK(P$12),P$12&lt;=TS_Data_Full_Pers),BS_Hist_TO!P49,BS_Fcast_TO!P49)</f>
        <v>0</v>
      </c>
      <c r="Q49" s="220">
        <f ca="1">IF(OR(ISBLANK(Q$12),Q$12&lt;=TS_Data_Full_Pers),BS_Hist_TO!Q49,BS_Fcast_TO!Q49)</f>
        <v>0</v>
      </c>
    </row>
    <row r="50" spans="3:17" s="24" customFormat="1" x14ac:dyDescent="0.15">
      <c r="D50" s="204"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x14ac:dyDescent="0.15">
      <c r="D51" s="179" t="str">
        <f>BS_Hist_TA!D51</f>
        <v>Total Non-Current Liabilities</v>
      </c>
      <c r="I51" s="226">
        <f>SUM(I48:I50)</f>
        <v>56</v>
      </c>
      <c r="J51" s="226">
        <f>SUM(J48:J50)</f>
        <v>56</v>
      </c>
      <c r="K51" s="226">
        <f t="shared" ref="K51:Q51" si="13">SUM(K48:K50)</f>
        <v>57</v>
      </c>
      <c r="L51" s="226">
        <f t="shared" si="13"/>
        <v>58</v>
      </c>
      <c r="M51" s="226">
        <f t="shared" ca="1" si="13"/>
        <v>59</v>
      </c>
      <c r="N51" s="226">
        <f t="shared" ca="1" si="13"/>
        <v>65</v>
      </c>
      <c r="O51" s="226">
        <f t="shared" ca="1" si="13"/>
        <v>66</v>
      </c>
      <c r="P51" s="226">
        <f t="shared" ca="1" si="13"/>
        <v>67</v>
      </c>
      <c r="Q51" s="226">
        <f t="shared" ca="1" si="13"/>
        <v>68</v>
      </c>
    </row>
    <row r="52" spans="3:17" s="24" customFormat="1" x14ac:dyDescent="0.15">
      <c r="I52" s="143"/>
      <c r="J52" s="143"/>
      <c r="K52" s="143"/>
      <c r="L52" s="143"/>
      <c r="M52" s="143"/>
      <c r="N52" s="143"/>
      <c r="O52" s="143"/>
      <c r="P52" s="143"/>
      <c r="Q52" s="143"/>
    </row>
    <row r="53" spans="3:17" s="24" customFormat="1" ht="11.25" x14ac:dyDescent="0.15">
      <c r="C53" s="217" t="str">
        <f>BS_Hist_TA!C53</f>
        <v>Total Liabilities</v>
      </c>
      <c r="I53" s="212">
        <f t="shared" ref="I53:Q53" si="14">I44+I51</f>
        <v>81.80119863013698</v>
      </c>
      <c r="J53" s="212">
        <f t="shared" si="14"/>
        <v>81.80119863013698</v>
      </c>
      <c r="K53" s="212">
        <f t="shared" si="14"/>
        <v>84.34560359589041</v>
      </c>
      <c r="L53" s="212">
        <f t="shared" si="14"/>
        <v>86.880614882172125</v>
      </c>
      <c r="M53" s="212">
        <f t="shared" ca="1" si="14"/>
        <v>89.47558415293237</v>
      </c>
      <c r="N53" s="212">
        <f t="shared" ca="1" si="14"/>
        <v>97.013098756755682</v>
      </c>
      <c r="O53" s="212">
        <f t="shared" ca="1" si="14"/>
        <v>99.565269975674568</v>
      </c>
      <c r="P53" s="212">
        <f t="shared" ca="1" si="14"/>
        <v>102.15582233010218</v>
      </c>
      <c r="Q53" s="212">
        <f t="shared" ca="1" si="14"/>
        <v>104.81255708069308</v>
      </c>
    </row>
    <row r="54" spans="3:17" s="24" customFormat="1" x14ac:dyDescent="0.15">
      <c r="I54" s="143"/>
      <c r="J54" s="143"/>
      <c r="K54" s="143"/>
      <c r="L54" s="143"/>
      <c r="M54" s="143"/>
      <c r="N54" s="143"/>
      <c r="O54" s="143"/>
      <c r="P54" s="143"/>
      <c r="Q54" s="143"/>
    </row>
    <row r="55" spans="3:17" s="24" customFormat="1" ht="12" thickBot="1" x14ac:dyDescent="0.2">
      <c r="C55" s="217" t="str">
        <f>BS_Hist_TA!C55</f>
        <v>Net Assets</v>
      </c>
      <c r="I55" s="214">
        <f t="shared" ref="I55:Q55" si="15">I35-I53</f>
        <v>100.34777397260274</v>
      </c>
      <c r="J55" s="214">
        <f t="shared" si="15"/>
        <v>102.84777397260274</v>
      </c>
      <c r="K55" s="214">
        <f t="shared" si="15"/>
        <v>110.66793022260278</v>
      </c>
      <c r="L55" s="214">
        <f t="shared" si="15"/>
        <v>126.39952787885275</v>
      </c>
      <c r="M55" s="214">
        <f t="shared" ca="1" si="15"/>
        <v>142.95285297650906</v>
      </c>
      <c r="N55" s="214">
        <f t="shared" ca="1" si="15"/>
        <v>159.58157370160674</v>
      </c>
      <c r="O55" s="214">
        <f t="shared" ca="1" si="15"/>
        <v>176.59649681983186</v>
      </c>
      <c r="P55" s="214">
        <f t="shared" ca="1" si="15"/>
        <v>194.06557426601262</v>
      </c>
      <c r="Q55" s="214">
        <f t="shared" ca="1" si="15"/>
        <v>212.00015989834787</v>
      </c>
    </row>
    <row r="56" spans="3:17" s="24" customFormat="1" ht="11.25" thickTop="1" x14ac:dyDescent="0.15">
      <c r="I56" s="143"/>
      <c r="J56" s="143"/>
      <c r="K56" s="143"/>
      <c r="L56" s="143"/>
      <c r="M56" s="143"/>
      <c r="N56" s="143"/>
      <c r="O56" s="143"/>
      <c r="P56" s="143"/>
      <c r="Q56" s="143"/>
    </row>
    <row r="57" spans="3:17" s="24" customFormat="1" ht="11.25" x14ac:dyDescent="0.15">
      <c r="C57" s="217" t="str">
        <f>BS_Hist_TA!C57</f>
        <v>Equity</v>
      </c>
      <c r="I57" s="143"/>
      <c r="J57" s="143"/>
      <c r="K57" s="143"/>
      <c r="L57" s="143"/>
      <c r="M57" s="143"/>
      <c r="N57" s="143"/>
      <c r="O57" s="143"/>
      <c r="P57" s="143"/>
      <c r="Q57" s="143"/>
    </row>
    <row r="58" spans="3:17" s="24" customFormat="1" x14ac:dyDescent="0.15">
      <c r="I58" s="143"/>
      <c r="J58" s="143"/>
      <c r="K58" s="143"/>
      <c r="L58" s="143"/>
      <c r="M58" s="143"/>
      <c r="N58" s="143"/>
      <c r="O58" s="143"/>
      <c r="P58" s="143"/>
      <c r="Q58" s="143"/>
    </row>
    <row r="59" spans="3:17" s="24" customFormat="1" x14ac:dyDescent="0.15">
      <c r="D59" s="204" t="str">
        <f>BS_Hist_TA!D59</f>
        <v>Ordinary Equity</v>
      </c>
      <c r="I59" s="220">
        <f>IF(OR(ISBLANK(I$12),I$12&lt;=TS_Data_Full_Pers),BS_Hist_TO!I59,BS_Fcast_TO!I59)</f>
        <v>75</v>
      </c>
      <c r="J59" s="220">
        <f>IF(OR(ISBLANK(J$12),J$12&lt;=TS_Data_Full_Pers),BS_Hist_TO!J59,BS_Fcast_TO!J59)</f>
        <v>75</v>
      </c>
      <c r="K59" s="220">
        <f>IF(OR(ISBLANK(K$12),K$12&lt;=TS_Data_Full_Pers),BS_Hist_TO!K59,BS_Fcast_TO!K59)</f>
        <v>75</v>
      </c>
      <c r="L59" s="220">
        <f>IF(OR(ISBLANK(L$12),L$12&lt;=TS_Data_Full_Pers),BS_Hist_TO!L59,BS_Fcast_TO!L59)</f>
        <v>75</v>
      </c>
      <c r="M59" s="220">
        <f ca="1">IF(OR(ISBLANK(M$12),M$12&lt;=TS_Data_Full_Pers),BS_Hist_TO!M59,BS_Fcast_TO!M59)</f>
        <v>75</v>
      </c>
      <c r="N59" s="220">
        <f ca="1">IF(OR(ISBLANK(N$12),N$12&lt;=TS_Data_Full_Pers),BS_Hist_TO!N59,BS_Fcast_TO!N59)</f>
        <v>75</v>
      </c>
      <c r="O59" s="220">
        <f ca="1">IF(OR(ISBLANK(O$12),O$12&lt;=TS_Data_Full_Pers),BS_Hist_TO!O59,BS_Fcast_TO!O59)</f>
        <v>75</v>
      </c>
      <c r="P59" s="220">
        <f ca="1">IF(OR(ISBLANK(P$12),P$12&lt;=TS_Data_Full_Pers),BS_Hist_TO!P59,BS_Fcast_TO!P59)</f>
        <v>75</v>
      </c>
      <c r="Q59" s="220">
        <f ca="1">IF(OR(ISBLANK(Q$12),Q$12&lt;=TS_Data_Full_Pers),BS_Hist_TO!Q59,BS_Fcast_TO!Q59)</f>
        <v>75</v>
      </c>
    </row>
    <row r="60" spans="3:17" s="24" customFormat="1" x14ac:dyDescent="0.15">
      <c r="D60" s="204" t="str">
        <f>BS_Hist_TA!D60</f>
        <v>Other Equity</v>
      </c>
      <c r="I60" s="220">
        <f>IF(OR(ISBLANK(I$12),I$12&lt;=TS_Data_Full_Pers),BS_Hist_TO!I60,BS_Fcast_TO!I60)</f>
        <v>5</v>
      </c>
      <c r="J60" s="220">
        <f>IF(OR(ISBLANK(J$12),J$12&lt;=TS_Data_Full_Pers),BS_Hist_TO!J60,BS_Fcast_TO!J60)</f>
        <v>5</v>
      </c>
      <c r="K60" s="220">
        <f>IF(OR(ISBLANK(K$12),K$12&lt;=TS_Data_Full_Pers),BS_Hist_TO!K60,BS_Fcast_TO!K60)</f>
        <v>5</v>
      </c>
      <c r="L60" s="220">
        <f>IF(OR(ISBLANK(L$12),L$12&lt;=TS_Data_Full_Pers),BS_Hist_TO!L60,BS_Fcast_TO!L60)</f>
        <v>5</v>
      </c>
      <c r="M60" s="220">
        <f>IF(OR(ISBLANK(M$12),M$12&lt;=TS_Data_Full_Pers),BS_Hist_TO!M60,BS_Fcast_TO!M60)</f>
        <v>5.3999999999999986</v>
      </c>
      <c r="N60" s="220">
        <f>IF(OR(ISBLANK(N$12),N$12&lt;=TS_Data_Full_Pers),BS_Hist_TO!N60,BS_Fcast_TO!N60)</f>
        <v>5.4999999999999982</v>
      </c>
      <c r="O60" s="220">
        <f>IF(OR(ISBLANK(O$12),O$12&lt;=TS_Data_Full_Pers),BS_Hist_TO!O60,BS_Fcast_TO!O60)</f>
        <v>5.5999999999999979</v>
      </c>
      <c r="P60" s="220">
        <f>IF(OR(ISBLANK(P$12),P$12&lt;=TS_Data_Full_Pers),BS_Hist_TO!P60,BS_Fcast_TO!P60)</f>
        <v>5.6999999999999975</v>
      </c>
      <c r="Q60" s="220">
        <f>IF(OR(ISBLANK(Q$12),Q$12&lt;=TS_Data_Full_Pers),BS_Hist_TO!Q60,BS_Fcast_TO!Q60)</f>
        <v>5.7999999999999972</v>
      </c>
    </row>
    <row r="61" spans="3:17" s="24" customFormat="1" hidden="1" outlineLevel="2" x14ac:dyDescent="0.15">
      <c r="D61" s="204"/>
      <c r="E61" s="170" t="s">
        <v>266</v>
      </c>
      <c r="J61" s="220">
        <f>I66</f>
        <v>20.347773972602738</v>
      </c>
      <c r="K61" s="220">
        <f t="shared" ref="K61:Q61" si="16">J66</f>
        <v>22.847773972602738</v>
      </c>
      <c r="L61" s="220">
        <f t="shared" si="16"/>
        <v>30.667930222602777</v>
      </c>
      <c r="M61" s="220">
        <f t="shared" si="16"/>
        <v>46.399527878852751</v>
      </c>
      <c r="N61" s="220">
        <f t="shared" ca="1" si="16"/>
        <v>62.552852976509001</v>
      </c>
      <c r="O61" s="220">
        <f t="shared" ca="1" si="16"/>
        <v>79.081573701606658</v>
      </c>
      <c r="P61" s="220">
        <f t="shared" ca="1" si="16"/>
        <v>95.996496819831762</v>
      </c>
      <c r="Q61" s="220">
        <f t="shared" ca="1" si="16"/>
        <v>113.3655742660125</v>
      </c>
    </row>
    <row r="62" spans="3:17" s="24" customFormat="1" hidden="1" outlineLevel="2" x14ac:dyDescent="0.15">
      <c r="D62" s="204"/>
      <c r="E62" s="170" t="s">
        <v>584</v>
      </c>
      <c r="J62" s="220">
        <f>BS_Hist_TO!J62</f>
        <v>2.5</v>
      </c>
      <c r="K62" s="220">
        <f>BS_Hist_TO!K62</f>
        <v>7.8201562500000392</v>
      </c>
      <c r="L62" s="220">
        <f>BS_Hist_TO!L62</f>
        <v>15.731597656249974</v>
      </c>
      <c r="M62" s="220">
        <f>BS_Hist_TO!M62</f>
        <v>0</v>
      </c>
      <c r="N62" s="220">
        <f>BS_Hist_TO!N62</f>
        <v>0</v>
      </c>
      <c r="O62" s="220">
        <f>BS_Hist_TO!O62</f>
        <v>0</v>
      </c>
      <c r="P62" s="220">
        <f>BS_Hist_TO!P62</f>
        <v>0</v>
      </c>
      <c r="Q62" s="220">
        <f>BS_Hist_TO!Q62</f>
        <v>0</v>
      </c>
    </row>
    <row r="63" spans="3:17" s="24" customFormat="1" hidden="1" outlineLevel="2" x14ac:dyDescent="0.15">
      <c r="D63" s="204"/>
      <c r="E63" s="170" t="s">
        <v>578</v>
      </c>
      <c r="J63" s="220">
        <f>BS_Hist_TO!J63</f>
        <v>0</v>
      </c>
      <c r="K63" s="220">
        <f>BS_Hist_TO!K63</f>
        <v>0</v>
      </c>
      <c r="L63" s="220">
        <f>BS_Hist_TO!L63</f>
        <v>0</v>
      </c>
      <c r="M63" s="220">
        <f>BS_Hist_TO!M63</f>
        <v>0</v>
      </c>
      <c r="N63" s="220">
        <f>BS_Hist_TO!N63</f>
        <v>0</v>
      </c>
      <c r="O63" s="220">
        <f>BS_Hist_TO!O63</f>
        <v>0</v>
      </c>
      <c r="P63" s="220">
        <f>BS_Hist_TO!P63</f>
        <v>0</v>
      </c>
      <c r="Q63" s="220">
        <f>BS_Hist_TO!Q63</f>
        <v>0</v>
      </c>
    </row>
    <row r="64" spans="3:17" s="24" customFormat="1" hidden="1" outlineLevel="2" x14ac:dyDescent="0.15">
      <c r="D64" s="203"/>
      <c r="E64" s="170" t="s">
        <v>585</v>
      </c>
      <c r="J64" s="220">
        <f>BS_Fcast_TO!J62</f>
        <v>0</v>
      </c>
      <c r="K64" s="220">
        <f>BS_Fcast_TO!K62</f>
        <v>0</v>
      </c>
      <c r="L64" s="220">
        <f>BS_Fcast_TO!L62</f>
        <v>0</v>
      </c>
      <c r="M64" s="220">
        <f ca="1">BS_Fcast_TO!M62</f>
        <v>32.306650195312507</v>
      </c>
      <c r="N64" s="220">
        <f ca="1">BS_Fcast_TO!N62</f>
        <v>33.057441450195327</v>
      </c>
      <c r="O64" s="220">
        <f ca="1">BS_Fcast_TO!O62</f>
        <v>33.829846236450202</v>
      </c>
      <c r="P64" s="220">
        <f ca="1">BS_Fcast_TO!P62</f>
        <v>34.73815489236145</v>
      </c>
      <c r="Q64" s="220">
        <f ca="1">BS_Fcast_TO!Q62</f>
        <v>35.669171264670474</v>
      </c>
    </row>
    <row r="65" spans="3:17" s="24" customFormat="1" hidden="1" outlineLevel="2" x14ac:dyDescent="0.15">
      <c r="E65" s="170" t="s">
        <v>586</v>
      </c>
      <c r="I65" s="238"/>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x14ac:dyDescent="0.15">
      <c r="D66" s="204" t="str">
        <f>BS_Hist_TA!D63</f>
        <v>Retained Profits</v>
      </c>
      <c r="I66" s="220">
        <f>IF(ISBLANK(I$12),BS_Hist_TO!$I$64,SUM(I61:I65))</f>
        <v>20.347773972602738</v>
      </c>
      <c r="J66" s="220">
        <f>IF(ISBLANK(J$12),BS_Hist_TO!$I$64,SUM(J61:J65))</f>
        <v>22.847773972602738</v>
      </c>
      <c r="K66" s="220">
        <f>IF(ISBLANK(K$12),BS_Hist_TO!$I$64,SUM(K61:K65))</f>
        <v>30.667930222602777</v>
      </c>
      <c r="L66" s="220">
        <f>IF(ISBLANK(L$12),BS_Hist_TO!$I$64,SUM(L61:L65))</f>
        <v>46.399527878852751</v>
      </c>
      <c r="M66" s="220">
        <f ca="1">IF(ISBLANK(M$12),BS_Hist_TO!$I$64,SUM(M61:M65))</f>
        <v>62.552852976509001</v>
      </c>
      <c r="N66" s="220">
        <f ca="1">IF(ISBLANK(N$12),BS_Hist_TO!$I$64,SUM(N61:N65))</f>
        <v>79.081573701606658</v>
      </c>
      <c r="O66" s="220">
        <f ca="1">IF(ISBLANK(O$12),BS_Hist_TO!$I$64,SUM(O61:O65))</f>
        <v>95.996496819831762</v>
      </c>
      <c r="P66" s="220">
        <f ca="1">IF(ISBLANK(P$12),BS_Hist_TO!$I$64,SUM(P61:P65))</f>
        <v>113.3655742660125</v>
      </c>
      <c r="Q66" s="220">
        <f ca="1">IF(ISBLANK(Q$12),BS_Hist_TO!$I$64,SUM(Q61:Q65))</f>
        <v>131.20015989834775</v>
      </c>
    </row>
    <row r="67" spans="3:17" s="24" customFormat="1" x14ac:dyDescent="0.15">
      <c r="I67" s="143"/>
      <c r="J67" s="143"/>
      <c r="K67" s="143"/>
      <c r="L67" s="143"/>
      <c r="M67" s="143"/>
      <c r="N67" s="143"/>
      <c r="O67" s="143"/>
      <c r="P67" s="143"/>
      <c r="Q67" s="143"/>
    </row>
    <row r="68" spans="3:17" s="24" customFormat="1" ht="11.25" x14ac:dyDescent="0.15">
      <c r="C68" s="217" t="str">
        <f>BS_Hist_TA!C65</f>
        <v>Total Equity</v>
      </c>
      <c r="I68" s="212">
        <f>I59+I60+I66</f>
        <v>100.34777397260274</v>
      </c>
      <c r="J68" s="212">
        <f t="shared" ref="J68:Q68" si="17">J59+J60+J66</f>
        <v>102.84777397260274</v>
      </c>
      <c r="K68" s="212">
        <f t="shared" si="17"/>
        <v>110.66793022260278</v>
      </c>
      <c r="L68" s="212">
        <f t="shared" si="17"/>
        <v>126.39952787885275</v>
      </c>
      <c r="M68" s="212">
        <f t="shared" ca="1" si="17"/>
        <v>142.95285297650901</v>
      </c>
      <c r="N68" s="212">
        <f t="shared" ca="1" si="17"/>
        <v>159.58157370160666</v>
      </c>
      <c r="O68" s="212">
        <f t="shared" ca="1" si="17"/>
        <v>176.59649681983177</v>
      </c>
      <c r="P68" s="212">
        <f t="shared" ca="1" si="17"/>
        <v>194.0655742660125</v>
      </c>
      <c r="Q68" s="212">
        <f t="shared" ca="1" si="17"/>
        <v>212.00015989834776</v>
      </c>
    </row>
    <row r="69" spans="3:17" s="15" customFormat="1" x14ac:dyDescent="0.15">
      <c r="J69" s="175"/>
      <c r="K69" s="175"/>
      <c r="L69" s="175"/>
      <c r="M69" s="175"/>
      <c r="N69" s="175"/>
      <c r="O69" s="175"/>
      <c r="P69" s="175"/>
      <c r="Q69" s="175"/>
    </row>
    <row r="70" spans="3:17" s="15" customFormat="1" hidden="1" outlineLevel="2" x14ac:dyDescent="0.15">
      <c r="D70" s="170" t="s">
        <v>513</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x14ac:dyDescent="0.15">
      <c r="D71" s="170" t="s">
        <v>443</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x14ac:dyDescent="0.15">
      <c r="C72" s="170" t="s">
        <v>439</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x14ac:dyDescent="0.15"/>
    <row r="74" spans="3:17" s="15" customFormat="1" collapsed="1" x14ac:dyDescent="0.15">
      <c r="C74" s="170" t="s">
        <v>444</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x14ac:dyDescent="0.15"/>
    <row r="76" spans="3:17" s="24" customFormat="1" x14ac:dyDescent="0.15">
      <c r="C76" s="179" t="str">
        <f>BS_Hist_TA!C75</f>
        <v>Notes</v>
      </c>
    </row>
    <row r="77" spans="3:17" s="24" customFormat="1" x14ac:dyDescent="0.15">
      <c r="C77" s="219">
        <f>BS_Hist_TA!C76</f>
        <v>1</v>
      </c>
      <c r="D77" s="215" t="str">
        <f>"All balances are specified in "&amp;INDEX(LU_Denom,DD_TS_Denom)&amp;"."</f>
        <v>All balances are specified in $Millions.</v>
      </c>
    </row>
  </sheetData>
  <sheetProtection sheet="1" objects="1" scenarios="1"/>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xr:uid="{00000000-0002-0000-1D00-000000000000}">
      <formula1>NOT(ISERROR(I22/1))</formula1>
    </dataValidation>
  </dataValidations>
  <hyperlinks>
    <hyperlink ref="B3" location="HL_Home" tooltip="Go to Table of Contents" display="HL_Home" xr:uid="{00000000-0004-0000-1D00-000000000000}"/>
    <hyperlink ref="A4" location="$B$14" tooltip="Go to Top of Sheet" display="$B$14" xr:uid="{00000000-0004-0000-1D00-000001000000}"/>
    <hyperlink ref="B4" location="HL_Sheet_Main_17" tooltip="Go to Previous Sheet" display="HL_Sheet_Main_17" xr:uid="{00000000-0004-0000-1D00-000002000000}"/>
    <hyperlink ref="C4" location="HL_Sheet_Main_33" tooltip="Go to Next Sheet" display="HL_Sheet_Main_33" xr:uid="{00000000-0004-0000-1D00-000003000000}"/>
    <hyperlink ref="D4" location="HL_Err_Chk" tooltip="Go to Error Checks" display="HL_Err_Chk" xr:uid="{00000000-0004-0000-1D00-000004000000}"/>
    <hyperlink ref="E4" location="HL_Sens_Chk" tooltip="Go to Sensitivity Checks" display="HL_Sens_Chk" xr:uid="{00000000-0004-0000-1D00-000005000000}"/>
    <hyperlink ref="F4" location="HL_Alt_Chk" tooltip="Go to Alert Checks" display="HL_Alt_Chk" xr:uid="{00000000-0004-0000-1D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9">
    <pageSetUpPr autoPageBreaks="0"/>
  </sheetPr>
  <dimension ref="A1:Q58"/>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2" x14ac:dyDescent="0.15"/>
  <cols>
    <col min="1" max="5" width="3.83203125" customWidth="1"/>
  </cols>
  <sheetData>
    <row r="1" spans="1:17" ht="18" x14ac:dyDescent="0.15">
      <c r="B1" s="1" t="s">
        <v>577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15" customFormat="1" ht="12.75" x14ac:dyDescent="0.15">
      <c r="B16" s="119" t="s">
        <v>449</v>
      </c>
    </row>
    <row r="17" spans="3:17" s="15" customFormat="1" x14ac:dyDescent="0.15"/>
    <row r="18" spans="3:17" s="15" customFormat="1" ht="11.25" x14ac:dyDescent="0.15">
      <c r="C18" s="93" t="s">
        <v>15</v>
      </c>
    </row>
    <row r="19" spans="3:17" s="15" customFormat="1" x14ac:dyDescent="0.15"/>
    <row r="20" spans="3:17" s="15" customFormat="1" hidden="1" outlineLevel="2" x14ac:dyDescent="0.15">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x14ac:dyDescent="0.15">
      <c r="E21" s="170" t="s">
        <v>445</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x14ac:dyDescent="0.15">
      <c r="D22" s="170" t="s">
        <v>259</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x14ac:dyDescent="0.15">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x14ac:dyDescent="0.15">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x14ac:dyDescent="0.15">
      <c r="D25" s="5"/>
      <c r="E25" s="170" t="s">
        <v>446</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x14ac:dyDescent="0.15">
      <c r="D26" s="170" t="s">
        <v>264</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x14ac:dyDescent="0.15">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x14ac:dyDescent="0.15">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x14ac:dyDescent="0.15">
      <c r="D29" s="170" t="s">
        <v>517</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x14ac:dyDescent="0.15">
      <c r="D30" s="170" t="s">
        <v>518</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x14ac:dyDescent="0.15">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x14ac:dyDescent="0.15">
      <c r="J32" s="94"/>
      <c r="K32" s="94"/>
      <c r="L32" s="94"/>
      <c r="M32" s="94"/>
      <c r="N32" s="94"/>
      <c r="O32" s="94"/>
      <c r="P32" s="94"/>
      <c r="Q32" s="94"/>
    </row>
    <row r="33" spans="3:17" s="15" customFormat="1" ht="11.25" x14ac:dyDescent="0.15">
      <c r="C33" s="93" t="s">
        <v>16</v>
      </c>
      <c r="J33" s="94"/>
      <c r="K33" s="94"/>
      <c r="L33" s="94"/>
      <c r="M33" s="94"/>
      <c r="N33" s="94"/>
      <c r="O33" s="94"/>
      <c r="P33" s="94"/>
      <c r="Q33" s="94"/>
    </row>
    <row r="34" spans="3:17" s="15" customFormat="1" x14ac:dyDescent="0.15">
      <c r="J34" s="94"/>
      <c r="K34" s="94"/>
      <c r="L34" s="94"/>
      <c r="M34" s="94"/>
      <c r="N34" s="94"/>
      <c r="O34" s="94"/>
      <c r="P34" s="94"/>
      <c r="Q34" s="94"/>
    </row>
    <row r="35" spans="3:17" s="15" customFormat="1" x14ac:dyDescent="0.15">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x14ac:dyDescent="0.15">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x14ac:dyDescent="0.15">
      <c r="D37" s="170" t="s">
        <v>519</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x14ac:dyDescent="0.15">
      <c r="D38" s="170" t="s">
        <v>520</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x14ac:dyDescent="0.15">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x14ac:dyDescent="0.15">
      <c r="J40" s="94"/>
      <c r="K40" s="94"/>
      <c r="L40" s="94"/>
      <c r="M40" s="94"/>
      <c r="N40" s="94"/>
      <c r="O40" s="94"/>
      <c r="P40" s="94"/>
      <c r="Q40" s="94"/>
    </row>
    <row r="41" spans="3:17" s="15" customFormat="1" ht="11.25" x14ac:dyDescent="0.15">
      <c r="C41" s="93" t="s">
        <v>17</v>
      </c>
      <c r="J41" s="94"/>
      <c r="K41" s="94"/>
      <c r="L41" s="94"/>
      <c r="M41" s="94"/>
      <c r="N41" s="94"/>
      <c r="O41" s="94"/>
      <c r="P41" s="94"/>
      <c r="Q41" s="94"/>
    </row>
    <row r="42" spans="3:17" s="15" customFormat="1" x14ac:dyDescent="0.15">
      <c r="J42" s="94"/>
      <c r="K42" s="94"/>
      <c r="L42" s="94"/>
      <c r="M42" s="94"/>
      <c r="N42" s="94"/>
      <c r="O42" s="94"/>
      <c r="P42" s="94"/>
      <c r="Q42" s="94"/>
    </row>
    <row r="43" spans="3:17" s="15" customFormat="1" x14ac:dyDescent="0.15">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x14ac:dyDescent="0.15">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x14ac:dyDescent="0.15">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x14ac:dyDescent="0.15">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x14ac:dyDescent="0.15">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x14ac:dyDescent="0.15">
      <c r="D48" s="170" t="s">
        <v>582</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x14ac:dyDescent="0.15">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x14ac:dyDescent="0.15">
      <c r="J50" s="94"/>
      <c r="K50" s="94"/>
      <c r="L50" s="94"/>
      <c r="M50" s="94"/>
      <c r="N50" s="94"/>
      <c r="O50" s="94"/>
      <c r="P50" s="94"/>
      <c r="Q50" s="94"/>
    </row>
    <row r="51" spans="3:17" s="15" customFormat="1" ht="12" thickBot="1" x14ac:dyDescent="0.2">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x14ac:dyDescent="0.15"/>
    <row r="53" spans="3:17" s="15" customFormat="1" hidden="1" outlineLevel="2" x14ac:dyDescent="0.15">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x14ac:dyDescent="0.15">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x14ac:dyDescent="0.15">
      <c r="C55" s="170" t="s">
        <v>435</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x14ac:dyDescent="0.15"/>
    <row r="57" spans="3:17" s="15" customFormat="1" x14ac:dyDescent="0.15">
      <c r="C57" s="171" t="s">
        <v>218</v>
      </c>
    </row>
    <row r="58" spans="3:17" s="15" customFormat="1" x14ac:dyDescent="0.15">
      <c r="C58" s="138">
        <v>1</v>
      </c>
      <c r="D58" s="116" t="str">
        <f>"All values are stated in "&amp;INDEX(LU_Denom,DD_TS_Denom)&amp;" unless stated otherwise."</f>
        <v>All values are stated in $Millions unless stated otherwise.</v>
      </c>
    </row>
  </sheetData>
  <sheetProtection sheet="1" objects="1" scenarios="1"/>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B3" location="HL_Home" tooltip="Go to Table of Contents" display="HL_Home" xr:uid="{00000000-0004-0000-1E00-000000000000}"/>
    <hyperlink ref="A4" location="$B$14" tooltip="Go to Top of Sheet" display="$B$14" xr:uid="{00000000-0004-0000-1E00-000001000000}"/>
    <hyperlink ref="B4" location="HL_Sheet_Main_32" tooltip="Go to Previous Sheet" display="HL_Sheet_Main_32" xr:uid="{00000000-0004-0000-1E00-000002000000}"/>
    <hyperlink ref="C4" location="HL_Sheet_Main_20" tooltip="Go to Next Sheet" display="HL_Sheet_Main_20" xr:uid="{00000000-0004-0000-1E00-000003000000}"/>
    <hyperlink ref="D4" location="HL_Err_Chk" tooltip="Go to Error Checks" display="HL_Err_Chk" xr:uid="{00000000-0004-0000-1E00-000004000000}"/>
    <hyperlink ref="E4" location="HL_Sens_Chk" tooltip="Go to Sensitivity Checks" display="HL_Sens_Chk" xr:uid="{00000000-0004-0000-1E00-000005000000}"/>
    <hyperlink ref="F4" location="HL_Alt_Chk" tooltip="Go to Alert Checks" display="HL_Alt_Chk" xr:uid="{00000000-0004-0000-1E00-000006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pageSetUpPr autoPageBreaks="0" fitToPage="1"/>
  </sheetPr>
  <dimension ref="A1:BE74"/>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activeCell="N12" sqref="N12"/>
    </sheetView>
  </sheetViews>
  <sheetFormatPr defaultColWidth="2.33203125" defaultRowHeight="10.5" x14ac:dyDescent="0.1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x14ac:dyDescent="0.15">
      <c r="B1" s="30" t="s">
        <v>457</v>
      </c>
    </row>
    <row r="2" spans="1:57" ht="15" x14ac:dyDescent="0.15">
      <c r="B2" s="29" t="str">
        <f ca="1">Model_Name</f>
        <v>Example Best Practice Model 6.1</v>
      </c>
    </row>
    <row r="3" spans="1:57" x14ac:dyDescent="0.15">
      <c r="B3" s="340" t="s">
        <v>48</v>
      </c>
      <c r="C3" s="340"/>
      <c r="D3" s="340"/>
      <c r="E3" s="340"/>
      <c r="F3" s="340"/>
      <c r="G3" s="340"/>
      <c r="H3" s="340"/>
      <c r="I3" s="340"/>
      <c r="J3" s="340"/>
      <c r="K3" s="340"/>
      <c r="L3" s="111"/>
    </row>
    <row r="4" spans="1:57" ht="12.75" x14ac:dyDescent="0.15">
      <c r="A4" s="31" t="s">
        <v>51</v>
      </c>
      <c r="B4" s="346" t="s">
        <v>53</v>
      </c>
      <c r="C4" s="346"/>
      <c r="D4" s="347" t="s">
        <v>102</v>
      </c>
      <c r="E4" s="347"/>
      <c r="F4" s="300" t="s">
        <v>220</v>
      </c>
      <c r="G4" s="300"/>
      <c r="H4" s="300" t="s">
        <v>221</v>
      </c>
      <c r="I4" s="300"/>
      <c r="J4" s="300" t="s">
        <v>222</v>
      </c>
      <c r="K4" s="300"/>
    </row>
    <row r="7" spans="1:57" ht="11.25" x14ac:dyDescent="0.15">
      <c r="B7" s="337" t="s">
        <v>47</v>
      </c>
      <c r="C7" s="338"/>
      <c r="D7" s="338"/>
      <c r="E7" s="338"/>
      <c r="F7" s="338"/>
      <c r="G7" s="338"/>
      <c r="H7" s="338"/>
      <c r="I7" s="338"/>
      <c r="J7" s="338"/>
      <c r="K7" s="338"/>
      <c r="L7" s="338"/>
      <c r="M7" s="338"/>
      <c r="N7" s="338"/>
      <c r="O7" s="338"/>
      <c r="P7" s="338"/>
      <c r="Q7" s="338"/>
      <c r="R7" s="338"/>
      <c r="S7" s="339"/>
      <c r="V7" s="336" t="s">
        <v>454</v>
      </c>
      <c r="W7" s="336"/>
      <c r="X7" s="336"/>
      <c r="Y7" s="336"/>
      <c r="Z7" s="336"/>
      <c r="AA7" s="336"/>
      <c r="AB7" s="336"/>
      <c r="AC7" s="336"/>
      <c r="AD7" s="336"/>
      <c r="AE7" s="336"/>
      <c r="AF7" s="336"/>
      <c r="AG7" s="336"/>
      <c r="AH7" s="336"/>
      <c r="AI7" s="336"/>
      <c r="AJ7" s="336"/>
      <c r="AK7" s="336"/>
      <c r="AL7" s="336"/>
      <c r="AM7" s="336"/>
      <c r="AP7" s="158" t="str">
        <f>IF(TS_Periodicity=Annual,IS_Fcast_TO!$B$7,IS_Fcast_TO!$B$6)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x14ac:dyDescent="0.15">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x14ac:dyDescent="0.15">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466</v>
      </c>
    </row>
    <row r="10" spans="1:57" x14ac:dyDescent="0.15">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x14ac:dyDescent="0.15">
      <c r="B11" s="151" t="str">
        <f>IS_All_TO!D18</f>
        <v>Revenue</v>
      </c>
      <c r="C11" s="148"/>
      <c r="D11" s="148"/>
      <c r="E11" s="148"/>
      <c r="F11" s="148"/>
      <c r="G11" s="148"/>
      <c r="H11" s="148"/>
      <c r="I11" s="148"/>
      <c r="J11" s="148"/>
      <c r="K11" s="148"/>
      <c r="L11" s="148"/>
      <c r="M11" s="148"/>
      <c r="N11" s="152">
        <f>IS_All_TO!J18</f>
        <v>250</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372</v>
      </c>
      <c r="AU11" s="5" t="str">
        <f>Fcast_OP_TO!C18</f>
        <v>Revenue</v>
      </c>
    </row>
    <row r="12" spans="1:57" x14ac:dyDescent="0.15">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x14ac:dyDescent="0.15">
      <c r="B13" s="180" t="str">
        <f>IS_All_TO!C21</f>
        <v>Gross Margin</v>
      </c>
      <c r="N13" s="153">
        <f>SUM(N11:N12)</f>
        <v>225</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250</v>
      </c>
      <c r="AY13" s="95">
        <f>IS_Hist_TO!K18</f>
        <v>128.125</v>
      </c>
      <c r="AZ13" s="95">
        <f>IS_Hist_TO!L18</f>
        <v>131.328125</v>
      </c>
      <c r="BA13" s="95">
        <f>IS_Hist_TO!M18</f>
        <v>0</v>
      </c>
      <c r="BB13" s="95">
        <f>IS_Hist_TO!N18</f>
        <v>0</v>
      </c>
      <c r="BC13" s="95">
        <f>IS_Hist_TO!O18</f>
        <v>0</v>
      </c>
      <c r="BD13" s="95">
        <f>IS_Hist_TO!P18</f>
        <v>0</v>
      </c>
      <c r="BE13" s="95">
        <f>IS_Hist_TO!Q18</f>
        <v>0</v>
      </c>
    </row>
    <row r="14" spans="1:57" x14ac:dyDescent="0.15">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x14ac:dyDescent="0.15">
      <c r="B15" s="179" t="str">
        <f>IS_All_TO!C25</f>
        <v>EBITDA</v>
      </c>
      <c r="C15" s="148"/>
      <c r="D15" s="148"/>
      <c r="E15" s="148"/>
      <c r="F15" s="148"/>
      <c r="G15" s="148"/>
      <c r="H15" s="148"/>
      <c r="I15" s="148"/>
      <c r="J15" s="148"/>
      <c r="K15" s="148"/>
      <c r="L15" s="148"/>
      <c r="M15" s="148"/>
      <c r="N15" s="153">
        <f>SUM(N13:N14)</f>
        <v>185</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x14ac:dyDescent="0.15">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467</v>
      </c>
    </row>
    <row r="17" spans="2:57" x14ac:dyDescent="0.15">
      <c r="B17" s="179" t="str">
        <f>IS_All_TO!C31</f>
        <v>EBIT</v>
      </c>
      <c r="C17" s="148"/>
      <c r="D17" s="148"/>
      <c r="E17" s="148"/>
      <c r="F17" s="148"/>
      <c r="G17" s="148"/>
      <c r="H17" s="148"/>
      <c r="I17" s="148"/>
      <c r="J17" s="148"/>
      <c r="K17" s="148"/>
      <c r="L17" s="148"/>
      <c r="M17" s="148"/>
      <c r="N17" s="153">
        <f>SUM(N15:N16)</f>
        <v>170.875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x14ac:dyDescent="0.15">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372</v>
      </c>
      <c r="AU18" s="5" t="str">
        <f>Fcast_OP_TO!C19</f>
        <v>Cost of Goods Sold</v>
      </c>
    </row>
    <row r="19" spans="2:57" x14ac:dyDescent="0.15">
      <c r="B19" s="179" t="str">
        <f>IS_All_TO!C35</f>
        <v>Net Profit Before Tax</v>
      </c>
      <c r="C19" s="148"/>
      <c r="D19" s="148"/>
      <c r="E19" s="148"/>
      <c r="F19" s="148"/>
      <c r="G19" s="148"/>
      <c r="H19" s="148"/>
      <c r="I19" s="148"/>
      <c r="J19" s="148"/>
      <c r="K19" s="148"/>
      <c r="L19" s="148"/>
      <c r="M19" s="148"/>
      <c r="N19" s="153">
        <f>SUM(N17:N18)</f>
        <v>167.625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x14ac:dyDescent="0.15">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x14ac:dyDescent="0.2">
      <c r="B21" s="179" t="str">
        <f>IS_All_TO!C39</f>
        <v>Net Profit After Tax</v>
      </c>
      <c r="C21" s="148"/>
      <c r="D21" s="148"/>
      <c r="E21" s="148"/>
      <c r="F21" s="148"/>
      <c r="G21" s="148"/>
      <c r="H21" s="148"/>
      <c r="I21" s="148"/>
      <c r="J21" s="148"/>
      <c r="K21" s="148"/>
      <c r="L21" s="148"/>
      <c r="M21" s="148"/>
      <c r="N21" s="154">
        <f>SUM(N19:N20)</f>
        <v>154.83750000000001</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x14ac:dyDescent="0.15">
      <c r="V22" s="166"/>
      <c r="W22" s="166"/>
      <c r="X22" s="166"/>
      <c r="Y22" s="166"/>
      <c r="Z22" s="166"/>
      <c r="AA22" s="166"/>
      <c r="AB22" s="166"/>
      <c r="AC22" s="166"/>
      <c r="AD22" s="166"/>
      <c r="AE22" s="166"/>
      <c r="AF22" s="166"/>
      <c r="AG22" s="166"/>
      <c r="AH22" s="166"/>
      <c r="AI22" s="166"/>
      <c r="AJ22" s="166"/>
      <c r="AK22" s="166"/>
      <c r="AL22" s="166"/>
      <c r="AM22" s="166"/>
    </row>
    <row r="23" spans="2:57" x14ac:dyDescent="0.15">
      <c r="V23" s="166"/>
      <c r="W23" s="166"/>
      <c r="X23" s="166"/>
      <c r="Y23" s="166"/>
      <c r="Z23" s="166"/>
      <c r="AA23" s="166"/>
      <c r="AB23" s="166"/>
      <c r="AC23" s="166"/>
      <c r="AD23" s="166"/>
      <c r="AE23" s="166"/>
      <c r="AF23" s="166"/>
      <c r="AG23" s="166"/>
      <c r="AH23" s="166"/>
      <c r="AI23" s="166"/>
      <c r="AJ23" s="166"/>
      <c r="AK23" s="166"/>
      <c r="AL23" s="166"/>
      <c r="AM23" s="166"/>
      <c r="AP23" s="171" t="s">
        <v>473</v>
      </c>
    </row>
    <row r="24" spans="2:57" ht="11.25" x14ac:dyDescent="0.15">
      <c r="B24" s="348" t="s">
        <v>0</v>
      </c>
      <c r="C24" s="349"/>
      <c r="D24" s="349"/>
      <c r="E24" s="349"/>
      <c r="F24" s="349"/>
      <c r="G24" s="349"/>
      <c r="H24" s="349"/>
      <c r="I24" s="349"/>
      <c r="J24" s="349"/>
      <c r="K24" s="349"/>
      <c r="L24" s="349"/>
      <c r="M24" s="349"/>
      <c r="N24" s="349"/>
      <c r="O24" s="349"/>
      <c r="P24" s="349"/>
      <c r="Q24" s="349"/>
      <c r="R24" s="349"/>
      <c r="S24" s="350"/>
      <c r="V24" s="166"/>
      <c r="W24" s="166"/>
      <c r="X24" s="166"/>
      <c r="Y24" s="166"/>
      <c r="Z24" s="166"/>
      <c r="AA24" s="166"/>
      <c r="AB24" s="166"/>
      <c r="AC24" s="166"/>
      <c r="AD24" s="166"/>
      <c r="AE24" s="166"/>
      <c r="AF24" s="166"/>
      <c r="AG24" s="166"/>
      <c r="AH24" s="166"/>
      <c r="AI24" s="166"/>
      <c r="AJ24" s="166"/>
      <c r="AK24" s="166"/>
      <c r="AL24" s="166"/>
      <c r="AM24" s="166"/>
    </row>
    <row r="25" spans="2:57" x14ac:dyDescent="0.15">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372</v>
      </c>
      <c r="AU25" s="5" t="str">
        <f>Fcast_OP_TO!C20</f>
        <v>Operating Expenditure</v>
      </c>
    </row>
    <row r="26" spans="2:57" ht="11.25" x14ac:dyDescent="0.1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36" t="s">
        <v>455</v>
      </c>
      <c r="W26" s="336"/>
      <c r="X26" s="336"/>
      <c r="Y26" s="336"/>
      <c r="Z26" s="336"/>
      <c r="AA26" s="336"/>
      <c r="AB26" s="336"/>
      <c r="AC26" s="336"/>
      <c r="AD26" s="336"/>
      <c r="AE26" s="336"/>
      <c r="AF26" s="336"/>
      <c r="AG26" s="336"/>
      <c r="AH26" s="336"/>
      <c r="AI26" s="336"/>
      <c r="AJ26" s="336"/>
      <c r="AK26" s="336"/>
      <c r="AL26" s="336"/>
      <c r="AM26" s="336"/>
    </row>
    <row r="27" spans="2:57" x14ac:dyDescent="0.15">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x14ac:dyDescent="0.15">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x14ac:dyDescent="0.15">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x14ac:dyDescent="0.15">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474</v>
      </c>
      <c r="AQ30" s="5"/>
      <c r="AX30" s="94"/>
    </row>
    <row r="31" spans="2:57" x14ac:dyDescent="0.15">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x14ac:dyDescent="0.15">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372</v>
      </c>
      <c r="AU32" s="116" t="str">
        <f>"Net Assets - "&amp;SUBSTITUTE(INDEX(LU_Dashboard_Selected_Period,AU34)," ","")</f>
        <v>Net Assets - 2010(A)</v>
      </c>
    </row>
    <row r="33" spans="2:57" x14ac:dyDescent="0.15">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x14ac:dyDescent="0.15">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469</v>
      </c>
      <c r="AU34" s="262">
        <v>1</v>
      </c>
    </row>
    <row r="35" spans="2:57" x14ac:dyDescent="0.15">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41" t="s">
        <v>9</v>
      </c>
      <c r="AY35" s="341" t="s">
        <v>475</v>
      </c>
      <c r="AZ35" s="341" t="s">
        <v>476</v>
      </c>
      <c r="BA35" s="341" t="s">
        <v>477</v>
      </c>
      <c r="BB35" s="341" t="s">
        <v>478</v>
      </c>
    </row>
    <row r="36" spans="2:57" x14ac:dyDescent="0.15">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479</v>
      </c>
      <c r="AX36" s="342"/>
      <c r="AY36" s="342"/>
      <c r="AZ36" s="342"/>
      <c r="BA36" s="342"/>
      <c r="BB36" s="342"/>
    </row>
    <row r="37" spans="2:57" x14ac:dyDescent="0.15">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480</v>
      </c>
      <c r="AX37" s="94">
        <f ca="1">OFFSET($N$30,0,AU34-1)</f>
        <v>184.64897260273972</v>
      </c>
      <c r="AY37" s="94"/>
      <c r="AZ37" s="163">
        <v>0</v>
      </c>
      <c r="BA37" s="165">
        <f ca="1">AX37</f>
        <v>184.64897260273972</v>
      </c>
      <c r="BB37" s="94">
        <f ca="1">SUM(AZ37:BA37)</f>
        <v>184.64897260273972</v>
      </c>
    </row>
    <row r="38" spans="2:57" x14ac:dyDescent="0.15">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481</v>
      </c>
      <c r="AX38" s="96"/>
      <c r="AY38" s="96">
        <f ca="1">-OFFSET($N$34,0,AU34-1)</f>
        <v>-81.80119863013698</v>
      </c>
      <c r="AZ38" s="164">
        <f ca="1">BA37+IF(AY38&lt;0,AY38,0)</f>
        <v>102.84777397260274</v>
      </c>
      <c r="BA38" s="96">
        <f ca="1">ABS(AY38)</f>
        <v>81.80119863013698</v>
      </c>
      <c r="BB38" s="96">
        <f ca="1">SUM(AZ38:BA38)</f>
        <v>184.64897260273972</v>
      </c>
    </row>
    <row r="39" spans="2:57" x14ac:dyDescent="0.15">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x14ac:dyDescent="0.15">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x14ac:dyDescent="0.15">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590</v>
      </c>
    </row>
    <row r="42" spans="2:57" x14ac:dyDescent="0.15">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x14ac:dyDescent="0.15">
      <c r="V43" s="166"/>
      <c r="W43" s="166"/>
      <c r="X43" s="166"/>
      <c r="Y43" s="166"/>
      <c r="Z43" s="166"/>
      <c r="AA43" s="166"/>
      <c r="AB43" s="166"/>
      <c r="AC43" s="166"/>
      <c r="AD43" s="166"/>
      <c r="AE43" s="166"/>
      <c r="AF43" s="166"/>
      <c r="AG43" s="166"/>
      <c r="AH43" s="166"/>
      <c r="AI43" s="166"/>
      <c r="AJ43" s="166"/>
      <c r="AK43" s="166"/>
      <c r="AL43" s="166"/>
      <c r="AM43" s="166"/>
      <c r="AQ43" s="171" t="s">
        <v>372</v>
      </c>
      <c r="AU43" s="170" t="s">
        <v>521</v>
      </c>
    </row>
    <row r="44" spans="2:57" ht="11.25" x14ac:dyDescent="0.15">
      <c r="B44" s="343" t="s">
        <v>45</v>
      </c>
      <c r="C44" s="344"/>
      <c r="D44" s="344"/>
      <c r="E44" s="344"/>
      <c r="F44" s="344"/>
      <c r="G44" s="344"/>
      <c r="H44" s="344"/>
      <c r="I44" s="344"/>
      <c r="J44" s="344"/>
      <c r="K44" s="344"/>
      <c r="L44" s="344"/>
      <c r="M44" s="344"/>
      <c r="N44" s="344"/>
      <c r="O44" s="344"/>
      <c r="P44" s="344"/>
      <c r="Q44" s="344"/>
      <c r="R44" s="344"/>
      <c r="S44" s="345"/>
      <c r="V44" s="166"/>
      <c r="W44" s="166"/>
      <c r="X44" s="166"/>
      <c r="Y44" s="166"/>
      <c r="Z44" s="166"/>
      <c r="AA44" s="166"/>
      <c r="AB44" s="166"/>
      <c r="AC44" s="166"/>
      <c r="AD44" s="166"/>
      <c r="AE44" s="166"/>
      <c r="AF44" s="166"/>
      <c r="AG44" s="166"/>
      <c r="AH44" s="166"/>
      <c r="AI44" s="166"/>
      <c r="AJ44" s="166"/>
      <c r="AK44" s="166"/>
      <c r="AL44" s="166"/>
      <c r="AM44" s="166"/>
    </row>
    <row r="45" spans="2:57" x14ac:dyDescent="0.15">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250</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x14ac:dyDescent="0.1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36" t="s">
        <v>456</v>
      </c>
      <c r="W46" s="336"/>
      <c r="X46" s="336"/>
      <c r="Y46" s="336"/>
      <c r="Z46" s="336"/>
      <c r="AA46" s="336"/>
      <c r="AB46" s="336"/>
      <c r="AC46" s="336"/>
      <c r="AD46" s="336"/>
      <c r="AE46" s="336"/>
      <c r="AF46" s="336"/>
      <c r="AG46" s="336"/>
      <c r="AH46" s="336"/>
      <c r="AI46" s="336"/>
      <c r="AJ46" s="336"/>
      <c r="AK46" s="336"/>
      <c r="AL46" s="336"/>
      <c r="AM46" s="336"/>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x14ac:dyDescent="0.15">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x14ac:dyDescent="0.15">
      <c r="B48" s="151" t="s">
        <v>259</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x14ac:dyDescent="0.15">
      <c r="B49" s="151" t="s">
        <v>264</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x14ac:dyDescent="0.15">
      <c r="B50" s="151" t="s">
        <v>464</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x14ac:dyDescent="0.15">
      <c r="B51" s="155" t="s">
        <v>458</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185</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x14ac:dyDescent="0.15">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x14ac:dyDescent="0.15">
      <c r="B53" s="151" t="s">
        <v>258</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x14ac:dyDescent="0.15">
      <c r="B54" s="151" t="s">
        <v>522</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x14ac:dyDescent="0.15">
      <c r="B55" s="155" t="s">
        <v>459</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x14ac:dyDescent="0.15">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x14ac:dyDescent="0.15">
      <c r="B57" s="151" t="s">
        <v>460</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x14ac:dyDescent="0.15">
      <c r="B58" s="151" t="s">
        <v>461</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x14ac:dyDescent="0.15">
      <c r="B59" s="151" t="s">
        <v>462</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x14ac:dyDescent="0.15">
      <c r="B60" s="151" t="s">
        <v>589</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x14ac:dyDescent="0.15">
      <c r="B61" s="155" t="s">
        <v>463</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x14ac:dyDescent="0.15">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x14ac:dyDescent="0.2">
      <c r="B63" s="155" t="s">
        <v>465</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x14ac:dyDescent="0.15">
      <c r="V64" s="166"/>
      <c r="W64" s="166"/>
      <c r="X64" s="166"/>
      <c r="Y64" s="166"/>
      <c r="Z64" s="166"/>
      <c r="AA64" s="166"/>
      <c r="AB64" s="166"/>
      <c r="AC64" s="166"/>
      <c r="AD64" s="166"/>
      <c r="AE64" s="166"/>
      <c r="AF64" s="166"/>
      <c r="AG64" s="166"/>
      <c r="AH64" s="166"/>
      <c r="AI64" s="166"/>
      <c r="AJ64" s="166"/>
      <c r="AK64" s="166"/>
      <c r="AL64" s="166"/>
      <c r="AM64" s="166"/>
    </row>
    <row r="74" spans="43:50" x14ac:dyDescent="0.15">
      <c r="AQ74" s="5"/>
      <c r="AX74" s="94"/>
    </row>
  </sheetData>
  <sheetProtection sheet="1" objects="1" scenarios="1"/>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xr:uid="{00000000-0002-0000-2000-000000000000}">
      <formula1>1</formula1>
      <formula2>ROWS(LU_Dashboard_Selected_Period )</formula2>
    </dataValidation>
  </dataValidations>
  <hyperlinks>
    <hyperlink ref="B3" location="HL_Home" tooltip="Go to Table of Contents" display="HL_Home" xr:uid="{00000000-0004-0000-2000-000000000000}"/>
    <hyperlink ref="A4" location="$B$5" tooltip="Go to Top of Sheet" display="$B$5" xr:uid="{00000000-0004-0000-2000-000001000000}"/>
    <hyperlink ref="D4" location="HL_Sheet_Main_39" tooltip="Go to Next Sheet" display="HL_Sheet_Main_39" xr:uid="{00000000-0004-0000-2000-000002000000}"/>
    <hyperlink ref="B4" location="HL_Sheet_Main_20" tooltip="Go to Previous Sheet" display="HL_Sheet_Main_20" xr:uid="{00000000-0004-0000-2000-000003000000}"/>
    <hyperlink ref="F4" location="HL_Err_Chk" tooltip="Go to Error Checks" display="HL_Err_Chk" xr:uid="{00000000-0004-0000-2000-000004000000}"/>
    <hyperlink ref="H4" location="HL_Sens_Chk" tooltip="Go to Sensitivity Checks" display="HL_Sens_Chk" xr:uid="{00000000-0004-0000-2000-000005000000}"/>
    <hyperlink ref="J4" location="HL_Alt_Chk" tooltip="Go to Alert Checks" display="HL_Alt_Chk" xr:uid="{00000000-0004-0000-2000-000006000000}"/>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89442" r:id="rId5" name="Drop Down 2">
              <controlPr defaultSize="0" autoFill="0" autoPict="0">
                <anchor moveWithCells="1">
                  <from>
                    <xdr:col>46</xdr:col>
                    <xdr:colOff>0</xdr:colOff>
                    <xdr:row>33</xdr:row>
                    <xdr:rowOff>0</xdr:rowOff>
                  </from>
                  <to>
                    <xdr:col>47</xdr:col>
                    <xdr:colOff>0</xdr:colOff>
                    <xdr:row>34</xdr:row>
                    <xdr:rowOff>0</xdr:rowOff>
                  </to>
                </anchor>
              </controlPr>
            </control>
          </mc:Choice>
        </mc:AlternateContent>
      </controls>
    </mc:Choice>
  </mc:AlternateConten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452</v>
      </c>
    </row>
    <row r="10" spans="3:7" ht="16.5" x14ac:dyDescent="0.15">
      <c r="C10" s="27" t="s">
        <v>570</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453</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xr:uid="{00000000-0004-0000-1F00-000000000000}"/>
    <hyperlink ref="C13" location="HL_Sheet_Main_33" tooltip="Go to Previous Sheet" display="HL_Sheet_Main_33" xr:uid="{00000000-0004-0000-1F00-000001000000}"/>
    <hyperlink ref="D13" location="HL_Presentation_Sheets_Example" tooltip="Go to Next Sheet" display="HL_Presentation_Sheets_Example" xr:uid="{00000000-0004-0000-1F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203</v>
      </c>
    </row>
    <row r="10" spans="3:7" ht="16.5" x14ac:dyDescent="0.15">
      <c r="C10" s="27" t="s">
        <v>216</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4" t="s">
        <v>910</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2100-000000000000}"/>
    <hyperlink ref="C13" location="HL_Presentation_Sheets_Example" tooltip="Go to Previous Sheet" display="HL_Presentation_Sheets_Example" xr:uid="{00000000-0004-0000-2100-000001000000}"/>
    <hyperlink ref="D13" location="HL_Sheet_Main_13" tooltip="Go to Next Sheet" display="HL_Sheet_Main_13" xr:uid="{00000000-0004-0000-21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204</v>
      </c>
    </row>
    <row r="10" spans="3:7" ht="16.5" x14ac:dyDescent="0.15">
      <c r="C10" s="27" t="s">
        <v>539</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417</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2200-000000000000}"/>
    <hyperlink ref="C13" location="HL_Sheet_Main_39" tooltip="Go to Previous Sheet" display="HL_Sheet_Main_39" xr:uid="{00000000-0004-0000-2200-000001000000}"/>
    <hyperlink ref="D13" location="HL_Checks_Classification_Example" tooltip="Go to Next Sheet" display="HL_Checks_Classification_Example" xr:uid="{00000000-0004-0000-22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autoPageBreaks="0"/>
  </sheetPr>
  <dimension ref="A1:M66"/>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5" width="3.83203125" customWidth="1"/>
    <col min="6" max="256" width="11.83203125" customWidth="1"/>
  </cols>
  <sheetData>
    <row r="1" spans="1:9" ht="18" x14ac:dyDescent="0.15">
      <c r="B1" s="1" t="s">
        <v>204</v>
      </c>
    </row>
    <row r="2" spans="1:9" ht="15" x14ac:dyDescent="0.15">
      <c r="B2" s="2" t="str">
        <f ca="1">Model_Name</f>
        <v>Example Best Practice Model 6.1</v>
      </c>
    </row>
    <row r="3" spans="1:9" x14ac:dyDescent="0.15">
      <c r="B3" s="270" t="s">
        <v>48</v>
      </c>
      <c r="C3" s="270"/>
      <c r="D3" s="270"/>
      <c r="E3" s="270"/>
      <c r="F3" s="270"/>
    </row>
    <row r="4" spans="1:9" ht="12.75" x14ac:dyDescent="0.15">
      <c r="A4" s="10" t="s">
        <v>51</v>
      </c>
      <c r="B4" s="11" t="s">
        <v>53</v>
      </c>
      <c r="C4" s="12" t="s">
        <v>102</v>
      </c>
      <c r="D4" s="265" t="s">
        <v>220</v>
      </c>
      <c r="E4" s="265" t="s">
        <v>221</v>
      </c>
      <c r="F4" s="13" t="s">
        <v>222</v>
      </c>
    </row>
    <row r="7" spans="1:9" ht="12.75" x14ac:dyDescent="0.15">
      <c r="B7" s="32" t="s">
        <v>246</v>
      </c>
    </row>
    <row r="9" spans="1:9" ht="17.25" customHeight="1" x14ac:dyDescent="0.15">
      <c r="C9" s="67" t="b">
        <v>1</v>
      </c>
    </row>
    <row r="11" spans="1:9" ht="11.25" x14ac:dyDescent="0.15">
      <c r="C11" s="33" t="s">
        <v>247</v>
      </c>
    </row>
    <row r="13" spans="1:9" x14ac:dyDescent="0.15">
      <c r="D13" s="72" t="str">
        <f>D29</f>
        <v>Total Errors:</v>
      </c>
      <c r="I13" s="74">
        <f ca="1">Err_Chks_Ttl_Areas</f>
        <v>0</v>
      </c>
    </row>
    <row r="14" spans="1:9" x14ac:dyDescent="0.15">
      <c r="D14" s="75" t="s">
        <v>250</v>
      </c>
      <c r="I14" s="76" t="str">
        <f ca="1">IF(OR(NOT(CB_Err_Chks_Show_Msg),Err_Chks_Ttl_Areas=0),"",IF(Err_Chks_Ttl_Areas=1," (Error in "&amp;INDEX(CA_Err_Chks_Area_Names,MATCH(1,CA_Err_Chks_Flags,0))&amp;")"," ("&amp;TEXT(Err_Chks_Ttl_Areas,"#,##0")&amp;" Errors Detected)"))</f>
        <v/>
      </c>
    </row>
    <row r="16" spans="1:9" ht="11.25" x14ac:dyDescent="0.15">
      <c r="C16" s="33" t="s">
        <v>246</v>
      </c>
    </row>
    <row r="18" spans="2:13" x14ac:dyDescent="0.15">
      <c r="D18" s="68" t="s">
        <v>246</v>
      </c>
      <c r="E18" s="17"/>
      <c r="F18" s="17"/>
      <c r="G18" s="17"/>
      <c r="H18" s="17"/>
      <c r="I18" s="17"/>
      <c r="J18" s="17"/>
      <c r="K18" s="69" t="s">
        <v>248</v>
      </c>
      <c r="L18" s="69" t="s">
        <v>249</v>
      </c>
      <c r="M18" s="69" t="s">
        <v>412</v>
      </c>
    </row>
    <row r="19" spans="2:13" s="15" customFormat="1" x14ac:dyDescent="0.15">
      <c r="D19" s="77"/>
      <c r="E19" s="21"/>
      <c r="F19" s="21"/>
      <c r="G19" s="21"/>
      <c r="H19" s="21"/>
      <c r="I19" s="21"/>
      <c r="J19" s="21"/>
      <c r="K19" s="78"/>
      <c r="L19" s="78"/>
      <c r="M19" s="78"/>
    </row>
    <row r="20" spans="2:13" x14ac:dyDescent="0.15">
      <c r="D20" s="261" t="str">
        <f>IF(ISERROR(Err_Chk_1_Hdg),"Miscellaneous Check",Err_Chk_1_Hdg)</f>
        <v>Accounts Receivable Balances ($Millions)</v>
      </c>
      <c r="E20" s="8"/>
      <c r="F20" s="8"/>
      <c r="G20" s="8"/>
      <c r="H20" s="8"/>
      <c r="I20" s="8"/>
      <c r="J20" s="8"/>
      <c r="K20" s="73">
        <f ca="1">IF(ISERROR(HL_Err_Chk_1),1,(HL_Err_Chk_1&lt;&gt;0)*1)</f>
        <v>0</v>
      </c>
      <c r="L20" s="66" t="s">
        <v>86</v>
      </c>
      <c r="M20" s="70">
        <f t="shared" ref="M20:M27" ca="1" si="0">K20*(L20="Yes")</f>
        <v>0</v>
      </c>
    </row>
    <row r="21" spans="2:13" s="15" customFormat="1" x14ac:dyDescent="0.15">
      <c r="D21" s="261" t="str">
        <f>IF(ISERROR(Err_Chk_2_Hdg),"Miscellaneous Check",Err_Chk_2_Hdg)</f>
        <v>Accounts Payable Balances ($Millions)</v>
      </c>
      <c r="E21" s="8"/>
      <c r="F21" s="8"/>
      <c r="G21" s="8"/>
      <c r="H21" s="8"/>
      <c r="I21" s="8"/>
      <c r="J21" s="8"/>
      <c r="K21" s="73">
        <f ca="1">IF(ISERROR(HL_Err_Chk_2),1,(HL_Err_Chk_2&lt;&gt;0)*1)</f>
        <v>0</v>
      </c>
      <c r="L21" s="66" t="s">
        <v>86</v>
      </c>
      <c r="M21" s="70">
        <f t="shared" ca="1" si="0"/>
        <v>0</v>
      </c>
    </row>
    <row r="22" spans="2:13" s="15" customFormat="1" x14ac:dyDescent="0.15">
      <c r="D22" s="261" t="str">
        <f>IF(ISERROR(Err_Chk_3_Hdg),"Miscellaneous Check",Err_Chk_3_Hdg)</f>
        <v>Assets Balances ($Millions)</v>
      </c>
      <c r="E22" s="8"/>
      <c r="F22" s="8"/>
      <c r="G22" s="8"/>
      <c r="H22" s="8"/>
      <c r="I22" s="8"/>
      <c r="J22" s="8"/>
      <c r="K22" s="73">
        <f ca="1">IF(ISERROR(HL_Err_Chk_3),1,(HL_Err_Chk_3&lt;&gt;0)*1)</f>
        <v>0</v>
      </c>
      <c r="L22" s="66" t="s">
        <v>86</v>
      </c>
      <c r="M22" s="70">
        <f t="shared" ca="1" si="0"/>
        <v>0</v>
      </c>
    </row>
    <row r="23" spans="2:13" s="15" customFormat="1" x14ac:dyDescent="0.15">
      <c r="D23" s="261" t="str">
        <f>IF(ISERROR(Err_Chk_4_Hdg),"Miscellaneous Check",Err_Chk_4_Hdg)</f>
        <v>Intangibles Balances ($Millions)</v>
      </c>
      <c r="E23" s="8"/>
      <c r="F23" s="8"/>
      <c r="G23" s="8"/>
      <c r="H23" s="8"/>
      <c r="I23" s="8"/>
      <c r="J23" s="8"/>
      <c r="K23" s="73">
        <f ca="1">IF(ISERROR(HL_Err_Chk_4),1,(HL_Err_Chk_4&lt;&gt;0)*1)</f>
        <v>0</v>
      </c>
      <c r="L23" s="66" t="s">
        <v>86</v>
      </c>
      <c r="M23" s="70">
        <f t="shared" ca="1" si="0"/>
        <v>0</v>
      </c>
    </row>
    <row r="24" spans="2:13" s="15" customFormat="1" x14ac:dyDescent="0.15">
      <c r="D24" s="261" t="str">
        <f>IF(ISERROR(Err_Chk_15_Hdg),"Miscellaneous Check",Err_Chk_15_Hdg)</f>
        <v>Ordinary Equity - Outputs</v>
      </c>
      <c r="E24" s="8"/>
      <c r="F24" s="8"/>
      <c r="G24" s="8"/>
      <c r="H24" s="8"/>
      <c r="I24" s="8"/>
      <c r="J24" s="8"/>
      <c r="K24" s="73">
        <f ca="1">IF(ISERROR(HL_Err_Chk_15),1,(HL_Err_Chk_15&lt;&gt;0)*1)</f>
        <v>0</v>
      </c>
      <c r="L24" s="66" t="s">
        <v>86</v>
      </c>
      <c r="M24" s="70">
        <f t="shared" ca="1" si="0"/>
        <v>0</v>
      </c>
    </row>
    <row r="25" spans="2:13" s="15" customFormat="1" x14ac:dyDescent="0.15">
      <c r="D25" s="261" t="str">
        <f>IF(ISERROR(Err_Chk_11_Hdg),"Miscellaneous Check",Err_Chk_11_Hdg)</f>
        <v>Income Statement - Forecast Outputs</v>
      </c>
      <c r="E25" s="8"/>
      <c r="F25" s="8"/>
      <c r="G25" s="8"/>
      <c r="H25" s="8"/>
      <c r="I25" s="8"/>
      <c r="J25" s="8"/>
      <c r="K25" s="73">
        <f ca="1">IF(ISERROR(HL_Err_Chk_11),1,(HL_Err_Chk_11&lt;&gt;0)*1)</f>
        <v>0</v>
      </c>
      <c r="L25" s="66" t="s">
        <v>86</v>
      </c>
      <c r="M25" s="70">
        <f t="shared" ca="1" si="0"/>
        <v>0</v>
      </c>
    </row>
    <row r="26" spans="2:13" s="15" customFormat="1" x14ac:dyDescent="0.15">
      <c r="D26" s="261" t="str">
        <f>IF(ISERROR(Err_Chk_13_Hdg),"Miscellaneous Check",Err_Chk_13_Hdg)</f>
        <v>Balance Sheet - Forecast Outputs</v>
      </c>
      <c r="E26" s="8"/>
      <c r="F26" s="8"/>
      <c r="G26" s="8"/>
      <c r="H26" s="8"/>
      <c r="I26" s="8"/>
      <c r="J26" s="8"/>
      <c r="K26" s="73">
        <f ca="1">IF(ISERROR(HL_Err_Chk_13),1,(HL_Err_Chk_13&lt;&gt;0)*1)</f>
        <v>0</v>
      </c>
      <c r="L26" s="66" t="s">
        <v>86</v>
      </c>
      <c r="M26" s="70">
        <f t="shared" ca="1" si="0"/>
        <v>0</v>
      </c>
    </row>
    <row r="27" spans="2:13" s="15" customFormat="1" x14ac:dyDescent="0.15">
      <c r="D27" s="261" t="str">
        <f>IF(ISERROR(Err_Chk_14_Hdg),"Miscellaneous Check",Err_Chk_14_Hdg)</f>
        <v>Cash Flow Statement - Forecast Outputs</v>
      </c>
      <c r="E27" s="8"/>
      <c r="F27" s="8"/>
      <c r="G27" s="8"/>
      <c r="H27" s="8"/>
      <c r="I27" s="8"/>
      <c r="J27" s="8"/>
      <c r="K27" s="73">
        <f ca="1">IF(ISERROR(HL_Err_Chk_14),1,(HL_Err_Chk_14&lt;&gt;0)*1)</f>
        <v>0</v>
      </c>
      <c r="L27" s="66" t="s">
        <v>86</v>
      </c>
      <c r="M27" s="70">
        <f t="shared" ca="1" si="0"/>
        <v>0</v>
      </c>
    </row>
    <row r="28" spans="2:13" s="15" customFormat="1" x14ac:dyDescent="0.15"/>
    <row r="29" spans="2:13" x14ac:dyDescent="0.15">
      <c r="D29" s="25" t="s">
        <v>413</v>
      </c>
      <c r="M29" s="71">
        <f ca="1">SUMIF(CA_Err_Chks_Inc,"Yes",CA_Err_Chks_Flags)</f>
        <v>0</v>
      </c>
    </row>
    <row r="32" spans="2:13" ht="12.75" x14ac:dyDescent="0.15">
      <c r="B32" s="32" t="s">
        <v>251</v>
      </c>
    </row>
    <row r="34" spans="2:13" ht="17.25" customHeight="1" x14ac:dyDescent="0.15">
      <c r="C34" s="67" t="b">
        <v>1</v>
      </c>
    </row>
    <row r="36" spans="2:13" ht="11.25" x14ac:dyDescent="0.15">
      <c r="C36" s="33" t="s">
        <v>252</v>
      </c>
    </row>
    <row r="38" spans="2:13" x14ac:dyDescent="0.15">
      <c r="D38" s="72" t="str">
        <f>D45</f>
        <v>Total Sensitivities:</v>
      </c>
      <c r="I38" s="74">
        <f>Sens_Chks_Ttl_Areas</f>
        <v>0</v>
      </c>
    </row>
    <row r="39" spans="2:13" x14ac:dyDescent="0.15">
      <c r="D39" s="75" t="s">
        <v>253</v>
      </c>
      <c r="I39" s="76" t="str">
        <f>IF(OR(NOT(CB_Sens_Chks_Show_Msg),Sens_Chks_Ttl_Areas=0),"",IF(Sens_Chks_Ttl_Areas=1," (Sensitivity in "&amp;INDEX(CA_Sens_Chks_Area_Names,MATCH(1,CA_Sens_Chks_Flags,0))&amp;")"," ("&amp;TEXT(Sens_Chks_Ttl_Areas,"#,##0")&amp;" Sensitivities Detected)"))</f>
        <v/>
      </c>
    </row>
    <row r="41" spans="2:13" ht="11.25" x14ac:dyDescent="0.15">
      <c r="C41" s="33" t="s">
        <v>251</v>
      </c>
    </row>
    <row r="43" spans="2:13" x14ac:dyDescent="0.15">
      <c r="D43" s="68" t="s">
        <v>251</v>
      </c>
      <c r="E43" s="17"/>
      <c r="F43" s="17"/>
      <c r="G43" s="17"/>
      <c r="H43" s="17"/>
      <c r="I43" s="17"/>
      <c r="J43" s="17"/>
      <c r="K43" s="69" t="s">
        <v>248</v>
      </c>
      <c r="L43" s="69" t="s">
        <v>249</v>
      </c>
      <c r="M43" s="69" t="s">
        <v>412</v>
      </c>
    </row>
    <row r="44" spans="2:13" x14ac:dyDescent="0.15">
      <c r="D44" s="15"/>
    </row>
    <row r="45" spans="2:13" x14ac:dyDescent="0.15">
      <c r="D45" s="25" t="s">
        <v>414</v>
      </c>
      <c r="M45" s="71">
        <f>SUMIF(CA_Sens_Chks_Inc,"Yes",CA_Sens_Chks_Flags)</f>
        <v>0</v>
      </c>
    </row>
    <row r="48" spans="2:13" ht="12.75" x14ac:dyDescent="0.15">
      <c r="B48" s="32" t="s">
        <v>254</v>
      </c>
    </row>
    <row r="50" spans="3:13" ht="17.25" customHeight="1" x14ac:dyDescent="0.15">
      <c r="C50" s="67" t="b">
        <v>1</v>
      </c>
    </row>
    <row r="52" spans="3:13" ht="11.25" x14ac:dyDescent="0.15">
      <c r="C52" s="33" t="s">
        <v>255</v>
      </c>
    </row>
    <row r="54" spans="3:13" x14ac:dyDescent="0.15">
      <c r="D54" s="72" t="str">
        <f>D66</f>
        <v>Total Alerts:</v>
      </c>
      <c r="I54" s="74">
        <f ca="1">Alt_Chks_Ttl_Areas</f>
        <v>0</v>
      </c>
    </row>
    <row r="55" spans="3:13" x14ac:dyDescent="0.15">
      <c r="D55" s="75" t="s">
        <v>256</v>
      </c>
      <c r="I55" s="76" t="str">
        <f ca="1">IF(OR(NOT(CB_Alt_Chks_Show_Msg),Alt_Chks_Ttl_Areas=0),"",IF(Alt_Chks_Ttl_Areas=1," (Alert in "&amp;INDEX(CA_Alt_Chks_Area_Names,MATCH(1,CA_Alt_Chks_Flags,0))&amp;")"," ("&amp;TEXT(Alt_Chks_Ttl_Areas,"#,##0")&amp;" Alerts Detected)"))</f>
        <v/>
      </c>
    </row>
    <row r="57" spans="3:13" ht="11.25" x14ac:dyDescent="0.15">
      <c r="C57" s="33" t="s">
        <v>254</v>
      </c>
    </row>
    <row r="59" spans="3:13" x14ac:dyDescent="0.15">
      <c r="D59" s="68" t="s">
        <v>254</v>
      </c>
      <c r="E59" s="17"/>
      <c r="F59" s="17"/>
      <c r="G59" s="17"/>
      <c r="H59" s="17"/>
      <c r="I59" s="17"/>
      <c r="J59" s="17"/>
      <c r="K59" s="69" t="s">
        <v>248</v>
      </c>
      <c r="L59" s="69" t="s">
        <v>249</v>
      </c>
      <c r="M59" s="69" t="s">
        <v>412</v>
      </c>
    </row>
    <row r="60" spans="3:13" s="15" customFormat="1" x14ac:dyDescent="0.15">
      <c r="D60" s="77"/>
      <c r="E60" s="21"/>
      <c r="F60" s="21"/>
      <c r="G60" s="21"/>
      <c r="H60" s="21"/>
      <c r="I60" s="21"/>
      <c r="J60" s="21"/>
      <c r="K60" s="78"/>
      <c r="L60" s="78"/>
      <c r="M60" s="78"/>
    </row>
    <row r="61" spans="3:13" x14ac:dyDescent="0.15">
      <c r="D61" s="261" t="str">
        <f>IF(ISERROR(Alt_Chk_1_Hdg),"Miscellaneous Check",Alt_Chk_1_Hdg)</f>
        <v>Balance Sheet - Historical Assumptions</v>
      </c>
      <c r="E61" s="8"/>
      <c r="F61" s="8"/>
      <c r="G61" s="8"/>
      <c r="H61" s="8"/>
      <c r="I61" s="8"/>
      <c r="J61" s="8"/>
      <c r="K61" s="73">
        <f>IF(ISERROR(HL_Alt_Chk_1),1,(HL_Alt_Chk_1&lt;&gt;0)*1)</f>
        <v>0</v>
      </c>
      <c r="L61" s="66" t="s">
        <v>86</v>
      </c>
      <c r="M61" s="70">
        <f>K61*(L61="Yes")</f>
        <v>0</v>
      </c>
    </row>
    <row r="62" spans="3:13" s="15" customFormat="1" x14ac:dyDescent="0.15">
      <c r="D62" s="261" t="str">
        <f>IF(ISERROR(Alt_Chk_2_Hdg),"Miscellaneous Check",Alt_Chk_2_Hdg)</f>
        <v>Balance Sheet - Historical Outputs</v>
      </c>
      <c r="E62" s="8"/>
      <c r="F62" s="8"/>
      <c r="G62" s="8"/>
      <c r="H62" s="8"/>
      <c r="I62" s="8"/>
      <c r="J62" s="8"/>
      <c r="K62" s="73">
        <f>IF(ISERROR(HL_Alt_Chk_2),1,(HL_Alt_Chk_2&lt;&gt;0)*1)</f>
        <v>0</v>
      </c>
      <c r="L62" s="66" t="s">
        <v>86</v>
      </c>
      <c r="M62" s="70">
        <f>K62*(L62="Yes")</f>
        <v>0</v>
      </c>
    </row>
    <row r="63" spans="3:13" s="15" customFormat="1" x14ac:dyDescent="0.15">
      <c r="D63" s="261" t="str">
        <f>IF(ISERROR(Alt_Chk_15_Hdg),"Miscellaneous Check",Alt_Chk_15_Hdg)</f>
        <v>Ordinary Equity - Outputs</v>
      </c>
      <c r="E63" s="8"/>
      <c r="F63" s="8"/>
      <c r="G63" s="8"/>
      <c r="H63" s="8"/>
      <c r="I63" s="8"/>
      <c r="J63" s="8"/>
      <c r="K63" s="73">
        <f ca="1">IF(ISERROR(HL_Alt_Chk_15),1,(HL_Alt_Chk_15&lt;&gt;0)*1)</f>
        <v>0</v>
      </c>
      <c r="L63" s="66" t="s">
        <v>86</v>
      </c>
      <c r="M63" s="70">
        <f ca="1">K63*(L63="Yes")</f>
        <v>0</v>
      </c>
    </row>
    <row r="64" spans="3:13" s="15" customFormat="1" x14ac:dyDescent="0.15">
      <c r="D64" s="261" t="str">
        <f>IF(ISERROR(Alt_Chk_14_Hdg),"Miscellaneous Check",Alt_Chk_14_Hdg)</f>
        <v>Balance Sheet - Forecast Outputs</v>
      </c>
      <c r="E64" s="8"/>
      <c r="F64" s="8"/>
      <c r="G64" s="8"/>
      <c r="H64" s="8"/>
      <c r="I64" s="8"/>
      <c r="J64" s="8"/>
      <c r="K64" s="73">
        <f ca="1">IF(ISERROR(HL_Alt_Chk_14),1,(HL_Alt_Chk_14&lt;&gt;0)*1)</f>
        <v>0</v>
      </c>
      <c r="L64" s="66" t="s">
        <v>86</v>
      </c>
      <c r="M64" s="70">
        <f ca="1">K64*(L64="Yes")</f>
        <v>0</v>
      </c>
    </row>
    <row r="65" spans="4:13" s="15" customFormat="1" x14ac:dyDescent="0.15"/>
    <row r="66" spans="4:13" x14ac:dyDescent="0.15">
      <c r="D66" s="25" t="s">
        <v>415</v>
      </c>
      <c r="M66" s="71">
        <f ca="1">SUMIF(CA_Alt_Chks_Inc,"Yes",CA_Alt_Chks_Flags)</f>
        <v>0</v>
      </c>
    </row>
  </sheetData>
  <sheetProtection sheet="1" objects="1" scenarios="1"/>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126" stopIfTrue="1">
      <formula>K20&lt;&gt;0</formula>
    </cfRule>
  </conditionalFormatting>
  <conditionalFormatting sqref="L20">
    <cfRule type="expression" dxfId="38" priority="2128" stopIfTrue="1">
      <formula>K20&lt;&gt;0</formula>
    </cfRule>
  </conditionalFormatting>
  <conditionalFormatting sqref="M20">
    <cfRule type="expression" dxfId="37" priority="2129" stopIfTrue="1">
      <formula>K20&lt;&gt;0</formula>
    </cfRule>
  </conditionalFormatting>
  <conditionalFormatting sqref="D21">
    <cfRule type="expression" dxfId="36" priority="2130" stopIfTrue="1">
      <formula>K21&lt;&gt;0</formula>
    </cfRule>
  </conditionalFormatting>
  <conditionalFormatting sqref="L21">
    <cfRule type="expression" dxfId="35" priority="2132" stopIfTrue="1">
      <formula>K21&lt;&gt;0</formula>
    </cfRule>
  </conditionalFormatting>
  <conditionalFormatting sqref="M21">
    <cfRule type="expression" dxfId="34" priority="2133" stopIfTrue="1">
      <formula>K21&lt;&gt;0</formula>
    </cfRule>
  </conditionalFormatting>
  <conditionalFormatting sqref="D22">
    <cfRule type="expression" dxfId="33" priority="2134" stopIfTrue="1">
      <formula>K22&lt;&gt;0</formula>
    </cfRule>
  </conditionalFormatting>
  <conditionalFormatting sqref="L22">
    <cfRule type="expression" dxfId="32" priority="2136" stopIfTrue="1">
      <formula>K22&lt;&gt;0</formula>
    </cfRule>
  </conditionalFormatting>
  <conditionalFormatting sqref="M22">
    <cfRule type="expression" dxfId="31" priority="2137" stopIfTrue="1">
      <formula>K22&lt;&gt;0</formula>
    </cfRule>
  </conditionalFormatting>
  <conditionalFormatting sqref="D23">
    <cfRule type="expression" dxfId="30" priority="2138" stopIfTrue="1">
      <formula>K23&lt;&gt;0</formula>
    </cfRule>
  </conditionalFormatting>
  <conditionalFormatting sqref="L23">
    <cfRule type="expression" dxfId="29" priority="2140" stopIfTrue="1">
      <formula>K23&lt;&gt;0</formula>
    </cfRule>
  </conditionalFormatting>
  <conditionalFormatting sqref="M23">
    <cfRule type="expression" dxfId="28" priority="2141" stopIfTrue="1">
      <formula>K23&lt;&gt;0</formula>
    </cfRule>
  </conditionalFormatting>
  <conditionalFormatting sqref="D24">
    <cfRule type="expression" dxfId="27" priority="2142" stopIfTrue="1">
      <formula>K24&lt;&gt;0</formula>
    </cfRule>
  </conditionalFormatting>
  <conditionalFormatting sqref="L24">
    <cfRule type="expression" dxfId="26" priority="2144" stopIfTrue="1">
      <formula>K24&lt;&gt;0</formula>
    </cfRule>
  </conditionalFormatting>
  <conditionalFormatting sqref="M24">
    <cfRule type="expression" dxfId="25" priority="2145" stopIfTrue="1">
      <formula>K24&lt;&gt;0</formula>
    </cfRule>
  </conditionalFormatting>
  <conditionalFormatting sqref="D25">
    <cfRule type="expression" dxfId="24" priority="2146" stopIfTrue="1">
      <formula>K25&lt;&gt;0</formula>
    </cfRule>
  </conditionalFormatting>
  <conditionalFormatting sqref="L25">
    <cfRule type="expression" dxfId="23" priority="2148" stopIfTrue="1">
      <formula>K25&lt;&gt;0</formula>
    </cfRule>
  </conditionalFormatting>
  <conditionalFormatting sqref="M25">
    <cfRule type="expression" dxfId="22" priority="2149" stopIfTrue="1">
      <formula>K25&lt;&gt;0</formula>
    </cfRule>
  </conditionalFormatting>
  <conditionalFormatting sqref="D26">
    <cfRule type="expression" dxfId="21" priority="2150" stopIfTrue="1">
      <formula>K26&lt;&gt;0</formula>
    </cfRule>
  </conditionalFormatting>
  <conditionalFormatting sqref="L26">
    <cfRule type="expression" dxfId="20" priority="2152" stopIfTrue="1">
      <formula>K26&lt;&gt;0</formula>
    </cfRule>
  </conditionalFormatting>
  <conditionalFormatting sqref="M26">
    <cfRule type="expression" dxfId="19" priority="2153" stopIfTrue="1">
      <formula>K26&lt;&gt;0</formula>
    </cfRule>
  </conditionalFormatting>
  <conditionalFormatting sqref="D27">
    <cfRule type="expression" dxfId="18" priority="2154" stopIfTrue="1">
      <formula>K27&lt;&gt;0</formula>
    </cfRule>
  </conditionalFormatting>
  <conditionalFormatting sqref="L27">
    <cfRule type="expression" dxfId="17" priority="2156" stopIfTrue="1">
      <formula>K27&lt;&gt;0</formula>
    </cfRule>
  </conditionalFormatting>
  <conditionalFormatting sqref="M27">
    <cfRule type="expression" dxfId="16" priority="2157" stopIfTrue="1">
      <formula>K27&lt;&gt;0</formula>
    </cfRule>
  </conditionalFormatting>
  <conditionalFormatting sqref="D61">
    <cfRule type="expression" dxfId="15" priority="2158" stopIfTrue="1">
      <formula>K61&lt;&gt;0</formula>
    </cfRule>
  </conditionalFormatting>
  <conditionalFormatting sqref="K61">
    <cfRule type="cellIs" dxfId="14" priority="2159" stopIfTrue="1" operator="notEqual">
      <formula>0</formula>
    </cfRule>
  </conditionalFormatting>
  <conditionalFormatting sqref="L61">
    <cfRule type="expression" dxfId="13" priority="2160" stopIfTrue="1">
      <formula>K61&lt;&gt;0</formula>
    </cfRule>
  </conditionalFormatting>
  <conditionalFormatting sqref="M61">
    <cfRule type="expression" dxfId="12" priority="2161" stopIfTrue="1">
      <formula>K61&lt;&gt;0</formula>
    </cfRule>
  </conditionalFormatting>
  <conditionalFormatting sqref="D62">
    <cfRule type="expression" dxfId="11" priority="2162" stopIfTrue="1">
      <formula>K62&lt;&gt;0</formula>
    </cfRule>
  </conditionalFormatting>
  <conditionalFormatting sqref="K62">
    <cfRule type="cellIs" dxfId="10" priority="2163" stopIfTrue="1" operator="notEqual">
      <formula>0</formula>
    </cfRule>
  </conditionalFormatting>
  <conditionalFormatting sqref="L62">
    <cfRule type="expression" dxfId="9" priority="2164" stopIfTrue="1">
      <formula>K62&lt;&gt;0</formula>
    </cfRule>
  </conditionalFormatting>
  <conditionalFormatting sqref="M62">
    <cfRule type="expression" dxfId="8" priority="2165" stopIfTrue="1">
      <formula>K62&lt;&gt;0</formula>
    </cfRule>
  </conditionalFormatting>
  <conditionalFormatting sqref="D63">
    <cfRule type="expression" dxfId="7" priority="2166" stopIfTrue="1">
      <formula>K63&lt;&gt;0</formula>
    </cfRule>
  </conditionalFormatting>
  <conditionalFormatting sqref="K63">
    <cfRule type="cellIs" dxfId="6" priority="2167" stopIfTrue="1" operator="notEqual">
      <formula>0</formula>
    </cfRule>
  </conditionalFormatting>
  <conditionalFormatting sqref="L63">
    <cfRule type="expression" dxfId="5" priority="2168" stopIfTrue="1">
      <formula>K63&lt;&gt;0</formula>
    </cfRule>
  </conditionalFormatting>
  <conditionalFormatting sqref="M63">
    <cfRule type="expression" dxfId="4" priority="2169" stopIfTrue="1">
      <formula>K63&lt;&gt;0</formula>
    </cfRule>
  </conditionalFormatting>
  <conditionalFormatting sqref="D64">
    <cfRule type="expression" dxfId="3" priority="2170" stopIfTrue="1">
      <formula>K64&lt;&gt;0</formula>
    </cfRule>
  </conditionalFormatting>
  <conditionalFormatting sqref="K64">
    <cfRule type="cellIs" dxfId="2" priority="2171" stopIfTrue="1" operator="notEqual">
      <formula>0</formula>
    </cfRule>
  </conditionalFormatting>
  <conditionalFormatting sqref="L64">
    <cfRule type="expression" dxfId="1" priority="2172" stopIfTrue="1">
      <formula>K64&lt;&gt;0</formula>
    </cfRule>
  </conditionalFormatting>
  <conditionalFormatting sqref="M64">
    <cfRule type="expression" dxfId="0" priority="2173" stopIfTrue="1">
      <formula>K64&lt;&gt;0</formula>
    </cfRule>
  </conditionalFormatting>
  <dataValidations count="3">
    <dataValidation type="custom" showDropDown="1" showErrorMessage="1" errorTitle="6 Cell Link" error="The value in an option button cell link must be either &quot;TRUE&quot; or &quot;FALSE&quot;" sqref="C50 C9 C34" xr:uid="{00000000-0002-0000-2300-000000000000}">
      <formula1>ISLOGICAL(C9)</formula1>
    </dataValidation>
    <dataValidation type="list" showErrorMessage="1" errorTitle="Include Error Check" error="The include error check trigger must correspond with one of the options provided in the drop down list." sqref="L20:L27" xr:uid="{00000000-0002-0000-2300-000001000000}">
      <formula1>"Yes,No"</formula1>
    </dataValidation>
    <dataValidation type="list" showErrorMessage="1" errorTitle="Include Alert Check" error="The include alert check trigger must correspond with one of the options provided in the drop down list." sqref="L61:L64" xr:uid="{00000000-0002-0000-2300-000002000000}">
      <formula1>"Yes,No"</formula1>
    </dataValidation>
  </dataValidations>
  <hyperlinks>
    <hyperlink ref="D20:J20" location="HL_Err_Chk_1" tooltip="Go to Accounts Receivable Balances ($Millions)" display="HL_Err_Chk_1" xr:uid="{00000000-0004-0000-2300-000000000000}"/>
    <hyperlink ref="D21:J21" location="HL_Err_Chk_2" tooltip="Go to Accounts Payable Balances ($Millions)" display="HL_Err_Chk_2" xr:uid="{00000000-0004-0000-2300-000001000000}"/>
    <hyperlink ref="D22:J22" location="HL_Err_Chk_3" tooltip="Go to Assets Balances ($Millions)" display="HL_Err_Chk_3" xr:uid="{00000000-0004-0000-2300-000002000000}"/>
    <hyperlink ref="D23:J23" location="HL_Err_Chk_4" tooltip="Go to Intangibles Balances ($Millions)" display="HL_Err_Chk_4" xr:uid="{00000000-0004-0000-2300-000003000000}"/>
    <hyperlink ref="D24:J24" location="HL_Err_Chk_15" tooltip="Go to Ordinary Equity - Outputs" display="HL_Err_Chk_15" xr:uid="{00000000-0004-0000-2300-000004000000}"/>
    <hyperlink ref="D25:J25" location="HL_Err_Chk_11" tooltip="Go to Income Statement - Forecast Outputs" display="HL_Err_Chk_11" xr:uid="{00000000-0004-0000-2300-000005000000}"/>
    <hyperlink ref="D26:J26" location="HL_Err_Chk_13" tooltip="Go to Balance Sheet - Forecast Outputs" display="HL_Err_Chk_13" xr:uid="{00000000-0004-0000-2300-000006000000}"/>
    <hyperlink ref="D27:J27" location="HL_Err_Chk_14" tooltip="Go to Cash Flow Statement - Forecast Outputs" display="HL_Err_Chk_14" xr:uid="{00000000-0004-0000-2300-000007000000}"/>
    <hyperlink ref="D61:J61" location="HL_Alt_Chk_1" tooltip="Go to Balance Sheet - Historical Assumptions" display="HL_Alt_Chk_1" xr:uid="{00000000-0004-0000-2300-000008000000}"/>
    <hyperlink ref="D62:J62" location="HL_Alt_Chk_2" tooltip="Go to Balance Sheet - Historical Outputs" display="HL_Alt_Chk_2" xr:uid="{00000000-0004-0000-2300-000009000000}"/>
    <hyperlink ref="D63:J63" location="HL_Alt_Chk_15" tooltip="Go to Ordinary Equity - Outputs" display="HL_Alt_Chk_15" xr:uid="{00000000-0004-0000-2300-00000A000000}"/>
    <hyperlink ref="D64:J64" location="HL_Alt_Chk_14" tooltip="Go to Balance Sheet - Forecast Outputs" display="HL_Alt_Chk_14" xr:uid="{00000000-0004-0000-2300-00000B000000}"/>
    <hyperlink ref="B3" location="HL_Home" tooltip="Go to Table of Contents" display="HL_Home" xr:uid="{00000000-0004-0000-2300-00000C000000}"/>
    <hyperlink ref="A4" location="$B$5" tooltip="Go to Top of Sheet" display="$B$5" xr:uid="{00000000-0004-0000-2300-00000D000000}"/>
    <hyperlink ref="B4" location="HL_Sheet_Main_13" tooltip="Go to Previous Sheet" display="HL_Sheet_Main_13" xr:uid="{00000000-0004-0000-2300-00000E000000}"/>
    <hyperlink ref="C4" location="HL_Sheet_Main_40" tooltip="Go to Next Sheet" display="HL_Sheet_Main_40" xr:uid="{00000000-0004-0000-2300-00000F000000}"/>
    <hyperlink ref="D4" location="HL_Err_Chk" tooltip="Go to Error Checks" display="HL_Err_Chk" xr:uid="{00000000-0004-0000-2300-000010000000}"/>
    <hyperlink ref="E4" location="HL_Sens_Chk" tooltip="Go to Sensitivity Checks" display="HL_Sens_Chk" xr:uid="{00000000-0004-0000-2300-000011000000}"/>
    <hyperlink ref="F4" location="HL_Alt_Chk" tooltip="Go to Alert Checks" display="HL_Alt_Chk" xr:uid="{00000000-0004-0000-2300-000012000000}"/>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20833" r:id="rId5" name="CB_Err_Chks_Show_Msg">
              <controlPr defaultSize="0" autoFill="0" autoLine="0" autoPict="0">
                <anchor moveWithCells="1">
                  <from>
                    <xdr:col>2</xdr:col>
                    <xdr:colOff>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120834" r:id="rId6" name="CB_Sens_Chks_Show_Msg">
              <controlPr defaultSize="0" autoFill="0" autoLine="0" autoPict="0">
                <anchor moveWithCells="1">
                  <from>
                    <xdr:col>2</xdr:col>
                    <xdr:colOff>0</xdr:colOff>
                    <xdr:row>33</xdr:row>
                    <xdr:rowOff>0</xdr:rowOff>
                  </from>
                  <to>
                    <xdr:col>8</xdr:col>
                    <xdr:colOff>0</xdr:colOff>
                    <xdr:row>34</xdr:row>
                    <xdr:rowOff>0</xdr:rowOff>
                  </to>
                </anchor>
              </controlPr>
            </control>
          </mc:Choice>
        </mc:AlternateContent>
        <mc:AlternateContent xmlns:mc="http://schemas.openxmlformats.org/markup-compatibility/2006">
          <mc:Choice Requires="x14">
            <control shapeId="120835" r:id="rId7" name="CB_Alt_Chks_Show_Msg">
              <controlPr defaultSize="0" autoFill="0" autoLine="0" autoPict="0">
                <anchor moveWithCells="1">
                  <from>
                    <xdr:col>2</xdr:col>
                    <xdr:colOff>0</xdr:colOff>
                    <xdr:row>49</xdr:row>
                    <xdr:rowOff>0</xdr:rowOff>
                  </from>
                  <to>
                    <xdr:col>8</xdr:col>
                    <xdr:colOff>0</xdr:colOff>
                    <xdr:row>50</xdr:row>
                    <xdr:rowOff>0</xdr:rowOff>
                  </to>
                </anchor>
              </controlPr>
            </control>
          </mc:Choice>
        </mc:AlternateContent>
      </controls>
    </mc:Choice>
  </mc:AlternateConten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205</v>
      </c>
    </row>
    <row r="10" spans="3:7" ht="16.5" x14ac:dyDescent="0.15">
      <c r="C10" s="27" t="s">
        <v>541</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418</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2400-000000000000}"/>
    <hyperlink ref="C13" location="HL_Checks_Classification_Example" tooltip="Go to Previous Sheet" display="HL_Checks_Classification_Example" xr:uid="{00000000-0004-0000-2400-000001000000}"/>
    <hyperlink ref="D13" location="HL_Lookup_sheet_Example" tooltip="Go to Next Sheet" display="HL_Lookup_sheet_Example" xr:uid="{00000000-0004-0000-24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autoPageBreaks="0"/>
  </sheetPr>
  <dimension ref="A1:F105"/>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x14ac:dyDescent="0.15">
      <c r="B1" s="1" t="s">
        <v>355</v>
      </c>
    </row>
    <row r="2" spans="1:6" ht="15" x14ac:dyDescent="0.15">
      <c r="B2" s="2" t="str">
        <f ca="1">Model_Name</f>
        <v>Example Best Practice Model 6.1</v>
      </c>
    </row>
    <row r="3" spans="1:6" x14ac:dyDescent="0.15">
      <c r="B3" s="270" t="s">
        <v>48</v>
      </c>
      <c r="C3" s="270"/>
      <c r="D3" s="270"/>
    </row>
    <row r="4" spans="1:6" ht="12.75" x14ac:dyDescent="0.15">
      <c r="A4" s="10" t="s">
        <v>51</v>
      </c>
      <c r="B4" s="11" t="s">
        <v>53</v>
      </c>
      <c r="C4" s="12" t="s">
        <v>102</v>
      </c>
    </row>
    <row r="7" spans="1:6" ht="12.75" x14ac:dyDescent="0.15">
      <c r="B7" s="32" t="s">
        <v>355</v>
      </c>
    </row>
    <row r="9" spans="1:6" ht="11.25" x14ac:dyDescent="0.15">
      <c r="C9" s="33" t="s">
        <v>356</v>
      </c>
      <c r="F9" s="33" t="s">
        <v>354</v>
      </c>
    </row>
    <row r="11" spans="1:6" x14ac:dyDescent="0.15">
      <c r="D11" s="37" t="s">
        <v>356</v>
      </c>
      <c r="F11" s="26" t="s">
        <v>357</v>
      </c>
    </row>
    <row r="12" spans="1:6" x14ac:dyDescent="0.15">
      <c r="D12" s="39">
        <v>1</v>
      </c>
    </row>
    <row r="13" spans="1:6" x14ac:dyDescent="0.15">
      <c r="D13" s="40">
        <f t="shared" ref="D13:D42" si="0">D12+1</f>
        <v>2</v>
      </c>
    </row>
    <row r="14" spans="1:6" x14ac:dyDescent="0.15">
      <c r="D14" s="40">
        <f t="shared" si="0"/>
        <v>3</v>
      </c>
    </row>
    <row r="15" spans="1:6" x14ac:dyDescent="0.15">
      <c r="D15" s="40">
        <f t="shared" si="0"/>
        <v>4</v>
      </c>
    </row>
    <row r="16" spans="1:6" x14ac:dyDescent="0.15">
      <c r="D16" s="40">
        <f t="shared" si="0"/>
        <v>5</v>
      </c>
    </row>
    <row r="17" spans="4:4" x14ac:dyDescent="0.15">
      <c r="D17" s="40">
        <f t="shared" si="0"/>
        <v>6</v>
      </c>
    </row>
    <row r="18" spans="4:4" x14ac:dyDescent="0.15">
      <c r="D18" s="40">
        <f t="shared" si="0"/>
        <v>7</v>
      </c>
    </row>
    <row r="19" spans="4:4" x14ac:dyDescent="0.15">
      <c r="D19" s="40">
        <f t="shared" si="0"/>
        <v>8</v>
      </c>
    </row>
    <row r="20" spans="4:4" x14ac:dyDescent="0.15">
      <c r="D20" s="40">
        <f t="shared" si="0"/>
        <v>9</v>
      </c>
    </row>
    <row r="21" spans="4:4" x14ac:dyDescent="0.15">
      <c r="D21" s="40">
        <f t="shared" si="0"/>
        <v>10</v>
      </c>
    </row>
    <row r="22" spans="4:4" x14ac:dyDescent="0.15">
      <c r="D22" s="40">
        <f t="shared" si="0"/>
        <v>11</v>
      </c>
    </row>
    <row r="23" spans="4:4" x14ac:dyDescent="0.15">
      <c r="D23" s="40">
        <f t="shared" si="0"/>
        <v>12</v>
      </c>
    </row>
    <row r="24" spans="4:4" x14ac:dyDescent="0.15">
      <c r="D24" s="40">
        <f t="shared" si="0"/>
        <v>13</v>
      </c>
    </row>
    <row r="25" spans="4:4" x14ac:dyDescent="0.15">
      <c r="D25" s="40">
        <f t="shared" si="0"/>
        <v>14</v>
      </c>
    </row>
    <row r="26" spans="4:4" x14ac:dyDescent="0.15">
      <c r="D26" s="40">
        <f t="shared" si="0"/>
        <v>15</v>
      </c>
    </row>
    <row r="27" spans="4:4" x14ac:dyDescent="0.15">
      <c r="D27" s="40">
        <f t="shared" si="0"/>
        <v>16</v>
      </c>
    </row>
    <row r="28" spans="4:4" x14ac:dyDescent="0.15">
      <c r="D28" s="40">
        <f t="shared" si="0"/>
        <v>17</v>
      </c>
    </row>
    <row r="29" spans="4:4" x14ac:dyDescent="0.15">
      <c r="D29" s="40">
        <f t="shared" si="0"/>
        <v>18</v>
      </c>
    </row>
    <row r="30" spans="4:4" x14ac:dyDescent="0.15">
      <c r="D30" s="40">
        <f t="shared" si="0"/>
        <v>19</v>
      </c>
    </row>
    <row r="31" spans="4:4" x14ac:dyDescent="0.15">
      <c r="D31" s="40">
        <f t="shared" si="0"/>
        <v>20</v>
      </c>
    </row>
    <row r="32" spans="4:4" x14ac:dyDescent="0.15">
      <c r="D32" s="40">
        <f t="shared" si="0"/>
        <v>21</v>
      </c>
    </row>
    <row r="33" spans="3:6" x14ac:dyDescent="0.15">
      <c r="D33" s="40">
        <f t="shared" si="0"/>
        <v>22</v>
      </c>
    </row>
    <row r="34" spans="3:6" x14ac:dyDescent="0.15">
      <c r="D34" s="40">
        <f t="shared" si="0"/>
        <v>23</v>
      </c>
    </row>
    <row r="35" spans="3:6" x14ac:dyDescent="0.15">
      <c r="D35" s="40">
        <f t="shared" si="0"/>
        <v>24</v>
      </c>
    </row>
    <row r="36" spans="3:6" x14ac:dyDescent="0.15">
      <c r="D36" s="40">
        <f t="shared" si="0"/>
        <v>25</v>
      </c>
    </row>
    <row r="37" spans="3:6" x14ac:dyDescent="0.15">
      <c r="D37" s="40">
        <f t="shared" si="0"/>
        <v>26</v>
      </c>
    </row>
    <row r="38" spans="3:6" x14ac:dyDescent="0.15">
      <c r="D38" s="40">
        <f t="shared" si="0"/>
        <v>27</v>
      </c>
    </row>
    <row r="39" spans="3:6" x14ac:dyDescent="0.15">
      <c r="D39" s="40">
        <f t="shared" si="0"/>
        <v>28</v>
      </c>
    </row>
    <row r="40" spans="3:6" x14ac:dyDescent="0.15">
      <c r="D40" s="40">
        <f t="shared" si="0"/>
        <v>29</v>
      </c>
    </row>
    <row r="41" spans="3:6" x14ac:dyDescent="0.15">
      <c r="D41" s="40">
        <f t="shared" si="0"/>
        <v>30</v>
      </c>
    </row>
    <row r="42" spans="3:6" x14ac:dyDescent="0.15">
      <c r="D42" s="40">
        <f t="shared" si="0"/>
        <v>31</v>
      </c>
    </row>
    <row r="44" spans="3:6" ht="11.25" x14ac:dyDescent="0.15">
      <c r="C44" s="33" t="s">
        <v>358</v>
      </c>
      <c r="F44" s="33" t="s">
        <v>354</v>
      </c>
    </row>
    <row r="46" spans="3:6" x14ac:dyDescent="0.15">
      <c r="D46" s="37" t="s">
        <v>358</v>
      </c>
      <c r="F46" s="26" t="s">
        <v>359</v>
      </c>
    </row>
    <row r="47" spans="3:6" x14ac:dyDescent="0.15">
      <c r="D47" s="38" t="s">
        <v>56</v>
      </c>
    </row>
    <row r="48" spans="3:6" x14ac:dyDescent="0.15">
      <c r="D48" s="38" t="s">
        <v>57</v>
      </c>
    </row>
    <row r="49" spans="3:6" x14ac:dyDescent="0.15">
      <c r="D49" s="38" t="s">
        <v>58</v>
      </c>
    </row>
    <row r="50" spans="3:6" x14ac:dyDescent="0.15">
      <c r="D50" s="38" t="s">
        <v>59</v>
      </c>
    </row>
    <row r="51" spans="3:6" x14ac:dyDescent="0.15">
      <c r="D51" s="38" t="s">
        <v>60</v>
      </c>
    </row>
    <row r="52" spans="3:6" x14ac:dyDescent="0.15">
      <c r="D52" s="38" t="s">
        <v>61</v>
      </c>
    </row>
    <row r="53" spans="3:6" x14ac:dyDescent="0.15">
      <c r="D53" s="38" t="s">
        <v>62</v>
      </c>
    </row>
    <row r="54" spans="3:6" x14ac:dyDescent="0.15">
      <c r="D54" s="38" t="s">
        <v>63</v>
      </c>
    </row>
    <row r="55" spans="3:6" x14ac:dyDescent="0.15">
      <c r="D55" s="38" t="s">
        <v>64</v>
      </c>
    </row>
    <row r="56" spans="3:6" x14ac:dyDescent="0.15">
      <c r="D56" s="38" t="s">
        <v>65</v>
      </c>
    </row>
    <row r="57" spans="3:6" x14ac:dyDescent="0.15">
      <c r="D57" s="38" t="s">
        <v>66</v>
      </c>
    </row>
    <row r="58" spans="3:6" x14ac:dyDescent="0.15">
      <c r="D58" s="38" t="s">
        <v>67</v>
      </c>
    </row>
    <row r="60" spans="3:6" ht="11.25" x14ac:dyDescent="0.15">
      <c r="C60" s="33" t="s">
        <v>87</v>
      </c>
      <c r="F60" s="33" t="s">
        <v>354</v>
      </c>
    </row>
    <row r="62" spans="3:6" x14ac:dyDescent="0.15">
      <c r="D62" s="37" t="s">
        <v>87</v>
      </c>
      <c r="F62" s="26" t="s">
        <v>88</v>
      </c>
    </row>
    <row r="63" spans="3:6" x14ac:dyDescent="0.15">
      <c r="D63" s="38" t="s">
        <v>89</v>
      </c>
      <c r="F63" s="26" t="s">
        <v>90</v>
      </c>
    </row>
    <row r="64" spans="3:6" x14ac:dyDescent="0.15">
      <c r="D64" s="38" t="s">
        <v>91</v>
      </c>
      <c r="F64" s="26" t="s">
        <v>92</v>
      </c>
    </row>
    <row r="65" spans="3:6" x14ac:dyDescent="0.15">
      <c r="D65" s="38" t="s">
        <v>93</v>
      </c>
      <c r="F65" s="26" t="s">
        <v>94</v>
      </c>
    </row>
    <row r="66" spans="3:6" x14ac:dyDescent="0.15">
      <c r="D66" s="38" t="s">
        <v>95</v>
      </c>
      <c r="F66" s="26" t="s">
        <v>96</v>
      </c>
    </row>
    <row r="68" spans="3:6" ht="11.25" x14ac:dyDescent="0.15">
      <c r="C68" s="33" t="s">
        <v>360</v>
      </c>
      <c r="F68" s="33" t="s">
        <v>354</v>
      </c>
    </row>
    <row r="70" spans="3:6" x14ac:dyDescent="0.15">
      <c r="D70" s="37" t="s">
        <v>360</v>
      </c>
      <c r="F70" s="26" t="s">
        <v>361</v>
      </c>
    </row>
    <row r="71" spans="3:6" x14ac:dyDescent="0.15">
      <c r="D71" s="38" t="s">
        <v>362</v>
      </c>
    </row>
    <row r="72" spans="3:6" x14ac:dyDescent="0.15">
      <c r="D72" s="38" t="s">
        <v>363</v>
      </c>
    </row>
    <row r="74" spans="3:6" ht="11.25" x14ac:dyDescent="0.15">
      <c r="C74" s="33" t="s">
        <v>364</v>
      </c>
      <c r="F74" s="33" t="s">
        <v>354</v>
      </c>
    </row>
    <row r="76" spans="3:6" x14ac:dyDescent="0.15">
      <c r="D76" s="37" t="s">
        <v>364</v>
      </c>
      <c r="F76" s="26" t="s">
        <v>365</v>
      </c>
    </row>
    <row r="77" spans="3:6" x14ac:dyDescent="0.15">
      <c r="D77" s="38" t="s">
        <v>70</v>
      </c>
      <c r="F77" s="26" t="s">
        <v>70</v>
      </c>
    </row>
    <row r="78" spans="3:6" x14ac:dyDescent="0.15">
      <c r="D78" s="38" t="s">
        <v>71</v>
      </c>
      <c r="F78" s="26" t="s">
        <v>366</v>
      </c>
    </row>
    <row r="79" spans="3:6" x14ac:dyDescent="0.15">
      <c r="D79" s="38" t="s">
        <v>72</v>
      </c>
      <c r="F79" s="26" t="s">
        <v>73</v>
      </c>
    </row>
    <row r="80" spans="3:6" x14ac:dyDescent="0.15">
      <c r="D80" s="38" t="s">
        <v>74</v>
      </c>
      <c r="F80" s="26" t="s">
        <v>75</v>
      </c>
    </row>
    <row r="82" spans="3:6" ht="11.25" x14ac:dyDescent="0.15">
      <c r="C82" s="33" t="s">
        <v>367</v>
      </c>
      <c r="F82" s="33" t="s">
        <v>354</v>
      </c>
    </row>
    <row r="84" spans="3:6" x14ac:dyDescent="0.15">
      <c r="D84" s="37" t="s">
        <v>367</v>
      </c>
      <c r="F84" s="26" t="s">
        <v>368</v>
      </c>
    </row>
    <row r="85" spans="3:6" x14ac:dyDescent="0.15">
      <c r="D85" s="38" t="s">
        <v>76</v>
      </c>
      <c r="F85" s="26" t="s">
        <v>77</v>
      </c>
    </row>
    <row r="86" spans="3:6" x14ac:dyDescent="0.15">
      <c r="D86" s="38" t="s">
        <v>69</v>
      </c>
      <c r="F86" s="26" t="s">
        <v>78</v>
      </c>
    </row>
    <row r="87" spans="3:6" x14ac:dyDescent="0.15">
      <c r="D87" s="38" t="s">
        <v>68</v>
      </c>
      <c r="F87" s="26" t="s">
        <v>79</v>
      </c>
    </row>
    <row r="88" spans="3:6" x14ac:dyDescent="0.15">
      <c r="D88" s="38" t="s">
        <v>55</v>
      </c>
      <c r="F88" s="26" t="s">
        <v>80</v>
      </c>
    </row>
    <row r="90" spans="3:6" ht="11.25" x14ac:dyDescent="0.15">
      <c r="C90" s="33" t="s">
        <v>369</v>
      </c>
      <c r="F90" s="33" t="s">
        <v>354</v>
      </c>
    </row>
    <row r="92" spans="3:6" x14ac:dyDescent="0.15">
      <c r="D92" s="37" t="s">
        <v>369</v>
      </c>
      <c r="F92" s="26" t="s">
        <v>81</v>
      </c>
    </row>
    <row r="93" spans="3:6" x14ac:dyDescent="0.15">
      <c r="D93" s="39">
        <v>1</v>
      </c>
      <c r="F93" s="26" t="s">
        <v>82</v>
      </c>
    </row>
    <row r="94" spans="3:6" x14ac:dyDescent="0.15">
      <c r="D94" s="39">
        <v>2</v>
      </c>
      <c r="F94" s="26" t="s">
        <v>83</v>
      </c>
    </row>
    <row r="95" spans="3:6" x14ac:dyDescent="0.15">
      <c r="D95" s="39">
        <v>4</v>
      </c>
      <c r="F95" s="26" t="s">
        <v>84</v>
      </c>
    </row>
    <row r="96" spans="3:6" x14ac:dyDescent="0.15">
      <c r="D96" s="39">
        <v>12</v>
      </c>
      <c r="F96" s="26" t="s">
        <v>85</v>
      </c>
    </row>
    <row r="98" spans="3:6" ht="11.25" x14ac:dyDescent="0.15">
      <c r="C98" s="33" t="s">
        <v>370</v>
      </c>
      <c r="F98" s="33" t="s">
        <v>354</v>
      </c>
    </row>
    <row r="100" spans="3:6" x14ac:dyDescent="0.15">
      <c r="D100" s="37" t="s">
        <v>370</v>
      </c>
    </row>
    <row r="101" spans="3:6" x14ac:dyDescent="0.15">
      <c r="D101" s="39">
        <v>10</v>
      </c>
      <c r="F101" s="26" t="s">
        <v>97</v>
      </c>
    </row>
    <row r="102" spans="3:6" x14ac:dyDescent="0.15">
      <c r="D102" s="39">
        <v>100</v>
      </c>
      <c r="F102" s="26" t="s">
        <v>98</v>
      </c>
    </row>
    <row r="103" spans="3:6" x14ac:dyDescent="0.15">
      <c r="D103" s="39">
        <v>1000</v>
      </c>
      <c r="F103" s="26" t="s">
        <v>99</v>
      </c>
    </row>
    <row r="104" spans="3:6" x14ac:dyDescent="0.15">
      <c r="D104" s="39">
        <v>1000000</v>
      </c>
      <c r="F104" s="26" t="s">
        <v>100</v>
      </c>
    </row>
    <row r="105" spans="3:6" x14ac:dyDescent="0.15">
      <c r="D105" s="39">
        <v>1000000000</v>
      </c>
      <c r="F105" s="26" t="s">
        <v>101</v>
      </c>
    </row>
  </sheetData>
  <sheetProtection sheet="1" objects="1" scenarios="1"/>
  <mergeCells count="1">
    <mergeCell ref="B3:D3"/>
  </mergeCells>
  <hyperlinks>
    <hyperlink ref="B3" location="HL_Home" tooltip="Go to Table of Contents" display="HL_Home" xr:uid="{00000000-0004-0000-2500-000000000000}"/>
    <hyperlink ref="A4" location="$B$5" tooltip="Go to Top of Sheet" display="$B$5" xr:uid="{00000000-0004-0000-2500-000001000000}"/>
    <hyperlink ref="B4" location="HL_Sheet_Main_40" tooltip="Go to Previous Sheet" display="HL_Sheet_Main_40" xr:uid="{00000000-0004-0000-2500-000002000000}"/>
    <hyperlink ref="C4" location="HL_Sheet_Main_42" tooltip="Go to Next Sheet" display="HL_Sheet_Main_42" xr:uid="{00000000-0004-0000-2500-000003000000}"/>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autoPageBreaks="0"/>
  </sheetPr>
  <dimension ref="A1:F13"/>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x14ac:dyDescent="0.15">
      <c r="B1" s="1" t="s">
        <v>419</v>
      </c>
    </row>
    <row r="2" spans="1:6" ht="15" x14ac:dyDescent="0.15">
      <c r="B2" s="2" t="str">
        <f ca="1">Model_Name</f>
        <v>Example Best Practice Model 6.1</v>
      </c>
    </row>
    <row r="3" spans="1:6" x14ac:dyDescent="0.15">
      <c r="B3" s="270" t="s">
        <v>48</v>
      </c>
      <c r="C3" s="270"/>
      <c r="D3" s="270"/>
    </row>
    <row r="4" spans="1:6" ht="12.75" x14ac:dyDescent="0.15">
      <c r="A4" s="10" t="s">
        <v>51</v>
      </c>
      <c r="B4" s="11" t="s">
        <v>53</v>
      </c>
      <c r="C4" s="12" t="s">
        <v>102</v>
      </c>
    </row>
    <row r="7" spans="1:6" s="15" customFormat="1" ht="12.75" x14ac:dyDescent="0.15">
      <c r="B7" s="99" t="str">
        <f>B1</f>
        <v>Capital - Lookup Tables</v>
      </c>
    </row>
    <row r="8" spans="1:6" s="15" customFormat="1" x14ac:dyDescent="0.15"/>
    <row r="9" spans="1:6" s="15" customFormat="1" ht="11.25" x14ac:dyDescent="0.15">
      <c r="C9" s="93" t="s">
        <v>280</v>
      </c>
      <c r="F9" s="93" t="s">
        <v>54</v>
      </c>
    </row>
    <row r="10" spans="1:6" s="15" customFormat="1" x14ac:dyDescent="0.15"/>
    <row r="11" spans="1:6" s="15" customFormat="1" x14ac:dyDescent="0.15">
      <c r="D11" s="102" t="s">
        <v>281</v>
      </c>
      <c r="F11" s="6" t="s">
        <v>282</v>
      </c>
    </row>
    <row r="12" spans="1:6" s="15" customFormat="1" x14ac:dyDescent="0.15">
      <c r="D12" s="103" t="s">
        <v>283</v>
      </c>
    </row>
    <row r="13" spans="1:6" s="15" customFormat="1" x14ac:dyDescent="0.15">
      <c r="D13" s="103" t="s">
        <v>284</v>
      </c>
    </row>
  </sheetData>
  <sheetProtection sheet="1" objects="1" scenarios="1"/>
  <mergeCells count="1">
    <mergeCell ref="B3:D3"/>
  </mergeCells>
  <hyperlinks>
    <hyperlink ref="B3" location="HL_Home" tooltip="Go to Table of Contents" display="HL_Home" xr:uid="{00000000-0004-0000-2600-000000000000}"/>
    <hyperlink ref="A4" location="$B$5" tooltip="Go to Top of Sheet" display="$B$5" xr:uid="{00000000-0004-0000-2600-000001000000}"/>
    <hyperlink ref="B4" location="HL_Lookup_sheet_Example" tooltip="Go to Previous Sheet" display="HL_Lookup_sheet_Example" xr:uid="{00000000-0004-0000-2600-000002000000}"/>
    <hyperlink ref="C4" location="HL_Sheet_Main_27" tooltip="Go to Next Sheet" display="HL_Sheet_Main_27" xr:uid="{00000000-0004-0000-2600-000003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218</v>
      </c>
    </row>
    <row r="10" spans="3:7" ht="16.5" x14ac:dyDescent="0.15">
      <c r="C10" s="27" t="s">
        <v>207</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219</v>
      </c>
    </row>
    <row r="19" spans="3:3" x14ac:dyDescent="0.15">
      <c r="C19" s="26" t="s">
        <v>316</v>
      </c>
    </row>
    <row r="20" spans="3:3" x14ac:dyDescent="0.15">
      <c r="C20" s="26"/>
    </row>
  </sheetData>
  <sheetProtection sheet="1" objects="1" scenarios="1"/>
  <mergeCells count="1">
    <mergeCell ref="C12:G12"/>
  </mergeCells>
  <hyperlinks>
    <hyperlink ref="C12" location="HL_Home" tooltip="Go to Table of Contents" display="HL_Home" xr:uid="{00000000-0004-0000-0300-000000000000}"/>
    <hyperlink ref="C13" location="HL_Section_cover_sheet_Example" tooltip="Go to Previous Sheet" display="HL_Section_cover_sheet_Example" xr:uid="{00000000-0004-0000-0300-000001000000}"/>
    <hyperlink ref="D13" location="HL_Sheet_Main" tooltip="Go to Next Sheet" display="HL_Sheet_Main" xr:uid="{00000000-0004-0000-0300-00000200000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autoPageBreaks="0"/>
  </sheetPr>
  <dimension ref="A1:F19"/>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ColWidth="11.83203125" defaultRowHeight="10.5" x14ac:dyDescent="0.15"/>
  <cols>
    <col min="1" max="3" width="3.83203125" customWidth="1"/>
    <col min="4" max="4" width="35.83203125" customWidth="1"/>
    <col min="5" max="5" width="3.83203125" customWidth="1"/>
    <col min="6" max="6" width="35.83203125" customWidth="1"/>
    <col min="7" max="7" width="3.83203125" customWidth="1"/>
  </cols>
  <sheetData>
    <row r="1" spans="1:6" ht="18" x14ac:dyDescent="0.15">
      <c r="B1" s="1" t="s">
        <v>468</v>
      </c>
    </row>
    <row r="2" spans="1:6" ht="15" x14ac:dyDescent="0.15">
      <c r="B2" s="2" t="str">
        <f ca="1">Model_Name</f>
        <v>Example Best Practice Model 6.1</v>
      </c>
    </row>
    <row r="3" spans="1:6" x14ac:dyDescent="0.15">
      <c r="B3" s="270" t="s">
        <v>48</v>
      </c>
      <c r="C3" s="270"/>
      <c r="D3" s="270"/>
    </row>
    <row r="4" spans="1:6" ht="12.75" x14ac:dyDescent="0.15">
      <c r="A4" s="10" t="s">
        <v>51</v>
      </c>
      <c r="B4" s="11" t="s">
        <v>53</v>
      </c>
    </row>
    <row r="7" spans="1:6" ht="12.75" x14ac:dyDescent="0.15">
      <c r="B7" s="32" t="s">
        <v>471</v>
      </c>
    </row>
    <row r="9" spans="1:6" ht="11.25" x14ac:dyDescent="0.15">
      <c r="C9" s="33" t="s">
        <v>470</v>
      </c>
      <c r="F9" s="33" t="s">
        <v>354</v>
      </c>
    </row>
    <row r="11" spans="1:6" x14ac:dyDescent="0.15">
      <c r="D11" s="37" t="s">
        <v>469</v>
      </c>
      <c r="F11" s="112" t="s">
        <v>472</v>
      </c>
    </row>
    <row r="12" spans="1:6" x14ac:dyDescent="0.15">
      <c r="D12" s="159" t="str">
        <f>IF(TS_Periodicity=Annual,IS_All_TO!J$7,IS_All_TO!J$6)</f>
        <v xml:space="preserve">2010 (A) </v>
      </c>
      <c r="F12" s="112"/>
    </row>
    <row r="13" spans="1:6" x14ac:dyDescent="0.15">
      <c r="D13" s="159" t="str">
        <f>IF(TS_Periodicity=Annual,IS_All_TO!K$7,IS_All_TO!K$6)</f>
        <v xml:space="preserve">2011 (A) </v>
      </c>
      <c r="F13" s="112"/>
    </row>
    <row r="14" spans="1:6" x14ac:dyDescent="0.15">
      <c r="D14" s="159" t="str">
        <f>IF(TS_Periodicity=Annual,IS_All_TO!L$7,IS_All_TO!L$6)</f>
        <v xml:space="preserve">2012 (A) </v>
      </c>
      <c r="F14" s="112"/>
    </row>
    <row r="15" spans="1:6" x14ac:dyDescent="0.15">
      <c r="D15" s="159" t="str">
        <f>IF(TS_Periodicity=Annual,IS_All_TO!M$7,IS_All_TO!M$6)</f>
        <v xml:space="preserve">2013 (F) </v>
      </c>
      <c r="F15" s="112"/>
    </row>
    <row r="16" spans="1:6" x14ac:dyDescent="0.15">
      <c r="D16" s="159" t="str">
        <f>IF(TS_Periodicity=Annual,IS_All_TO!N$7,IS_All_TO!N$6)</f>
        <v xml:space="preserve">2014 (F) </v>
      </c>
      <c r="F16" s="112"/>
    </row>
    <row r="17" spans="4:6" x14ac:dyDescent="0.15">
      <c r="D17" s="159" t="str">
        <f>IF(TS_Periodicity=Annual,IS_All_TO!O$7,IS_All_TO!O$6)</f>
        <v xml:space="preserve">2015 (F) </v>
      </c>
      <c r="F17" s="112"/>
    </row>
    <row r="18" spans="4:6" x14ac:dyDescent="0.15">
      <c r="D18" s="159" t="str">
        <f>IF(TS_Periodicity=Annual,IS_All_TO!P$7,IS_All_TO!P$6)</f>
        <v xml:space="preserve">2016 (F) </v>
      </c>
      <c r="F18" s="112"/>
    </row>
    <row r="19" spans="4:6" x14ac:dyDescent="0.15">
      <c r="D19" s="159" t="str">
        <f>IF(TS_Periodicity=Annual,IS_All_TO!Q$7,IS_All_TO!Q$6)</f>
        <v xml:space="preserve">2017 (F) </v>
      </c>
      <c r="F19" s="112"/>
    </row>
  </sheetData>
  <sheetProtection sheet="1" objects="1" scenarios="1"/>
  <mergeCells count="1">
    <mergeCell ref="B3:D3"/>
  </mergeCells>
  <hyperlinks>
    <hyperlink ref="B3" location="HL_Home" tooltip="Go to Table of Contents" display="HL_Home" xr:uid="{00000000-0004-0000-2700-000000000000}"/>
    <hyperlink ref="A4" location="$B$5" tooltip="Go to Top of Sheet" display="$B$5" xr:uid="{00000000-0004-0000-2700-000001000000}"/>
    <hyperlink ref="B4" location="HL_Sheet_Main_42" tooltip="Go to Previous Sheet" display="HL_Sheet_Main_42" xr:uid="{00000000-0004-0000-27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fitToPage="1"/>
  </sheetPr>
  <dimension ref="A1:M42"/>
  <sheetViews>
    <sheetView showGridLines="0" zoomScaleNormal="100" zoomScaleSheetLayoutView="70" workbookViewId="0">
      <pane xSplit="1" ySplit="4" topLeftCell="B5" activePane="bottomRight" state="frozen"/>
      <selection activeCell="D23" sqref="D23:N24"/>
      <selection pane="topRight" activeCell="D23" sqref="D23:N24"/>
      <selection pane="bottomLeft" activeCell="D23" sqref="D23:N24"/>
      <selection pane="bottomRight" activeCell="H13" sqref="H13"/>
    </sheetView>
  </sheetViews>
  <sheetFormatPr defaultRowHeight="10.5" x14ac:dyDescent="0.15"/>
  <cols>
    <col min="1" max="5" width="3.83203125" customWidth="1"/>
    <col min="6" max="251" width="11.83203125" customWidth="1"/>
  </cols>
  <sheetData>
    <row r="1" spans="1:13" ht="18" x14ac:dyDescent="0.15">
      <c r="B1" s="1" t="s">
        <v>431</v>
      </c>
    </row>
    <row r="2" spans="1:13" ht="15" x14ac:dyDescent="0.15">
      <c r="B2" s="2" t="str">
        <f ca="1">Model_Name</f>
        <v>Example Best Practice Model 6.1</v>
      </c>
    </row>
    <row r="3" spans="1:13" x14ac:dyDescent="0.15">
      <c r="B3" s="270" t="s">
        <v>48</v>
      </c>
      <c r="C3" s="270"/>
      <c r="D3" s="270"/>
      <c r="E3" s="270"/>
      <c r="F3" s="270"/>
    </row>
    <row r="4" spans="1:13" ht="12.75" x14ac:dyDescent="0.15">
      <c r="A4" s="10" t="s">
        <v>51</v>
      </c>
      <c r="B4" s="11" t="s">
        <v>53</v>
      </c>
      <c r="C4" s="12" t="s">
        <v>102</v>
      </c>
      <c r="D4" s="265" t="s">
        <v>220</v>
      </c>
      <c r="E4" s="265" t="s">
        <v>221</v>
      </c>
      <c r="F4" s="13" t="s">
        <v>222</v>
      </c>
    </row>
    <row r="7" spans="1:13" s="15" customFormat="1" ht="12.75" x14ac:dyDescent="0.15">
      <c r="C7" s="7" t="s">
        <v>223</v>
      </c>
      <c r="D7" s="17"/>
      <c r="E7" s="17"/>
      <c r="F7" s="17"/>
      <c r="G7" s="7" t="s">
        <v>218</v>
      </c>
      <c r="H7" s="17"/>
      <c r="I7" s="17"/>
      <c r="J7" s="17"/>
      <c r="K7" s="17"/>
      <c r="L7" s="17"/>
      <c r="M7" s="17"/>
    </row>
    <row r="8" spans="1:13" s="15" customFormat="1" ht="5.0999999999999996" customHeight="1" x14ac:dyDescent="0.15"/>
    <row r="9" spans="1:13" s="15" customFormat="1" ht="11.25" customHeight="1" x14ac:dyDescent="0.15">
      <c r="C9" s="289" t="s">
        <v>224</v>
      </c>
      <c r="D9" s="289"/>
      <c r="E9" s="289"/>
      <c r="F9" s="289"/>
      <c r="G9" s="296" t="s">
        <v>964</v>
      </c>
      <c r="H9" s="296"/>
      <c r="I9" s="296"/>
      <c r="J9" s="296"/>
      <c r="K9" s="296"/>
      <c r="L9" s="296"/>
      <c r="M9" s="296"/>
    </row>
    <row r="10" spans="1:13" s="15" customFormat="1" ht="11.25" customHeight="1" x14ac:dyDescent="0.15">
      <c r="C10" s="289"/>
      <c r="D10" s="289"/>
      <c r="E10" s="289"/>
      <c r="F10" s="289"/>
      <c r="G10" s="296"/>
      <c r="H10" s="296"/>
      <c r="I10" s="296"/>
      <c r="J10" s="296"/>
      <c r="K10" s="296"/>
      <c r="L10" s="296"/>
      <c r="M10" s="296"/>
    </row>
    <row r="11" spans="1:13" s="15" customFormat="1" ht="5.0999999999999996" customHeight="1" x14ac:dyDescent="0.15">
      <c r="C11" s="288"/>
      <c r="D11" s="288"/>
      <c r="E11" s="288"/>
      <c r="F11" s="288"/>
      <c r="G11" s="183"/>
      <c r="H11" s="183"/>
      <c r="I11" s="183"/>
      <c r="J11" s="183"/>
      <c r="K11" s="183"/>
      <c r="L11" s="183"/>
      <c r="M11" s="183"/>
    </row>
    <row r="12" spans="1:13" s="15" customFormat="1" ht="11.25" customHeight="1" x14ac:dyDescent="0.15">
      <c r="C12" s="289" t="s">
        <v>225</v>
      </c>
      <c r="D12" s="289"/>
      <c r="E12" s="289"/>
      <c r="F12" s="289"/>
      <c r="G12" s="296" t="s">
        <v>965</v>
      </c>
      <c r="H12" s="296"/>
      <c r="I12" s="296"/>
      <c r="J12" s="296"/>
      <c r="K12" s="296"/>
      <c r="L12" s="296"/>
      <c r="M12" s="296"/>
    </row>
    <row r="13" spans="1:13" s="15" customFormat="1" ht="5.0999999999999996" customHeight="1" x14ac:dyDescent="0.15">
      <c r="C13" s="288"/>
      <c r="D13" s="288"/>
      <c r="E13" s="288"/>
      <c r="F13" s="288"/>
      <c r="G13" s="183"/>
      <c r="H13" s="183"/>
      <c r="I13" s="183"/>
      <c r="J13" s="183"/>
      <c r="K13" s="183"/>
      <c r="L13" s="183"/>
      <c r="M13" s="183"/>
    </row>
    <row r="14" spans="1:13" s="15" customFormat="1" ht="11.25" customHeight="1" x14ac:dyDescent="0.15">
      <c r="C14" s="289" t="s">
        <v>226</v>
      </c>
      <c r="D14" s="289"/>
      <c r="E14" s="289"/>
      <c r="F14" s="289"/>
      <c r="G14" s="296" t="s">
        <v>543</v>
      </c>
      <c r="H14" s="296"/>
      <c r="I14" s="296"/>
      <c r="J14" s="296"/>
      <c r="K14" s="296"/>
      <c r="L14" s="296"/>
      <c r="M14" s="296"/>
    </row>
    <row r="15" spans="1:13" s="15" customFormat="1" ht="5.0999999999999996" customHeight="1" x14ac:dyDescent="0.15">
      <c r="C15" s="288"/>
      <c r="D15" s="288"/>
      <c r="E15" s="288"/>
      <c r="F15" s="288"/>
      <c r="G15" s="183"/>
      <c r="H15" s="183"/>
      <c r="I15" s="183"/>
      <c r="J15" s="183"/>
      <c r="K15" s="183"/>
      <c r="L15" s="183"/>
      <c r="M15" s="183"/>
    </row>
    <row r="16" spans="1:13" s="15" customFormat="1" ht="11.25" customHeight="1" x14ac:dyDescent="0.15">
      <c r="C16" s="289" t="s">
        <v>227</v>
      </c>
      <c r="D16" s="289"/>
      <c r="E16" s="289"/>
      <c r="F16" s="289"/>
      <c r="G16" s="296" t="s">
        <v>966</v>
      </c>
      <c r="H16" s="296"/>
      <c r="I16" s="296"/>
      <c r="J16" s="296"/>
      <c r="K16" s="296"/>
      <c r="L16" s="296"/>
      <c r="M16" s="296"/>
    </row>
    <row r="17" spans="3:13" s="15" customFormat="1" ht="11.25" customHeight="1" x14ac:dyDescent="0.15">
      <c r="C17" s="289"/>
      <c r="D17" s="289"/>
      <c r="E17" s="289"/>
      <c r="F17" s="289"/>
      <c r="G17" s="296"/>
      <c r="H17" s="296"/>
      <c r="I17" s="296"/>
      <c r="J17" s="296"/>
      <c r="K17" s="296"/>
      <c r="L17" s="296"/>
      <c r="M17" s="296"/>
    </row>
    <row r="18" spans="3:13" s="15" customFormat="1" ht="5.0999999999999996" customHeight="1" x14ac:dyDescent="0.15">
      <c r="C18" s="295"/>
      <c r="D18" s="295"/>
      <c r="E18" s="295"/>
      <c r="F18" s="295"/>
      <c r="G18" s="183"/>
      <c r="H18" s="183"/>
      <c r="I18" s="183"/>
      <c r="J18" s="183"/>
      <c r="K18" s="183"/>
      <c r="L18" s="183"/>
      <c r="M18" s="183"/>
    </row>
    <row r="19" spans="3:13" s="15" customFormat="1" ht="11.25" customHeight="1" x14ac:dyDescent="0.15">
      <c r="C19" s="289" t="s">
        <v>228</v>
      </c>
      <c r="D19" s="289"/>
      <c r="E19" s="289"/>
      <c r="F19" s="289"/>
      <c r="G19" s="296" t="s">
        <v>310</v>
      </c>
      <c r="H19" s="296"/>
      <c r="I19" s="296"/>
      <c r="J19" s="296"/>
      <c r="K19" s="296"/>
      <c r="L19" s="296"/>
      <c r="M19" s="296"/>
    </row>
    <row r="20" spans="3:13" s="15" customFormat="1" ht="11.25" customHeight="1" x14ac:dyDescent="0.15">
      <c r="C20" s="289"/>
      <c r="D20" s="289"/>
      <c r="E20" s="289"/>
      <c r="F20" s="289"/>
      <c r="G20" s="296"/>
      <c r="H20" s="296"/>
      <c r="I20" s="296"/>
      <c r="J20" s="296"/>
      <c r="K20" s="296"/>
      <c r="L20" s="296"/>
      <c r="M20" s="296"/>
    </row>
    <row r="21" spans="3:13" s="15" customFormat="1" ht="11.25" customHeight="1" x14ac:dyDescent="0.15">
      <c r="C21" s="289"/>
      <c r="D21" s="289"/>
      <c r="E21" s="289"/>
      <c r="F21" s="289"/>
      <c r="G21" s="296"/>
      <c r="H21" s="296"/>
      <c r="I21" s="296"/>
      <c r="J21" s="296"/>
      <c r="K21" s="296"/>
      <c r="L21" s="296"/>
      <c r="M21" s="296"/>
    </row>
    <row r="22" spans="3:13" s="15" customFormat="1" ht="11.25" customHeight="1" x14ac:dyDescent="0.15">
      <c r="C22" s="297"/>
      <c r="D22" s="297"/>
      <c r="E22" s="297"/>
      <c r="F22" s="297"/>
      <c r="G22" s="296"/>
      <c r="H22" s="296"/>
      <c r="I22" s="296"/>
      <c r="J22" s="296"/>
      <c r="K22" s="296"/>
      <c r="L22" s="296"/>
      <c r="M22" s="296"/>
    </row>
    <row r="23" spans="3:13" s="15" customFormat="1" ht="5.0999999999999996" customHeight="1" x14ac:dyDescent="0.15">
      <c r="C23" s="288"/>
      <c r="D23" s="288"/>
      <c r="E23" s="288"/>
      <c r="F23" s="288"/>
      <c r="G23" s="184"/>
      <c r="H23" s="184"/>
      <c r="I23" s="184"/>
      <c r="J23" s="184"/>
      <c r="K23" s="184"/>
      <c r="L23" s="184"/>
      <c r="M23" s="184"/>
    </row>
    <row r="24" spans="3:13" s="15" customFormat="1" ht="10.5" customHeight="1" x14ac:dyDescent="0.15">
      <c r="C24" s="289" t="s">
        <v>229</v>
      </c>
      <c r="D24" s="289"/>
      <c r="E24" s="289"/>
      <c r="F24" s="289"/>
      <c r="G24" s="296" t="s">
        <v>311</v>
      </c>
      <c r="H24" s="296"/>
      <c r="I24" s="296"/>
      <c r="J24" s="296"/>
      <c r="K24" s="296"/>
      <c r="L24" s="296"/>
      <c r="M24" s="296"/>
    </row>
    <row r="25" spans="3:13" s="15" customFormat="1" ht="11.25" x14ac:dyDescent="0.15">
      <c r="C25" s="297"/>
      <c r="D25" s="297"/>
      <c r="E25" s="297"/>
      <c r="F25" s="297"/>
      <c r="G25" s="296"/>
      <c r="H25" s="296"/>
      <c r="I25" s="296"/>
      <c r="J25" s="296"/>
      <c r="K25" s="296"/>
      <c r="L25" s="296"/>
      <c r="M25" s="296"/>
    </row>
    <row r="26" spans="3:13" s="15" customFormat="1" ht="11.25" x14ac:dyDescent="0.15">
      <c r="C26" s="297"/>
      <c r="D26" s="297"/>
      <c r="E26" s="297"/>
      <c r="F26" s="297"/>
      <c r="G26" s="296"/>
      <c r="H26" s="296"/>
      <c r="I26" s="296"/>
      <c r="J26" s="296"/>
      <c r="K26" s="296"/>
      <c r="L26" s="296"/>
      <c r="M26" s="296"/>
    </row>
    <row r="27" spans="3:13" s="15" customFormat="1" ht="11.25" x14ac:dyDescent="0.15">
      <c r="C27" s="297"/>
      <c r="D27" s="297"/>
      <c r="E27" s="297"/>
      <c r="F27" s="297"/>
      <c r="G27" s="296"/>
      <c r="H27" s="296"/>
      <c r="I27" s="296"/>
      <c r="J27" s="296"/>
      <c r="K27" s="296"/>
      <c r="L27" s="296"/>
      <c r="M27" s="296"/>
    </row>
    <row r="28" spans="3:13" s="15" customFormat="1" x14ac:dyDescent="0.15">
      <c r="C28" s="288"/>
      <c r="D28" s="288"/>
      <c r="E28" s="288"/>
      <c r="F28" s="288"/>
      <c r="G28" s="296"/>
      <c r="H28" s="296"/>
      <c r="I28" s="296"/>
      <c r="J28" s="296"/>
      <c r="K28" s="296"/>
      <c r="L28" s="296"/>
      <c r="M28" s="296"/>
    </row>
    <row r="29" spans="3:13" s="15" customFormat="1" ht="5.0999999999999996" customHeight="1" x14ac:dyDescent="0.15">
      <c r="C29" s="288"/>
      <c r="D29" s="288"/>
      <c r="E29" s="288"/>
      <c r="F29" s="288"/>
      <c r="G29" s="184"/>
      <c r="H29" s="184"/>
      <c r="I29" s="184"/>
      <c r="J29" s="184"/>
      <c r="K29" s="184"/>
      <c r="L29" s="184"/>
      <c r="M29" s="184"/>
    </row>
    <row r="30" spans="3:13" s="15" customFormat="1" x14ac:dyDescent="0.15">
      <c r="C30" s="289" t="s">
        <v>230</v>
      </c>
      <c r="D30" s="289"/>
      <c r="E30" s="289"/>
      <c r="F30" s="289"/>
      <c r="G30" s="290" t="s">
        <v>231</v>
      </c>
      <c r="H30" s="290"/>
      <c r="I30" s="294" t="s">
        <v>312</v>
      </c>
      <c r="J30" s="294"/>
      <c r="K30" s="294"/>
      <c r="L30" s="294"/>
      <c r="M30" s="294"/>
    </row>
    <row r="31" spans="3:13" s="15" customFormat="1" x14ac:dyDescent="0.15">
      <c r="C31" s="288"/>
      <c r="D31" s="288"/>
      <c r="E31" s="288"/>
      <c r="F31" s="288"/>
      <c r="G31" s="293"/>
      <c r="H31" s="293"/>
      <c r="I31" s="290" t="s">
        <v>232</v>
      </c>
      <c r="J31" s="290"/>
      <c r="K31" s="290"/>
      <c r="L31" s="290"/>
      <c r="M31" s="290"/>
    </row>
    <row r="32" spans="3:13" s="15" customFormat="1" x14ac:dyDescent="0.15">
      <c r="C32" s="288"/>
      <c r="D32" s="288"/>
      <c r="E32" s="288"/>
      <c r="F32" s="288"/>
      <c r="G32" s="293"/>
      <c r="H32" s="293"/>
      <c r="I32" s="290" t="s">
        <v>233</v>
      </c>
      <c r="J32" s="290"/>
      <c r="K32" s="290"/>
      <c r="L32" s="290"/>
      <c r="M32" s="290"/>
    </row>
    <row r="33" spans="3:13" s="15" customFormat="1" x14ac:dyDescent="0.15">
      <c r="C33" s="288"/>
      <c r="D33" s="288"/>
      <c r="E33" s="288"/>
      <c r="F33" s="288"/>
      <c r="G33" s="293"/>
      <c r="H33" s="293"/>
      <c r="I33" s="290" t="s">
        <v>234</v>
      </c>
      <c r="J33" s="290"/>
      <c r="K33" s="290"/>
      <c r="L33" s="290"/>
      <c r="M33" s="290"/>
    </row>
    <row r="34" spans="3:13" s="15" customFormat="1" ht="5.0999999999999996" customHeight="1" x14ac:dyDescent="0.15">
      <c r="C34" s="288"/>
      <c r="D34" s="288"/>
      <c r="E34" s="288"/>
      <c r="F34" s="288"/>
      <c r="G34" s="293"/>
      <c r="H34" s="293"/>
      <c r="I34" s="288"/>
      <c r="J34" s="288"/>
      <c r="K34" s="288"/>
      <c r="L34" s="288"/>
      <c r="M34" s="288"/>
    </row>
    <row r="35" spans="3:13" s="15" customFormat="1" x14ac:dyDescent="0.15">
      <c r="C35" s="288"/>
      <c r="D35" s="288"/>
      <c r="E35" s="288"/>
      <c r="F35" s="288"/>
      <c r="G35" s="290" t="s">
        <v>235</v>
      </c>
      <c r="H35" s="290"/>
      <c r="I35" s="292" t="s">
        <v>236</v>
      </c>
      <c r="J35" s="292"/>
      <c r="K35" s="292"/>
      <c r="L35" s="292"/>
      <c r="M35" s="292"/>
    </row>
    <row r="36" spans="3:13" s="15" customFormat="1" x14ac:dyDescent="0.15">
      <c r="C36" s="288"/>
      <c r="D36" s="288"/>
      <c r="E36" s="288"/>
      <c r="F36" s="288"/>
      <c r="G36" s="290" t="s">
        <v>237</v>
      </c>
      <c r="H36" s="290"/>
      <c r="I36" s="291" t="s">
        <v>46</v>
      </c>
      <c r="J36" s="291"/>
      <c r="K36" s="291"/>
      <c r="L36" s="291"/>
      <c r="M36" s="291"/>
    </row>
    <row r="37" spans="3:13" s="15" customFormat="1" x14ac:dyDescent="0.15">
      <c r="C37" s="288"/>
      <c r="D37" s="288"/>
      <c r="E37" s="288"/>
      <c r="F37" s="288"/>
      <c r="G37" s="290" t="s">
        <v>238</v>
      </c>
      <c r="H37" s="290"/>
      <c r="I37" s="291" t="s">
        <v>596</v>
      </c>
      <c r="J37" s="291"/>
      <c r="K37" s="291"/>
      <c r="L37" s="291"/>
      <c r="M37" s="291"/>
    </row>
    <row r="38" spans="3:13" s="15" customFormat="1" ht="5.0999999999999996" customHeight="1" x14ac:dyDescent="0.15">
      <c r="C38" s="288"/>
      <c r="D38" s="288"/>
      <c r="E38" s="288"/>
      <c r="F38" s="288"/>
      <c r="G38" s="184"/>
      <c r="H38" s="184"/>
      <c r="I38" s="184"/>
      <c r="J38" s="184"/>
      <c r="K38" s="184"/>
      <c r="L38" s="184"/>
      <c r="M38" s="184"/>
    </row>
    <row r="39" spans="3:13" s="15" customFormat="1" x14ac:dyDescent="0.15">
      <c r="C39" s="288"/>
      <c r="D39" s="288"/>
      <c r="E39" s="288"/>
      <c r="F39" s="288"/>
      <c r="G39" s="290" t="s">
        <v>313</v>
      </c>
      <c r="H39" s="290"/>
      <c r="I39" s="290"/>
      <c r="J39" s="290"/>
      <c r="K39" s="290"/>
      <c r="L39" s="290"/>
      <c r="M39" s="290"/>
    </row>
    <row r="40" spans="3:13" s="15" customFormat="1" ht="5.0999999999999996" customHeight="1" x14ac:dyDescent="0.15">
      <c r="C40" s="288"/>
      <c r="D40" s="288"/>
      <c r="E40" s="288"/>
      <c r="F40" s="288"/>
      <c r="G40" s="184"/>
      <c r="H40" s="184"/>
      <c r="I40" s="184"/>
      <c r="J40" s="184"/>
      <c r="K40" s="184"/>
      <c r="L40" s="184"/>
      <c r="M40" s="184"/>
    </row>
    <row r="41" spans="3:13" s="15" customFormat="1" x14ac:dyDescent="0.15">
      <c r="C41" s="288"/>
      <c r="D41" s="288"/>
      <c r="E41" s="288"/>
      <c r="F41" s="288"/>
      <c r="G41" s="290" t="s">
        <v>239</v>
      </c>
      <c r="H41" s="290"/>
      <c r="I41" s="291" t="s">
        <v>598</v>
      </c>
      <c r="J41" s="291"/>
      <c r="K41" s="291"/>
      <c r="L41" s="291"/>
      <c r="M41" s="291"/>
    </row>
    <row r="42" spans="3:13" s="15" customFormat="1" ht="5.0999999999999996" customHeight="1" x14ac:dyDescent="0.15">
      <c r="C42" s="17"/>
      <c r="D42" s="17"/>
      <c r="E42" s="17"/>
      <c r="F42" s="17"/>
      <c r="G42" s="17"/>
      <c r="H42" s="17"/>
      <c r="I42" s="17"/>
      <c r="J42" s="17"/>
      <c r="K42" s="17"/>
      <c r="L42" s="17"/>
      <c r="M42" s="17"/>
    </row>
  </sheetData>
  <sheetProtection sheet="1" objects="1" scenarios="1"/>
  <mergeCells count="59">
    <mergeCell ref="B3:F3"/>
    <mergeCell ref="G12:M12"/>
    <mergeCell ref="C15:F15"/>
    <mergeCell ref="C16:F16"/>
    <mergeCell ref="G14:M14"/>
    <mergeCell ref="G16:M17"/>
    <mergeCell ref="C9:F9"/>
    <mergeCell ref="C10:F10"/>
    <mergeCell ref="C11:F11"/>
    <mergeCell ref="C12:F12"/>
    <mergeCell ref="C17:F17"/>
    <mergeCell ref="G9:M10"/>
    <mergeCell ref="C13:F13"/>
    <mergeCell ref="C14:F14"/>
    <mergeCell ref="C18:F18"/>
    <mergeCell ref="C19:F19"/>
    <mergeCell ref="C20:F20"/>
    <mergeCell ref="G24:M28"/>
    <mergeCell ref="C21:F21"/>
    <mergeCell ref="C22:F22"/>
    <mergeCell ref="C23:F23"/>
    <mergeCell ref="C24:F24"/>
    <mergeCell ref="C25:F25"/>
    <mergeCell ref="C26:F26"/>
    <mergeCell ref="C27:F27"/>
    <mergeCell ref="C28:F28"/>
    <mergeCell ref="G19:M22"/>
    <mergeCell ref="I30:M30"/>
    <mergeCell ref="I31:M31"/>
    <mergeCell ref="I32:M32"/>
    <mergeCell ref="I33:M33"/>
    <mergeCell ref="I34:M34"/>
    <mergeCell ref="G30:H30"/>
    <mergeCell ref="G31:H31"/>
    <mergeCell ref="G32:H32"/>
    <mergeCell ref="G33:H33"/>
    <mergeCell ref="G34:H34"/>
    <mergeCell ref="G39:M39"/>
    <mergeCell ref="I41:M41"/>
    <mergeCell ref="G41:H41"/>
    <mergeCell ref="G35:H35"/>
    <mergeCell ref="G36:H36"/>
    <mergeCell ref="G37:H37"/>
    <mergeCell ref="I36:M36"/>
    <mergeCell ref="I35:M35"/>
    <mergeCell ref="I37:M37"/>
    <mergeCell ref="C29:F29"/>
    <mergeCell ref="C30:F30"/>
    <mergeCell ref="C31:F31"/>
    <mergeCell ref="C32:F32"/>
    <mergeCell ref="C33:F33"/>
    <mergeCell ref="C34:F34"/>
    <mergeCell ref="C40:F40"/>
    <mergeCell ref="C41:F41"/>
    <mergeCell ref="C35:F35"/>
    <mergeCell ref="C36:F36"/>
    <mergeCell ref="C37:F37"/>
    <mergeCell ref="C38:F38"/>
    <mergeCell ref="C39:F39"/>
  </mergeCells>
  <hyperlinks>
    <hyperlink ref="I36" location="HL_Home" tooltip="Go to Table of Contents" display="HL_Home" xr:uid="{00000000-0004-0000-0400-000000000000}"/>
    <hyperlink ref="I36:J36" r:id="rId1" tooltip="Email BPM." display="Info@bpmglobal.com" xr:uid="{00000000-0004-0000-0400-000001000000}"/>
    <hyperlink ref="I41:M41" r:id="rId2" tooltip="View more examples of best practice models." display="www.bestpracticemodelling.com/downloads/example_models" xr:uid="{00000000-0004-0000-0400-000002000000}"/>
    <hyperlink ref="I37" r:id="rId3" xr:uid="{00000000-0004-0000-0400-000003000000}"/>
    <hyperlink ref="I37:M37" r:id="rId4" tooltip="Go to the home of best practice modelling." display="www.bestpracticemodelling.com" xr:uid="{00000000-0004-0000-0400-000004000000}"/>
    <hyperlink ref="I41" r:id="rId5" xr:uid="{00000000-0004-0000-0400-000005000000}"/>
    <hyperlink ref="B3" location="HL_Home" tooltip="Go to Table of Contents" display="HL_Home" xr:uid="{00000000-0004-0000-0400-000006000000}"/>
    <hyperlink ref="A4" location="$B$5" tooltip="Go to Top of Sheet" display="$B$5" xr:uid="{00000000-0004-0000-0400-000007000000}"/>
    <hyperlink ref="B4" location="HL_Sheet_Main_3" tooltip="Go to Previous Sheet" display="HL_Sheet_Main_3" xr:uid="{00000000-0004-0000-0400-000008000000}"/>
    <hyperlink ref="C4" location="HL_Sheet_Main_6" tooltip="Go to Next Sheet" display="HL_Sheet_Main_6" xr:uid="{00000000-0004-0000-0400-000009000000}"/>
    <hyperlink ref="D4" location="HL_Err_Chk" tooltip="Go to Error Checks" display="HL_Err_Chk" xr:uid="{00000000-0004-0000-0400-00000A000000}"/>
    <hyperlink ref="E4" location="HL_Sens_Chk" tooltip="Go to Sensitivity Checks" display="HL_Sens_Chk" xr:uid="{00000000-0004-0000-0400-00000B000000}"/>
    <hyperlink ref="F4" location="HL_Alt_Chk" tooltip="Go to Alert Checks" display="HL_Alt_Chk" xr:uid="{00000000-0004-0000-0400-00000C000000}"/>
  </hyperlinks>
  <pageMargins left="0.39370078740157483" right="0.39370078740157483" top="0.59055118110236227" bottom="0.98425196850393704" header="0" footer="0.31496062992125984"/>
  <pageSetup paperSize="9" orientation="portrait" horizontalDpi="300" verticalDpi="300" r:id="rId6"/>
  <headerFooter>
    <oddFooter>&amp;L&amp;F
&amp;A
Printed: &amp;T on &amp;D&amp;CPage &amp;P of &amp;N</oddFooter>
  </headerFooter>
  <legacyDrawingHF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CE373"/>
  <sheetViews>
    <sheetView showGridLines="0" zoomScaleNormal="100" zoomScaleSheetLayoutView="100" workbookViewId="0">
      <pane xSplit="1" ySplit="4" topLeftCell="B216" activePane="bottomRight" state="frozen"/>
      <selection activeCell="D23" sqref="D23:N24"/>
      <selection pane="topRight" activeCell="D23" sqref="D23:N24"/>
      <selection pane="bottomLeft" activeCell="D23" sqref="D23:N24"/>
      <selection pane="bottomRight" activeCell="BA268" sqref="BA268"/>
    </sheetView>
  </sheetViews>
  <sheetFormatPr defaultColWidth="2.33203125" defaultRowHeight="10.5" x14ac:dyDescent="0.15"/>
  <cols>
    <col min="1" max="1" width="3.83203125" customWidth="1"/>
    <col min="2" max="2" width="2.33203125" customWidth="1"/>
    <col min="22" max="26" width="2.33203125" style="15"/>
    <col min="83" max="83" width="6.1640625" bestFit="1" customWidth="1"/>
  </cols>
  <sheetData>
    <row r="1" spans="1:83" ht="18" x14ac:dyDescent="0.15">
      <c r="B1" s="1" t="s">
        <v>600</v>
      </c>
    </row>
    <row r="2" spans="1:83" ht="15" x14ac:dyDescent="0.15">
      <c r="B2" s="2" t="str">
        <f ca="1">Model_Name</f>
        <v>Example Best Practice Model 6.1</v>
      </c>
    </row>
    <row r="3" spans="1:83" x14ac:dyDescent="0.15">
      <c r="B3" s="270" t="s">
        <v>48</v>
      </c>
      <c r="C3" s="270"/>
      <c r="D3" s="270"/>
      <c r="E3" s="270"/>
      <c r="F3" s="270"/>
      <c r="G3" s="270"/>
      <c r="H3" s="270"/>
      <c r="I3" s="270"/>
      <c r="J3" s="270"/>
      <c r="K3" s="270"/>
      <c r="L3" s="270"/>
    </row>
    <row r="4" spans="1:83" ht="12.75" x14ac:dyDescent="0.15">
      <c r="A4" s="10" t="s">
        <v>51</v>
      </c>
      <c r="B4" s="298" t="s">
        <v>53</v>
      </c>
      <c r="C4" s="298"/>
      <c r="D4" s="299" t="s">
        <v>102</v>
      </c>
      <c r="E4" s="299"/>
      <c r="F4" s="300" t="s">
        <v>220</v>
      </c>
      <c r="G4" s="300"/>
      <c r="H4" s="300" t="s">
        <v>221</v>
      </c>
      <c r="I4" s="300"/>
      <c r="J4" s="300" t="s">
        <v>222</v>
      </c>
      <c r="K4" s="300"/>
    </row>
    <row r="5" spans="1:83" x14ac:dyDescent="0.15">
      <c r="B5" s="246"/>
      <c r="C5" s="246"/>
      <c r="D5" s="246"/>
      <c r="E5" s="246"/>
      <c r="F5" s="246"/>
      <c r="G5" s="246"/>
      <c r="H5" s="246"/>
      <c r="I5" s="246"/>
      <c r="J5" s="246"/>
      <c r="K5" s="246"/>
      <c r="L5" s="246"/>
      <c r="M5" s="246"/>
      <c r="N5" s="246"/>
      <c r="O5" s="246"/>
      <c r="P5" s="246"/>
      <c r="Q5" s="246"/>
      <c r="R5" s="246"/>
      <c r="S5" s="246"/>
      <c r="T5" s="246"/>
      <c r="U5" s="246"/>
      <c r="V5" s="246"/>
      <c r="W5" s="246"/>
      <c r="X5" s="246"/>
      <c r="Y5" s="246"/>
      <c r="Z5" s="246"/>
      <c r="AA5" s="246"/>
      <c r="AB5" s="246"/>
      <c r="AC5" s="246"/>
      <c r="AD5" s="246"/>
      <c r="AE5" s="246"/>
    </row>
    <row r="6" spans="1:83" x14ac:dyDescent="0.15">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6"/>
      <c r="CE6" s="94"/>
    </row>
    <row r="7" spans="1:83" ht="12.75" x14ac:dyDescent="0.15">
      <c r="B7" s="119" t="s">
        <v>601</v>
      </c>
      <c r="C7" s="119"/>
      <c r="D7" s="246"/>
      <c r="E7" s="246"/>
      <c r="F7" s="246"/>
      <c r="G7" s="246"/>
      <c r="H7" s="246"/>
      <c r="I7" s="119" t="s">
        <v>602</v>
      </c>
      <c r="J7" s="246"/>
      <c r="K7" s="246"/>
      <c r="L7" s="246"/>
      <c r="M7" s="246"/>
      <c r="N7" s="246"/>
      <c r="O7" s="246"/>
      <c r="P7" s="246"/>
      <c r="Q7" s="246"/>
      <c r="R7" s="246"/>
      <c r="S7" s="246"/>
      <c r="T7" s="246"/>
      <c r="U7" s="246"/>
      <c r="V7" s="246"/>
      <c r="W7" s="246"/>
      <c r="X7" s="246"/>
      <c r="Y7" s="246"/>
      <c r="Z7" s="246"/>
      <c r="AA7" s="246"/>
      <c r="AB7" s="246"/>
      <c r="AC7" s="246"/>
      <c r="AD7" s="246"/>
      <c r="AE7" s="246"/>
      <c r="CE7" s="94"/>
    </row>
    <row r="8" spans="1:83" x14ac:dyDescent="0.15">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CE8" s="94"/>
    </row>
    <row r="9" spans="1:83" x14ac:dyDescent="0.15">
      <c r="B9" s="171"/>
      <c r="C9" s="171" t="s">
        <v>603</v>
      </c>
      <c r="D9" s="246"/>
      <c r="E9" s="246"/>
      <c r="F9" s="246"/>
      <c r="G9" s="246"/>
      <c r="H9" s="246"/>
      <c r="I9" s="171" t="s">
        <v>604</v>
      </c>
      <c r="J9" s="246"/>
      <c r="K9" s="246"/>
      <c r="L9" s="246"/>
      <c r="M9" s="246"/>
      <c r="N9" s="246"/>
      <c r="O9" s="246"/>
      <c r="P9" s="246"/>
      <c r="Q9" s="246"/>
      <c r="R9" s="246"/>
      <c r="S9" s="246"/>
      <c r="T9" s="246"/>
      <c r="U9" s="246"/>
      <c r="V9" s="246"/>
      <c r="W9" s="246"/>
      <c r="X9" s="246"/>
      <c r="Y9" s="246"/>
      <c r="Z9" s="246"/>
      <c r="AA9" s="246"/>
      <c r="AB9" s="246"/>
      <c r="AC9" s="246"/>
      <c r="AD9" s="246"/>
      <c r="AE9" s="246"/>
      <c r="AF9" s="301" t="s">
        <v>908</v>
      </c>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CE9" s="94"/>
    </row>
    <row r="10" spans="1:83" x14ac:dyDescent="0.15">
      <c r="B10" s="246" t="s">
        <v>605</v>
      </c>
      <c r="C10" s="246" t="s">
        <v>605</v>
      </c>
      <c r="D10" s="246"/>
      <c r="E10" s="246"/>
      <c r="F10" s="246"/>
      <c r="G10" s="246"/>
      <c r="H10" s="246"/>
      <c r="I10" s="246" t="s">
        <v>605</v>
      </c>
      <c r="J10" s="170" t="s">
        <v>896</v>
      </c>
      <c r="K10" s="170"/>
      <c r="L10" s="246"/>
      <c r="M10" s="246"/>
      <c r="N10" s="246"/>
      <c r="O10" s="246"/>
      <c r="P10" s="246"/>
      <c r="Q10" s="246"/>
      <c r="R10" s="246"/>
      <c r="S10" s="246"/>
      <c r="T10" s="246"/>
      <c r="U10" s="246"/>
      <c r="V10" s="246"/>
      <c r="W10" s="246"/>
      <c r="X10" s="246"/>
      <c r="Y10" s="246"/>
      <c r="Z10" s="246"/>
      <c r="AA10" s="246"/>
      <c r="AB10" s="246"/>
      <c r="AC10" s="246"/>
      <c r="AD10" s="246"/>
      <c r="AE10" s="246"/>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CE10" s="94"/>
    </row>
    <row r="11" spans="1:83" s="15" customFormat="1" x14ac:dyDescent="0.15">
      <c r="B11" s="246"/>
      <c r="C11" s="246"/>
      <c r="D11" s="246"/>
      <c r="E11" s="246"/>
      <c r="F11" s="246"/>
      <c r="G11" s="246"/>
      <c r="H11" s="246"/>
      <c r="I11" s="246"/>
      <c r="J11" s="170" t="s">
        <v>897</v>
      </c>
      <c r="K11" s="170"/>
      <c r="L11" s="246"/>
      <c r="M11" s="246"/>
      <c r="N11" s="246"/>
      <c r="O11" s="246"/>
      <c r="P11" s="246"/>
      <c r="Q11" s="246"/>
      <c r="R11" s="246"/>
      <c r="S11" s="246"/>
      <c r="T11" s="246"/>
      <c r="U11" s="246"/>
      <c r="V11" s="246"/>
      <c r="W11" s="246"/>
      <c r="X11" s="246"/>
      <c r="Y11" s="246"/>
      <c r="Z11" s="246"/>
      <c r="AA11" s="246"/>
      <c r="AB11" s="246"/>
      <c r="AC11" s="246"/>
      <c r="AD11" s="246"/>
      <c r="AE11" s="246"/>
      <c r="CE11" s="94"/>
    </row>
    <row r="12" spans="1:83" x14ac:dyDescent="0.15">
      <c r="B12" s="246" t="s">
        <v>605</v>
      </c>
      <c r="C12" s="246" t="s">
        <v>605</v>
      </c>
      <c r="D12" s="246"/>
      <c r="E12" s="246"/>
      <c r="F12" s="246"/>
      <c r="G12" s="246"/>
      <c r="H12" s="246"/>
      <c r="I12" s="246" t="s">
        <v>605</v>
      </c>
      <c r="J12" s="170"/>
      <c r="K12" s="170" t="s">
        <v>606</v>
      </c>
      <c r="L12" s="246"/>
      <c r="M12" s="246"/>
      <c r="N12" s="246"/>
      <c r="O12" s="246"/>
      <c r="P12" s="246"/>
      <c r="Q12" s="246"/>
      <c r="R12" s="246"/>
      <c r="S12" s="246"/>
      <c r="T12" s="246"/>
      <c r="U12" s="246"/>
      <c r="V12" s="246"/>
      <c r="W12" s="246"/>
      <c r="X12" s="246"/>
      <c r="Y12" s="246"/>
      <c r="Z12" s="246"/>
      <c r="AA12" s="246"/>
      <c r="AB12" s="246"/>
      <c r="AC12" s="246"/>
      <c r="AD12" s="246"/>
      <c r="AE12" s="246"/>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CE12" s="94"/>
    </row>
    <row r="13" spans="1:83" x14ac:dyDescent="0.15">
      <c r="B13" s="246" t="s">
        <v>605</v>
      </c>
      <c r="C13" s="246" t="s">
        <v>605</v>
      </c>
      <c r="D13" s="246"/>
      <c r="E13" s="246"/>
      <c r="F13" s="246"/>
      <c r="G13" s="246"/>
      <c r="H13" s="246"/>
      <c r="I13" s="246" t="s">
        <v>605</v>
      </c>
      <c r="J13" s="170"/>
      <c r="K13" s="170" t="s">
        <v>607</v>
      </c>
      <c r="L13" s="246"/>
      <c r="M13" s="246"/>
      <c r="N13" s="246"/>
      <c r="O13" s="246"/>
      <c r="P13" s="246"/>
      <c r="Q13" s="246"/>
      <c r="R13" s="246"/>
      <c r="S13" s="246"/>
      <c r="T13" s="246"/>
      <c r="U13" s="246"/>
      <c r="V13" s="246"/>
      <c r="W13" s="246"/>
      <c r="X13" s="246"/>
      <c r="Y13" s="246"/>
      <c r="Z13" s="246"/>
      <c r="AA13" s="246"/>
      <c r="AB13" s="246"/>
      <c r="AC13" s="246"/>
      <c r="AD13" s="246"/>
      <c r="AE13" s="246"/>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CE13" s="94"/>
    </row>
    <row r="14" spans="1:83" x14ac:dyDescent="0.15">
      <c r="B14" s="246" t="s">
        <v>605</v>
      </c>
      <c r="C14" s="246" t="s">
        <v>605</v>
      </c>
      <c r="D14" s="246"/>
      <c r="E14" s="246"/>
      <c r="F14" s="246"/>
      <c r="G14" s="246"/>
      <c r="H14" s="246"/>
      <c r="I14" s="246" t="s">
        <v>605</v>
      </c>
      <c r="J14" s="170"/>
      <c r="K14" s="170" t="s">
        <v>608</v>
      </c>
      <c r="L14" s="246"/>
      <c r="M14" s="246"/>
      <c r="N14" s="246"/>
      <c r="O14" s="246"/>
      <c r="P14" s="246"/>
      <c r="Q14" s="246"/>
      <c r="R14" s="246"/>
      <c r="S14" s="246"/>
      <c r="T14" s="246"/>
      <c r="U14" s="246"/>
      <c r="V14" s="246"/>
      <c r="W14" s="246"/>
      <c r="X14" s="246"/>
      <c r="Y14" s="246"/>
      <c r="Z14" s="246"/>
      <c r="AA14" s="246"/>
      <c r="AB14" s="246"/>
      <c r="AC14" s="246"/>
      <c r="AD14" s="246"/>
      <c r="AE14" s="246"/>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CE14" s="94"/>
    </row>
    <row r="15" spans="1:83" x14ac:dyDescent="0.15">
      <c r="B15" s="246" t="s">
        <v>605</v>
      </c>
      <c r="C15" s="246" t="s">
        <v>605</v>
      </c>
      <c r="D15" s="246"/>
      <c r="E15" s="246"/>
      <c r="F15" s="246"/>
      <c r="G15" s="246"/>
      <c r="H15" s="246"/>
      <c r="I15" s="246" t="s">
        <v>605</v>
      </c>
      <c r="J15" s="170"/>
      <c r="K15" s="170"/>
      <c r="L15" s="246"/>
      <c r="M15" s="246"/>
      <c r="N15" s="246"/>
      <c r="O15" s="246"/>
      <c r="P15" s="246"/>
      <c r="Q15" s="246"/>
      <c r="R15" s="246"/>
      <c r="S15" s="246"/>
      <c r="T15" s="246"/>
      <c r="U15" s="246"/>
      <c r="V15" s="246"/>
      <c r="W15" s="246"/>
      <c r="X15" s="246"/>
      <c r="Y15" s="246"/>
      <c r="Z15" s="246"/>
      <c r="AA15" s="246"/>
      <c r="AB15" s="246"/>
      <c r="AC15" s="246"/>
      <c r="AD15" s="246"/>
      <c r="AE15" s="246"/>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CE15" s="94"/>
    </row>
    <row r="16" spans="1:83" x14ac:dyDescent="0.15">
      <c r="B16" s="171"/>
      <c r="C16" s="171" t="s">
        <v>609</v>
      </c>
      <c r="D16" s="246"/>
      <c r="E16" s="246"/>
      <c r="F16" s="246"/>
      <c r="G16" s="246"/>
      <c r="H16" s="246"/>
      <c r="I16" s="171" t="s">
        <v>610</v>
      </c>
      <c r="J16" s="170"/>
      <c r="K16" s="170"/>
      <c r="L16" s="246"/>
      <c r="M16" s="246"/>
      <c r="N16" s="246"/>
      <c r="O16" s="246"/>
      <c r="P16" s="246"/>
      <c r="Q16" s="246"/>
      <c r="R16" s="246"/>
      <c r="S16" s="246"/>
      <c r="T16" s="246"/>
      <c r="U16" s="246"/>
      <c r="V16" s="246"/>
      <c r="W16" s="246"/>
      <c r="X16" s="246"/>
      <c r="Y16" s="246"/>
      <c r="Z16" s="246"/>
      <c r="AA16" s="246"/>
      <c r="AB16" s="246"/>
      <c r="AC16" s="246"/>
      <c r="AD16" s="246"/>
      <c r="AE16" s="246"/>
      <c r="AF16" s="301" t="s">
        <v>909</v>
      </c>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CE16" s="94"/>
    </row>
    <row r="17" spans="2:83" x14ac:dyDescent="0.15">
      <c r="B17" s="246" t="s">
        <v>605</v>
      </c>
      <c r="C17" s="246" t="s">
        <v>605</v>
      </c>
      <c r="D17" s="246"/>
      <c r="E17" s="246"/>
      <c r="F17" s="246"/>
      <c r="G17" s="246"/>
      <c r="H17" s="246"/>
      <c r="I17" s="246" t="s">
        <v>605</v>
      </c>
      <c r="J17" s="170" t="s">
        <v>611</v>
      </c>
      <c r="K17" s="170"/>
      <c r="L17" s="246"/>
      <c r="M17" s="246"/>
      <c r="N17" s="246"/>
      <c r="O17" s="246"/>
      <c r="P17" s="246"/>
      <c r="Q17" s="246"/>
      <c r="R17" s="246"/>
      <c r="S17" s="246"/>
      <c r="T17" s="246"/>
      <c r="U17" s="246"/>
      <c r="V17" s="246"/>
      <c r="W17" s="246"/>
      <c r="X17" s="246"/>
      <c r="Y17" s="246"/>
      <c r="Z17" s="246"/>
      <c r="AA17" s="246"/>
      <c r="AB17" s="246"/>
      <c r="AC17" s="246"/>
      <c r="AD17" s="246"/>
      <c r="AE17" s="246"/>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CE17" s="94"/>
    </row>
    <row r="18" spans="2:83" x14ac:dyDescent="0.15">
      <c r="B18" s="246" t="s">
        <v>605</v>
      </c>
      <c r="C18" s="246" t="s">
        <v>605</v>
      </c>
      <c r="D18" s="246"/>
      <c r="E18" s="246"/>
      <c r="F18" s="246"/>
      <c r="G18" s="246"/>
      <c r="H18" s="246"/>
      <c r="I18" s="246" t="s">
        <v>605</v>
      </c>
      <c r="J18" s="170"/>
      <c r="K18" s="170"/>
      <c r="L18" s="246"/>
      <c r="M18" s="246"/>
      <c r="N18" s="246"/>
      <c r="O18" s="246"/>
      <c r="P18" s="246"/>
      <c r="Q18" s="246"/>
      <c r="R18" s="246"/>
      <c r="S18" s="246"/>
      <c r="T18" s="246"/>
      <c r="U18" s="246"/>
      <c r="V18" s="246"/>
      <c r="W18" s="246"/>
      <c r="X18" s="246"/>
      <c r="Y18" s="246"/>
      <c r="Z18" s="246"/>
      <c r="AA18" s="246"/>
      <c r="AB18" s="246"/>
      <c r="AC18" s="246"/>
      <c r="AD18" s="246"/>
      <c r="AE18" s="246"/>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CE18" s="94"/>
    </row>
    <row r="19" spans="2:83" x14ac:dyDescent="0.15">
      <c r="B19" s="171"/>
      <c r="C19" s="171" t="s">
        <v>612</v>
      </c>
      <c r="D19" s="246"/>
      <c r="E19" s="246"/>
      <c r="F19" s="246"/>
      <c r="G19" s="246"/>
      <c r="H19" s="246"/>
      <c r="I19" s="171" t="s">
        <v>613</v>
      </c>
      <c r="J19" s="170"/>
      <c r="K19" s="170"/>
      <c r="L19" s="246"/>
      <c r="M19" s="246"/>
      <c r="N19" s="246"/>
      <c r="O19" s="246"/>
      <c r="P19" s="246"/>
      <c r="Q19" s="246"/>
      <c r="R19" s="246"/>
      <c r="S19" s="246"/>
      <c r="T19" s="246"/>
      <c r="U19" s="246"/>
      <c r="V19" s="246"/>
      <c r="W19" s="246"/>
      <c r="X19" s="246"/>
      <c r="Y19" s="246"/>
      <c r="Z19" s="246"/>
      <c r="AA19" s="246"/>
      <c r="AB19" s="246"/>
      <c r="AC19" s="246"/>
      <c r="AD19" s="246"/>
      <c r="AE19" s="246"/>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CE19" s="94"/>
    </row>
    <row r="20" spans="2:83" x14ac:dyDescent="0.15">
      <c r="B20" s="246" t="s">
        <v>605</v>
      </c>
      <c r="C20" s="246" t="s">
        <v>605</v>
      </c>
      <c r="D20" s="246"/>
      <c r="E20" s="246"/>
      <c r="F20" s="246"/>
      <c r="G20" s="246"/>
      <c r="H20" s="246"/>
      <c r="I20" s="246" t="s">
        <v>605</v>
      </c>
      <c r="J20" s="170" t="s">
        <v>614</v>
      </c>
      <c r="K20" s="170"/>
      <c r="L20" s="246"/>
      <c r="M20" s="246"/>
      <c r="N20" s="246"/>
      <c r="O20" s="246"/>
      <c r="P20" s="246"/>
      <c r="Q20" s="246"/>
      <c r="R20" s="246"/>
      <c r="S20" s="246"/>
      <c r="T20" s="246"/>
      <c r="U20" s="246"/>
      <c r="V20" s="246"/>
      <c r="W20" s="246"/>
      <c r="X20" s="246"/>
      <c r="Y20" s="246"/>
      <c r="Z20" s="246"/>
      <c r="AA20" s="246"/>
      <c r="AB20" s="246"/>
      <c r="AC20" s="246"/>
      <c r="AD20" s="246"/>
      <c r="AE20" s="246"/>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CE20" s="94"/>
    </row>
    <row r="21" spans="2:83" x14ac:dyDescent="0.15">
      <c r="B21" s="246" t="s">
        <v>605</v>
      </c>
      <c r="C21" s="246" t="s">
        <v>605</v>
      </c>
      <c r="D21" s="246"/>
      <c r="E21" s="246"/>
      <c r="F21" s="246"/>
      <c r="G21" s="246"/>
      <c r="H21" s="246"/>
      <c r="I21" s="246" t="s">
        <v>605</v>
      </c>
      <c r="J21" s="170"/>
      <c r="K21" s="170" t="s">
        <v>615</v>
      </c>
      <c r="L21" s="246"/>
      <c r="M21" s="246"/>
      <c r="N21" s="246"/>
      <c r="O21" s="246"/>
      <c r="P21" s="246"/>
      <c r="Q21" s="246"/>
      <c r="R21" s="246"/>
      <c r="S21" s="246"/>
      <c r="T21" s="246"/>
      <c r="U21" s="246"/>
      <c r="V21" s="246"/>
      <c r="W21" s="246"/>
      <c r="X21" s="246"/>
      <c r="Y21" s="246"/>
      <c r="Z21" s="246"/>
      <c r="AA21" s="246"/>
      <c r="AB21" s="246"/>
      <c r="AC21" s="246"/>
      <c r="AD21" s="246"/>
      <c r="AE21" s="246"/>
      <c r="AF21" s="301" t="s">
        <v>914</v>
      </c>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CE21" s="94"/>
    </row>
    <row r="22" spans="2:83" x14ac:dyDescent="0.15">
      <c r="B22" s="246" t="s">
        <v>605</v>
      </c>
      <c r="C22" s="246" t="s">
        <v>605</v>
      </c>
      <c r="D22" s="246"/>
      <c r="E22" s="246"/>
      <c r="F22" s="246"/>
      <c r="G22" s="246"/>
      <c r="H22" s="246"/>
      <c r="I22" s="246" t="s">
        <v>605</v>
      </c>
      <c r="J22" s="170"/>
      <c r="K22" s="170" t="s">
        <v>616</v>
      </c>
      <c r="L22" s="246"/>
      <c r="M22" s="246"/>
      <c r="N22" s="246"/>
      <c r="O22" s="246"/>
      <c r="P22" s="246"/>
      <c r="Q22" s="246"/>
      <c r="R22" s="246"/>
      <c r="S22" s="246"/>
      <c r="T22" s="246"/>
      <c r="U22" s="246"/>
      <c r="V22" s="246"/>
      <c r="W22" s="246"/>
      <c r="X22" s="246"/>
      <c r="Y22" s="246"/>
      <c r="Z22" s="246"/>
      <c r="AA22" s="246"/>
      <c r="AB22" s="246"/>
      <c r="AC22" s="246"/>
      <c r="AD22" s="246"/>
      <c r="AE22" s="246"/>
      <c r="AF22" s="301" t="s">
        <v>915</v>
      </c>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CE22" s="94"/>
    </row>
    <row r="23" spans="2:83" x14ac:dyDescent="0.15">
      <c r="B23" s="246" t="s">
        <v>605</v>
      </c>
      <c r="C23" s="246" t="s">
        <v>605</v>
      </c>
      <c r="D23" s="246"/>
      <c r="E23" s="246"/>
      <c r="F23" s="246"/>
      <c r="G23" s="246"/>
      <c r="H23" s="246"/>
      <c r="I23" s="246" t="s">
        <v>605</v>
      </c>
      <c r="J23" s="170"/>
      <c r="K23" s="170" t="s">
        <v>617</v>
      </c>
      <c r="L23" s="246"/>
      <c r="M23" s="246"/>
      <c r="N23" s="246"/>
      <c r="O23" s="246"/>
      <c r="P23" s="246"/>
      <c r="Q23" s="246"/>
      <c r="R23" s="246"/>
      <c r="S23" s="246"/>
      <c r="T23" s="246"/>
      <c r="U23" s="246"/>
      <c r="V23" s="246"/>
      <c r="W23" s="246"/>
      <c r="X23" s="246"/>
      <c r="Y23" s="246"/>
      <c r="Z23" s="246"/>
      <c r="AA23" s="246"/>
      <c r="AB23" s="246"/>
      <c r="AC23" s="246"/>
      <c r="AD23" s="246"/>
      <c r="AE23" s="246"/>
      <c r="AF23" s="301" t="s">
        <v>916</v>
      </c>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CE23" s="94"/>
    </row>
    <row r="24" spans="2:83" x14ac:dyDescent="0.15">
      <c r="B24" s="246" t="s">
        <v>605</v>
      </c>
      <c r="C24" s="246" t="s">
        <v>605</v>
      </c>
      <c r="D24" s="246"/>
      <c r="E24" s="246"/>
      <c r="F24" s="246"/>
      <c r="G24" s="246"/>
      <c r="H24" s="246"/>
      <c r="I24" s="246" t="s">
        <v>605</v>
      </c>
      <c r="J24" s="170"/>
      <c r="K24" s="170" t="s">
        <v>618</v>
      </c>
      <c r="L24" s="246"/>
      <c r="M24" s="246"/>
      <c r="N24" s="246"/>
      <c r="O24" s="246"/>
      <c r="P24" s="246"/>
      <c r="Q24" s="246"/>
      <c r="R24" s="246"/>
      <c r="S24" s="246"/>
      <c r="T24" s="246"/>
      <c r="U24" s="246"/>
      <c r="V24" s="246"/>
      <c r="W24" s="246"/>
      <c r="X24" s="246"/>
      <c r="Y24" s="246"/>
      <c r="Z24" s="246"/>
      <c r="AA24" s="246"/>
      <c r="AB24" s="246"/>
      <c r="AC24" s="246"/>
      <c r="AD24" s="246"/>
      <c r="AE24" s="246"/>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CE24" s="94"/>
    </row>
    <row r="25" spans="2:83" x14ac:dyDescent="0.15">
      <c r="B25" s="246" t="s">
        <v>605</v>
      </c>
      <c r="C25" s="246" t="s">
        <v>605</v>
      </c>
      <c r="D25" s="246"/>
      <c r="E25" s="246"/>
      <c r="F25" s="246"/>
      <c r="G25" s="246"/>
      <c r="H25" s="246"/>
      <c r="I25" s="246" t="s">
        <v>605</v>
      </c>
      <c r="J25" s="170"/>
      <c r="K25" s="170" t="s">
        <v>619</v>
      </c>
      <c r="L25" s="246"/>
      <c r="M25" s="246"/>
      <c r="N25" s="246"/>
      <c r="O25" s="246"/>
      <c r="P25" s="246"/>
      <c r="Q25" s="246"/>
      <c r="R25" s="246"/>
      <c r="S25" s="246"/>
      <c r="T25" s="246"/>
      <c r="U25" s="246"/>
      <c r="V25" s="246"/>
      <c r="W25" s="246"/>
      <c r="X25" s="246"/>
      <c r="Y25" s="246"/>
      <c r="Z25" s="246"/>
      <c r="AA25" s="246"/>
      <c r="AB25" s="246"/>
      <c r="AC25" s="246"/>
      <c r="AD25" s="246"/>
      <c r="AE25" s="246"/>
      <c r="AF25" s="301" t="s">
        <v>917</v>
      </c>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CE25" s="94"/>
    </row>
    <row r="26" spans="2:83" x14ac:dyDescent="0.15">
      <c r="B26" s="246" t="s">
        <v>605</v>
      </c>
      <c r="C26" s="246" t="s">
        <v>605</v>
      </c>
      <c r="D26" s="246"/>
      <c r="E26" s="246"/>
      <c r="F26" s="246"/>
      <c r="G26" s="246"/>
      <c r="H26" s="246"/>
      <c r="I26" s="246" t="s">
        <v>605</v>
      </c>
      <c r="J26" s="170"/>
      <c r="K26" s="170" t="s">
        <v>620</v>
      </c>
      <c r="L26" s="246"/>
      <c r="M26" s="246"/>
      <c r="N26" s="246"/>
      <c r="O26" s="246"/>
      <c r="P26" s="246"/>
      <c r="Q26" s="246"/>
      <c r="R26" s="246"/>
      <c r="S26" s="246"/>
      <c r="T26" s="246"/>
      <c r="U26" s="246"/>
      <c r="V26" s="246"/>
      <c r="W26" s="246"/>
      <c r="X26" s="246"/>
      <c r="Y26" s="246"/>
      <c r="Z26" s="246"/>
      <c r="AA26" s="246"/>
      <c r="AB26" s="246"/>
      <c r="AC26" s="246"/>
      <c r="AD26" s="246"/>
      <c r="AE26" s="246"/>
      <c r="AF26" s="301" t="s">
        <v>918</v>
      </c>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CE26" s="94"/>
    </row>
    <row r="27" spans="2:83" x14ac:dyDescent="0.15">
      <c r="B27" s="246" t="s">
        <v>605</v>
      </c>
      <c r="C27" s="246" t="s">
        <v>605</v>
      </c>
      <c r="D27" s="246"/>
      <c r="E27" s="246"/>
      <c r="F27" s="246"/>
      <c r="G27" s="246"/>
      <c r="H27" s="246"/>
      <c r="I27" s="246" t="s">
        <v>605</v>
      </c>
      <c r="J27" s="170"/>
      <c r="K27" s="170" t="s">
        <v>621</v>
      </c>
      <c r="L27" s="246"/>
      <c r="M27" s="246"/>
      <c r="N27" s="246"/>
      <c r="O27" s="246"/>
      <c r="P27" s="246"/>
      <c r="Q27" s="246"/>
      <c r="R27" s="246"/>
      <c r="S27" s="246"/>
      <c r="T27" s="246"/>
      <c r="U27" s="246"/>
      <c r="V27" s="246"/>
      <c r="W27" s="246"/>
      <c r="X27" s="246"/>
      <c r="Y27" s="246"/>
      <c r="Z27" s="246"/>
      <c r="AA27" s="246"/>
      <c r="AB27" s="246"/>
      <c r="AC27" s="246"/>
      <c r="AD27" s="246"/>
      <c r="AE27" s="246"/>
      <c r="AF27" s="301" t="s">
        <v>919</v>
      </c>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CE27" s="94"/>
    </row>
    <row r="28" spans="2:83" x14ac:dyDescent="0.15">
      <c r="B28" s="246" t="s">
        <v>605</v>
      </c>
      <c r="C28" s="246" t="s">
        <v>605</v>
      </c>
      <c r="D28" s="246"/>
      <c r="E28" s="246"/>
      <c r="F28" s="246"/>
      <c r="G28" s="246"/>
      <c r="H28" s="246"/>
      <c r="I28" s="246" t="s">
        <v>605</v>
      </c>
      <c r="J28" s="170"/>
      <c r="K28" s="170" t="s">
        <v>622</v>
      </c>
      <c r="L28" s="246"/>
      <c r="M28" s="246"/>
      <c r="N28" s="246"/>
      <c r="O28" s="246"/>
      <c r="P28" s="246"/>
      <c r="Q28" s="246"/>
      <c r="R28" s="246"/>
      <c r="S28" s="246"/>
      <c r="T28" s="246"/>
      <c r="U28" s="246"/>
      <c r="V28" s="246"/>
      <c r="W28" s="246"/>
      <c r="X28" s="246"/>
      <c r="Y28" s="246"/>
      <c r="Z28" s="246"/>
      <c r="AA28" s="246"/>
      <c r="AB28" s="246"/>
      <c r="AC28" s="246"/>
      <c r="AD28" s="246"/>
      <c r="AE28" s="246"/>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CE28" s="94"/>
    </row>
    <row r="29" spans="2:83" x14ac:dyDescent="0.15">
      <c r="B29" s="246"/>
      <c r="C29" s="246"/>
      <c r="D29" s="246"/>
      <c r="E29" s="246"/>
      <c r="F29" s="246"/>
      <c r="G29" s="246"/>
      <c r="H29" s="246"/>
      <c r="I29" s="246"/>
      <c r="J29" s="170"/>
      <c r="K29" s="170"/>
      <c r="L29" s="246"/>
      <c r="M29" s="246"/>
      <c r="N29" s="246"/>
      <c r="O29" s="246"/>
      <c r="P29" s="246"/>
      <c r="Q29" s="246"/>
      <c r="R29" s="246"/>
      <c r="S29" s="246"/>
      <c r="T29" s="246"/>
      <c r="U29" s="246"/>
      <c r="V29" s="246"/>
      <c r="W29" s="246"/>
      <c r="X29" s="246"/>
      <c r="Y29" s="246"/>
      <c r="Z29" s="246"/>
      <c r="AA29" s="246"/>
      <c r="AB29" s="246"/>
      <c r="AC29" s="246"/>
      <c r="AD29" s="246"/>
      <c r="AE29" s="246"/>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CE29" s="94"/>
    </row>
    <row r="30" spans="2:83" x14ac:dyDescent="0.15">
      <c r="B30" s="171"/>
      <c r="C30" s="171" t="s">
        <v>623</v>
      </c>
      <c r="D30" s="246"/>
      <c r="E30" s="246"/>
      <c r="F30" s="246"/>
      <c r="G30" s="246"/>
      <c r="H30" s="246"/>
      <c r="I30" s="171" t="s">
        <v>624</v>
      </c>
      <c r="J30" s="170"/>
      <c r="K30" s="170"/>
      <c r="L30" s="246"/>
      <c r="M30" s="246"/>
      <c r="N30" s="246"/>
      <c r="O30" s="246"/>
      <c r="P30" s="246"/>
      <c r="Q30" s="246"/>
      <c r="R30" s="246"/>
      <c r="S30" s="246"/>
      <c r="T30" s="246"/>
      <c r="U30" s="246"/>
      <c r="V30" s="246"/>
      <c r="W30" s="246"/>
      <c r="X30" s="246"/>
      <c r="Y30" s="246"/>
      <c r="Z30" s="246"/>
      <c r="AA30" s="246"/>
      <c r="AB30" s="246"/>
      <c r="AC30" s="246"/>
      <c r="AD30" s="246"/>
      <c r="AE30" s="246"/>
      <c r="CE30" s="94"/>
    </row>
    <row r="31" spans="2:83" x14ac:dyDescent="0.15">
      <c r="B31" s="246" t="s">
        <v>605</v>
      </c>
      <c r="C31" s="246" t="s">
        <v>605</v>
      </c>
      <c r="D31" s="246"/>
      <c r="E31" s="246"/>
      <c r="F31" s="246"/>
      <c r="G31" s="246"/>
      <c r="H31" s="246"/>
      <c r="I31" s="246" t="s">
        <v>605</v>
      </c>
      <c r="J31" s="170" t="s">
        <v>625</v>
      </c>
      <c r="K31" s="170"/>
      <c r="L31" s="246"/>
      <c r="M31" s="246"/>
      <c r="N31" s="246"/>
      <c r="O31" s="246"/>
      <c r="P31" s="246"/>
      <c r="Q31" s="246"/>
      <c r="R31" s="246"/>
      <c r="S31" s="246"/>
      <c r="T31" s="246"/>
      <c r="U31" s="246"/>
      <c r="V31" s="246"/>
      <c r="W31" s="246"/>
      <c r="X31" s="246"/>
      <c r="Y31" s="246"/>
      <c r="Z31" s="246"/>
      <c r="AA31" s="246"/>
      <c r="AB31" s="246"/>
      <c r="AC31" s="246"/>
      <c r="AD31" s="246"/>
      <c r="AE31" s="246"/>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CE31" s="94"/>
    </row>
    <row r="32" spans="2:83" x14ac:dyDescent="0.15">
      <c r="B32" s="246" t="s">
        <v>605</v>
      </c>
      <c r="C32" s="246" t="s">
        <v>605</v>
      </c>
      <c r="D32" s="246"/>
      <c r="E32" s="246"/>
      <c r="F32" s="246"/>
      <c r="G32" s="246"/>
      <c r="H32" s="246"/>
      <c r="I32" s="246" t="s">
        <v>605</v>
      </c>
      <c r="J32" s="170" t="s">
        <v>626</v>
      </c>
      <c r="K32" s="170"/>
      <c r="L32" s="246"/>
      <c r="M32" s="246"/>
      <c r="N32" s="246"/>
      <c r="O32" s="246"/>
      <c r="P32" s="246"/>
      <c r="Q32" s="246"/>
      <c r="R32" s="246"/>
      <c r="S32" s="246"/>
      <c r="T32" s="246"/>
      <c r="U32" s="246"/>
      <c r="V32" s="246"/>
      <c r="W32" s="246"/>
      <c r="X32" s="246"/>
      <c r="Y32" s="246"/>
      <c r="Z32" s="246"/>
      <c r="AA32" s="246"/>
      <c r="AB32" s="246"/>
      <c r="AC32" s="246"/>
      <c r="AD32" s="246"/>
      <c r="AE32" s="246"/>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CE32" s="94"/>
    </row>
    <row r="33" spans="2:83" x14ac:dyDescent="0.15">
      <c r="B33" s="246" t="s">
        <v>605</v>
      </c>
      <c r="C33" s="246" t="s">
        <v>605</v>
      </c>
      <c r="D33" s="246"/>
      <c r="E33" s="246"/>
      <c r="F33" s="246"/>
      <c r="G33" s="246"/>
      <c r="H33" s="246"/>
      <c r="I33" s="246" t="s">
        <v>605</v>
      </c>
      <c r="J33" s="170"/>
      <c r="K33" s="170" t="s">
        <v>627</v>
      </c>
      <c r="L33" s="246"/>
      <c r="M33" s="246"/>
      <c r="N33" s="246"/>
      <c r="O33" s="246"/>
      <c r="P33" s="246"/>
      <c r="Q33" s="246"/>
      <c r="R33" s="246"/>
      <c r="S33" s="246"/>
      <c r="T33" s="246"/>
      <c r="U33" s="246"/>
      <c r="V33" s="246"/>
      <c r="W33" s="246"/>
      <c r="X33" s="246"/>
      <c r="Y33" s="246"/>
      <c r="Z33" s="246"/>
      <c r="AA33" s="246"/>
      <c r="AB33" s="246"/>
      <c r="AC33" s="246"/>
      <c r="AD33" s="246"/>
      <c r="AE33" s="246"/>
      <c r="AF33" s="301" t="s">
        <v>920</v>
      </c>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CE33" s="94"/>
    </row>
    <row r="34" spans="2:83" x14ac:dyDescent="0.15">
      <c r="B34" s="246" t="s">
        <v>605</v>
      </c>
      <c r="C34" s="246" t="s">
        <v>605</v>
      </c>
      <c r="D34" s="246"/>
      <c r="E34" s="246"/>
      <c r="F34" s="246"/>
      <c r="G34" s="246"/>
      <c r="H34" s="246"/>
      <c r="I34" s="246" t="s">
        <v>605</v>
      </c>
      <c r="J34" s="170"/>
      <c r="K34" s="170" t="s">
        <v>628</v>
      </c>
      <c r="L34" s="246"/>
      <c r="M34" s="246"/>
      <c r="N34" s="246"/>
      <c r="O34" s="246"/>
      <c r="P34" s="246"/>
      <c r="Q34" s="246"/>
      <c r="R34" s="246"/>
      <c r="S34" s="246"/>
      <c r="T34" s="246"/>
      <c r="U34" s="246"/>
      <c r="V34" s="246"/>
      <c r="W34" s="246"/>
      <c r="X34" s="246"/>
      <c r="Y34" s="246"/>
      <c r="Z34" s="246"/>
      <c r="AA34" s="246"/>
      <c r="AB34" s="246"/>
      <c r="AC34" s="246"/>
      <c r="AD34" s="246"/>
      <c r="AE34" s="246"/>
      <c r="AF34" s="301" t="s">
        <v>921</v>
      </c>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CE34" s="94"/>
    </row>
    <row r="35" spans="2:83" x14ac:dyDescent="0.15">
      <c r="B35" s="246"/>
      <c r="C35" s="246"/>
      <c r="D35" s="246"/>
      <c r="E35" s="246"/>
      <c r="F35" s="246"/>
      <c r="G35" s="246"/>
      <c r="H35" s="246"/>
      <c r="I35" s="246"/>
      <c r="J35" s="170"/>
      <c r="K35" s="170"/>
      <c r="L35" s="246"/>
      <c r="M35" s="246"/>
      <c r="N35" s="246"/>
      <c r="O35" s="246"/>
      <c r="P35" s="246"/>
      <c r="Q35" s="246"/>
      <c r="R35" s="246"/>
      <c r="S35" s="246"/>
      <c r="T35" s="246"/>
      <c r="U35" s="246"/>
      <c r="V35" s="246"/>
      <c r="W35" s="246"/>
      <c r="X35" s="246"/>
      <c r="Y35" s="246"/>
      <c r="Z35" s="246"/>
      <c r="AA35" s="246"/>
      <c r="AB35" s="246"/>
      <c r="AC35" s="246"/>
      <c r="AD35" s="246"/>
      <c r="AE35" s="246"/>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CE35" s="94"/>
    </row>
    <row r="36" spans="2:83" x14ac:dyDescent="0.15">
      <c r="B36" s="171"/>
      <c r="C36" s="171" t="s">
        <v>629</v>
      </c>
      <c r="D36" s="246"/>
      <c r="E36" s="246"/>
      <c r="F36" s="246"/>
      <c r="G36" s="246"/>
      <c r="H36" s="246"/>
      <c r="I36" s="171" t="s">
        <v>630</v>
      </c>
      <c r="J36" s="170"/>
      <c r="K36" s="170"/>
      <c r="L36" s="246"/>
      <c r="M36" s="246"/>
      <c r="N36" s="246"/>
      <c r="O36" s="246"/>
      <c r="P36" s="246"/>
      <c r="Q36" s="246"/>
      <c r="R36" s="246"/>
      <c r="S36" s="246"/>
      <c r="T36" s="246"/>
      <c r="U36" s="246"/>
      <c r="V36" s="246"/>
      <c r="W36" s="246"/>
      <c r="X36" s="246"/>
      <c r="Y36" s="246"/>
      <c r="Z36" s="246"/>
      <c r="AA36" s="246"/>
      <c r="AB36" s="246"/>
      <c r="AC36" s="246"/>
      <c r="AD36" s="246"/>
      <c r="AE36" s="246"/>
      <c r="AF36" s="301" t="s">
        <v>911</v>
      </c>
      <c r="AG36" s="302"/>
      <c r="AH36" s="302"/>
      <c r="AI36" s="302"/>
      <c r="AJ36" s="302"/>
      <c r="AK36" s="302"/>
      <c r="AL36" s="302"/>
      <c r="AM36" s="302"/>
      <c r="AN36" s="302"/>
      <c r="AO36" s="302"/>
      <c r="AP36" s="302"/>
      <c r="AQ36" s="302"/>
      <c r="AR36" s="302"/>
      <c r="AS36" s="302"/>
      <c r="AT36" s="302"/>
      <c r="AU36" s="302"/>
      <c r="AV36" s="302"/>
      <c r="AW36" s="302"/>
      <c r="AX36" s="302"/>
      <c r="AY36" s="302"/>
      <c r="AZ36" s="302"/>
      <c r="BA36" s="302"/>
      <c r="BB36" s="302"/>
      <c r="BC36" s="302"/>
      <c r="BD36" s="302"/>
      <c r="BE36" s="302"/>
      <c r="CE36" s="94"/>
    </row>
    <row r="37" spans="2:83" x14ac:dyDescent="0.15">
      <c r="B37" s="246" t="s">
        <v>605</v>
      </c>
      <c r="C37" s="246" t="s">
        <v>605</v>
      </c>
      <c r="D37" s="246"/>
      <c r="E37" s="246"/>
      <c r="F37" s="246"/>
      <c r="G37" s="246"/>
      <c r="H37" s="246"/>
      <c r="I37" s="246" t="s">
        <v>605</v>
      </c>
      <c r="J37" s="170" t="s">
        <v>631</v>
      </c>
      <c r="K37" s="170"/>
      <c r="L37" s="246"/>
      <c r="M37" s="246"/>
      <c r="N37" s="246"/>
      <c r="O37" s="246"/>
      <c r="P37" s="246"/>
      <c r="Q37" s="246"/>
      <c r="R37" s="246"/>
      <c r="S37" s="246"/>
      <c r="T37" s="246"/>
      <c r="U37" s="246"/>
      <c r="V37" s="246"/>
      <c r="W37" s="246"/>
      <c r="X37" s="246"/>
      <c r="Y37" s="246"/>
      <c r="Z37" s="246"/>
      <c r="AA37" s="246"/>
      <c r="AB37" s="246"/>
      <c r="AC37" s="246"/>
      <c r="AD37" s="246"/>
      <c r="AE37" s="246"/>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CE37" s="94"/>
    </row>
    <row r="38" spans="2:83" x14ac:dyDescent="0.15">
      <c r="B38" s="246"/>
      <c r="C38" s="246"/>
      <c r="D38" s="246"/>
      <c r="E38" s="246"/>
      <c r="F38" s="246"/>
      <c r="G38" s="246"/>
      <c r="H38" s="246"/>
      <c r="I38" s="246"/>
      <c r="J38" s="170"/>
      <c r="K38" s="170"/>
      <c r="L38" s="246"/>
      <c r="M38" s="246"/>
      <c r="N38" s="246"/>
      <c r="O38" s="246"/>
      <c r="P38" s="246"/>
      <c r="Q38" s="246"/>
      <c r="R38" s="246"/>
      <c r="S38" s="246"/>
      <c r="T38" s="246"/>
      <c r="U38" s="246"/>
      <c r="V38" s="246"/>
      <c r="W38" s="246"/>
      <c r="X38" s="246"/>
      <c r="Y38" s="246"/>
      <c r="Z38" s="246"/>
      <c r="AA38" s="246"/>
      <c r="AB38" s="246"/>
      <c r="AC38" s="246"/>
      <c r="AD38" s="246"/>
      <c r="AE38" s="246"/>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CE38" s="94"/>
    </row>
    <row r="39" spans="2:83" x14ac:dyDescent="0.15">
      <c r="B39" s="171"/>
      <c r="C39" s="171" t="s">
        <v>632</v>
      </c>
      <c r="D39" s="246"/>
      <c r="E39" s="246"/>
      <c r="F39" s="246"/>
      <c r="G39" s="246"/>
      <c r="H39" s="246"/>
      <c r="I39" s="171" t="s">
        <v>633</v>
      </c>
      <c r="J39" s="170"/>
      <c r="K39" s="170"/>
      <c r="L39" s="246"/>
      <c r="M39" s="246"/>
      <c r="N39" s="246"/>
      <c r="O39" s="246"/>
      <c r="P39" s="246"/>
      <c r="Q39" s="246"/>
      <c r="R39" s="246"/>
      <c r="S39" s="246"/>
      <c r="T39" s="246"/>
      <c r="U39" s="246"/>
      <c r="V39" s="246"/>
      <c r="W39" s="246"/>
      <c r="X39" s="246"/>
      <c r="Y39" s="246"/>
      <c r="Z39" s="246"/>
      <c r="AA39" s="246"/>
      <c r="AB39" s="246"/>
      <c r="AC39" s="246"/>
      <c r="AD39" s="246"/>
      <c r="AE39" s="246"/>
      <c r="AF39" s="301" t="s">
        <v>912</v>
      </c>
      <c r="AG39" s="302"/>
      <c r="AH39" s="302"/>
      <c r="AI39" s="302"/>
      <c r="AJ39" s="302"/>
      <c r="AK39" s="302"/>
      <c r="AL39" s="302"/>
      <c r="AM39" s="302"/>
      <c r="AN39" s="302"/>
      <c r="AO39" s="302"/>
      <c r="AP39" s="302"/>
      <c r="AQ39" s="302"/>
      <c r="AR39" s="302"/>
      <c r="AS39" s="302"/>
      <c r="AT39" s="302"/>
      <c r="AU39" s="302"/>
      <c r="AV39" s="302"/>
      <c r="AW39" s="302"/>
      <c r="AX39" s="302"/>
      <c r="AY39" s="302"/>
      <c r="AZ39" s="302"/>
      <c r="BA39" s="302"/>
      <c r="BB39" s="302"/>
      <c r="BC39" s="302"/>
      <c r="BD39" s="302"/>
      <c r="BE39" s="302"/>
      <c r="CE39" s="94"/>
    </row>
    <row r="40" spans="2:83" x14ac:dyDescent="0.15">
      <c r="B40" s="246" t="s">
        <v>605</v>
      </c>
      <c r="C40" s="246" t="s">
        <v>605</v>
      </c>
      <c r="D40" s="246"/>
      <c r="E40" s="246"/>
      <c r="F40" s="246"/>
      <c r="G40" s="246"/>
      <c r="H40" s="246"/>
      <c r="I40" s="246" t="s">
        <v>605</v>
      </c>
      <c r="J40" s="170" t="s">
        <v>634</v>
      </c>
      <c r="K40" s="170"/>
      <c r="L40" s="246"/>
      <c r="M40" s="246"/>
      <c r="N40" s="246"/>
      <c r="O40" s="246"/>
      <c r="P40" s="246"/>
      <c r="Q40" s="246"/>
      <c r="R40" s="246"/>
      <c r="S40" s="246"/>
      <c r="T40" s="246"/>
      <c r="U40" s="246"/>
      <c r="V40" s="246"/>
      <c r="W40" s="246"/>
      <c r="X40" s="246"/>
      <c r="Y40" s="246"/>
      <c r="Z40" s="246"/>
      <c r="AA40" s="246"/>
      <c r="AB40" s="246"/>
      <c r="AC40" s="246"/>
      <c r="AD40" s="246"/>
      <c r="AE40" s="246"/>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CE40" s="94"/>
    </row>
    <row r="41" spans="2:83" x14ac:dyDescent="0.15">
      <c r="B41" s="246" t="s">
        <v>605</v>
      </c>
      <c r="C41" s="246" t="s">
        <v>605</v>
      </c>
      <c r="D41" s="246"/>
      <c r="E41" s="246"/>
      <c r="F41" s="246"/>
      <c r="G41" s="246"/>
      <c r="H41" s="246"/>
      <c r="I41" s="246" t="s">
        <v>605</v>
      </c>
      <c r="J41" s="170"/>
      <c r="K41" s="170" t="s">
        <v>635</v>
      </c>
      <c r="L41" s="246"/>
      <c r="M41" s="246"/>
      <c r="N41" s="246"/>
      <c r="O41" s="246"/>
      <c r="P41" s="246"/>
      <c r="Q41" s="246"/>
      <c r="R41" s="246"/>
      <c r="S41" s="246"/>
      <c r="T41" s="246"/>
      <c r="U41" s="246"/>
      <c r="V41" s="246"/>
      <c r="W41" s="246"/>
      <c r="X41" s="246"/>
      <c r="Y41" s="246"/>
      <c r="Z41" s="246"/>
      <c r="AA41" s="246"/>
      <c r="AB41" s="246"/>
      <c r="AC41" s="246"/>
      <c r="AD41" s="246"/>
      <c r="AE41" s="246"/>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CE41" s="94"/>
    </row>
    <row r="42" spans="2:83" x14ac:dyDescent="0.15">
      <c r="B42" s="246" t="s">
        <v>605</v>
      </c>
      <c r="C42" s="246" t="s">
        <v>605</v>
      </c>
      <c r="D42" s="246"/>
      <c r="E42" s="246"/>
      <c r="F42" s="246"/>
      <c r="G42" s="246"/>
      <c r="H42" s="246"/>
      <c r="I42" s="246" t="s">
        <v>605</v>
      </c>
      <c r="J42" s="170"/>
      <c r="K42" s="170" t="s">
        <v>636</v>
      </c>
      <c r="L42" s="246"/>
      <c r="M42" s="246"/>
      <c r="N42" s="246"/>
      <c r="O42" s="246"/>
      <c r="P42" s="246"/>
      <c r="Q42" s="246"/>
      <c r="R42" s="246"/>
      <c r="S42" s="246"/>
      <c r="T42" s="246"/>
      <c r="U42" s="246"/>
      <c r="V42" s="246"/>
      <c r="W42" s="246"/>
      <c r="X42" s="246"/>
      <c r="Y42" s="246"/>
      <c r="Z42" s="246"/>
      <c r="AA42" s="246"/>
      <c r="AB42" s="246"/>
      <c r="AC42" s="246"/>
      <c r="AD42" s="246"/>
      <c r="AE42" s="246"/>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CE42" s="94"/>
    </row>
    <row r="43" spans="2:83" x14ac:dyDescent="0.15">
      <c r="B43" s="246" t="s">
        <v>605</v>
      </c>
      <c r="C43" s="246" t="s">
        <v>605</v>
      </c>
      <c r="D43" s="246"/>
      <c r="E43" s="246"/>
      <c r="F43" s="246"/>
      <c r="G43" s="246"/>
      <c r="H43" s="246"/>
      <c r="I43" s="246" t="s">
        <v>605</v>
      </c>
      <c r="J43" s="170"/>
      <c r="K43" s="170" t="s">
        <v>637</v>
      </c>
      <c r="L43" s="246"/>
      <c r="M43" s="246"/>
      <c r="N43" s="246"/>
      <c r="O43" s="246"/>
      <c r="P43" s="246"/>
      <c r="Q43" s="246"/>
      <c r="R43" s="246"/>
      <c r="S43" s="246"/>
      <c r="T43" s="246"/>
      <c r="U43" s="246"/>
      <c r="V43" s="246"/>
      <c r="W43" s="246"/>
      <c r="X43" s="246"/>
      <c r="Y43" s="246"/>
      <c r="Z43" s="246"/>
      <c r="AA43" s="246"/>
      <c r="AB43" s="246"/>
      <c r="AC43" s="246"/>
      <c r="AD43" s="246"/>
      <c r="AE43" s="246"/>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CE43" s="94"/>
    </row>
    <row r="44" spans="2:83" x14ac:dyDescent="0.15">
      <c r="B44" s="246"/>
      <c r="C44" s="246"/>
      <c r="D44" s="246"/>
      <c r="E44" s="246"/>
      <c r="F44" s="246"/>
      <c r="G44" s="246"/>
      <c r="H44" s="246"/>
      <c r="I44" s="246"/>
      <c r="J44" s="170"/>
      <c r="K44" s="170"/>
      <c r="L44" s="246"/>
      <c r="M44" s="246"/>
      <c r="N44" s="246"/>
      <c r="O44" s="246"/>
      <c r="P44" s="246"/>
      <c r="Q44" s="246"/>
      <c r="R44" s="246"/>
      <c r="S44" s="246"/>
      <c r="T44" s="246"/>
      <c r="U44" s="246"/>
      <c r="V44" s="246"/>
      <c r="W44" s="246"/>
      <c r="X44" s="246"/>
      <c r="Y44" s="246"/>
      <c r="Z44" s="246"/>
      <c r="AA44" s="246"/>
      <c r="AB44" s="246"/>
      <c r="AC44" s="246"/>
      <c r="AD44" s="246"/>
      <c r="AE44" s="246"/>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CE44" s="94"/>
    </row>
    <row r="45" spans="2:83" x14ac:dyDescent="0.15">
      <c r="B45" s="171"/>
      <c r="C45" s="171" t="s">
        <v>638</v>
      </c>
      <c r="D45" s="246"/>
      <c r="E45" s="246"/>
      <c r="F45" s="246"/>
      <c r="G45" s="246"/>
      <c r="H45" s="246"/>
      <c r="I45" s="171" t="s">
        <v>639</v>
      </c>
      <c r="J45" s="170"/>
      <c r="K45" s="170"/>
      <c r="L45" s="246"/>
      <c r="M45" s="246"/>
      <c r="N45" s="246"/>
      <c r="O45" s="246"/>
      <c r="P45" s="246"/>
      <c r="Q45" s="246"/>
      <c r="R45" s="246"/>
      <c r="S45" s="246"/>
      <c r="T45" s="246"/>
      <c r="U45" s="246"/>
      <c r="V45" s="246"/>
      <c r="W45" s="246"/>
      <c r="X45" s="246"/>
      <c r="Y45" s="246"/>
      <c r="Z45" s="246"/>
      <c r="AA45" s="246"/>
      <c r="AB45" s="246"/>
      <c r="AC45" s="246"/>
      <c r="AD45" s="246"/>
      <c r="AE45" s="246"/>
      <c r="CE45" s="94"/>
    </row>
    <row r="46" spans="2:83" x14ac:dyDescent="0.15">
      <c r="B46" s="246" t="s">
        <v>605</v>
      </c>
      <c r="C46" s="246" t="s">
        <v>605</v>
      </c>
      <c r="D46" s="246"/>
      <c r="E46" s="246"/>
      <c r="F46" s="246"/>
      <c r="G46" s="246"/>
      <c r="H46" s="246"/>
      <c r="I46" s="246" t="s">
        <v>605</v>
      </c>
      <c r="J46" s="170" t="s">
        <v>640</v>
      </c>
      <c r="K46" s="170"/>
      <c r="L46" s="246"/>
      <c r="M46" s="246"/>
      <c r="N46" s="246"/>
      <c r="O46" s="246"/>
      <c r="P46" s="246"/>
      <c r="Q46" s="246"/>
      <c r="R46" s="246"/>
      <c r="S46" s="246"/>
      <c r="T46" s="246"/>
      <c r="U46" s="246"/>
      <c r="V46" s="246"/>
      <c r="W46" s="246"/>
      <c r="X46" s="246"/>
      <c r="Y46" s="246"/>
      <c r="Z46" s="246"/>
      <c r="AA46" s="246"/>
      <c r="AB46" s="246"/>
      <c r="AC46" s="246"/>
      <c r="AD46" s="246"/>
      <c r="AE46" s="246"/>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CE46" s="94"/>
    </row>
    <row r="47" spans="2:83" x14ac:dyDescent="0.15">
      <c r="B47" s="246" t="s">
        <v>605</v>
      </c>
      <c r="C47" s="246" t="s">
        <v>605</v>
      </c>
      <c r="D47" s="246"/>
      <c r="E47" s="246"/>
      <c r="F47" s="246"/>
      <c r="G47" s="246"/>
      <c r="H47" s="246"/>
      <c r="I47" s="246" t="s">
        <v>605</v>
      </c>
      <c r="J47" s="170" t="s">
        <v>641</v>
      </c>
      <c r="K47" s="170"/>
      <c r="L47" s="246"/>
      <c r="M47" s="246"/>
      <c r="N47" s="246"/>
      <c r="O47" s="246"/>
      <c r="P47" s="246"/>
      <c r="Q47" s="246"/>
      <c r="R47" s="246"/>
      <c r="S47" s="246"/>
      <c r="T47" s="246"/>
      <c r="U47" s="246"/>
      <c r="V47" s="246"/>
      <c r="W47" s="246"/>
      <c r="X47" s="246"/>
      <c r="Y47" s="246"/>
      <c r="Z47" s="246"/>
      <c r="AA47" s="246"/>
      <c r="AB47" s="246"/>
      <c r="AC47" s="246"/>
      <c r="AD47" s="246"/>
      <c r="AE47" s="246"/>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CE47" s="94"/>
    </row>
    <row r="48" spans="2:83" x14ac:dyDescent="0.15">
      <c r="B48" s="246" t="s">
        <v>605</v>
      </c>
      <c r="C48" s="246" t="s">
        <v>605</v>
      </c>
      <c r="D48" s="246"/>
      <c r="E48" s="246"/>
      <c r="F48" s="246"/>
      <c r="G48" s="246"/>
      <c r="H48" s="246"/>
      <c r="I48" s="246" t="s">
        <v>605</v>
      </c>
      <c r="J48" s="170"/>
      <c r="K48" s="170" t="s">
        <v>642</v>
      </c>
      <c r="L48" s="246"/>
      <c r="M48" s="246"/>
      <c r="N48" s="246"/>
      <c r="O48" s="246"/>
      <c r="P48" s="246"/>
      <c r="Q48" s="246"/>
      <c r="R48" s="246"/>
      <c r="S48" s="246"/>
      <c r="T48" s="246"/>
      <c r="U48" s="246"/>
      <c r="V48" s="246"/>
      <c r="W48" s="246"/>
      <c r="X48" s="246"/>
      <c r="Y48" s="246"/>
      <c r="Z48" s="246"/>
      <c r="AA48" s="246"/>
      <c r="AB48" s="246"/>
      <c r="AC48" s="246"/>
      <c r="AD48" s="246"/>
      <c r="AE48" s="246"/>
      <c r="AF48" s="301" t="s">
        <v>922</v>
      </c>
      <c r="AG48" s="302"/>
      <c r="AH48" s="302"/>
      <c r="AI48" s="302"/>
      <c r="AJ48" s="302"/>
      <c r="AK48" s="302"/>
      <c r="AL48" s="302"/>
      <c r="AM48" s="302"/>
      <c r="AN48" s="302"/>
      <c r="AO48" s="302"/>
      <c r="AP48" s="302"/>
      <c r="AQ48" s="302"/>
      <c r="AR48" s="302"/>
      <c r="AS48" s="302"/>
      <c r="AT48" s="302"/>
      <c r="AU48" s="302"/>
      <c r="AV48" s="302"/>
      <c r="AW48" s="302"/>
      <c r="AX48" s="302"/>
      <c r="AY48" s="302"/>
      <c r="AZ48" s="302"/>
      <c r="BA48" s="302"/>
      <c r="BB48" s="302"/>
      <c r="BC48" s="302"/>
      <c r="BD48" s="302"/>
      <c r="BE48" s="302"/>
      <c r="CE48" s="94"/>
    </row>
    <row r="49" spans="2:83" x14ac:dyDescent="0.15">
      <c r="B49" s="246" t="s">
        <v>605</v>
      </c>
      <c r="C49" s="246" t="s">
        <v>605</v>
      </c>
      <c r="D49" s="246"/>
      <c r="E49" s="246"/>
      <c r="F49" s="246"/>
      <c r="G49" s="246"/>
      <c r="H49" s="246"/>
      <c r="I49" s="246" t="s">
        <v>605</v>
      </c>
      <c r="J49" s="170"/>
      <c r="K49" s="170" t="s">
        <v>643</v>
      </c>
      <c r="L49" s="246"/>
      <c r="M49" s="246"/>
      <c r="N49" s="246"/>
      <c r="O49" s="246"/>
      <c r="P49" s="246"/>
      <c r="Q49" s="246"/>
      <c r="R49" s="246"/>
      <c r="S49" s="246"/>
      <c r="T49" s="246"/>
      <c r="U49" s="246"/>
      <c r="V49" s="246"/>
      <c r="W49" s="246"/>
      <c r="X49" s="246"/>
      <c r="Y49" s="246"/>
      <c r="Z49" s="246"/>
      <c r="AA49" s="246"/>
      <c r="AB49" s="246"/>
      <c r="AC49" s="246"/>
      <c r="AD49" s="246"/>
      <c r="AE49" s="246"/>
      <c r="AF49" s="301" t="s">
        <v>923</v>
      </c>
      <c r="AG49" s="302"/>
      <c r="AH49" s="302"/>
      <c r="AI49" s="302"/>
      <c r="AJ49" s="302"/>
      <c r="AK49" s="302"/>
      <c r="AL49" s="302"/>
      <c r="AM49" s="302"/>
      <c r="AN49" s="302"/>
      <c r="AO49" s="302"/>
      <c r="AP49" s="302"/>
      <c r="AQ49" s="302"/>
      <c r="AR49" s="302"/>
      <c r="AS49" s="302"/>
      <c r="AT49" s="302"/>
      <c r="AU49" s="302"/>
      <c r="AV49" s="302"/>
      <c r="AW49" s="302"/>
      <c r="AX49" s="302"/>
      <c r="AY49" s="302"/>
      <c r="AZ49" s="302"/>
      <c r="BA49" s="302"/>
      <c r="BB49" s="302"/>
      <c r="BC49" s="302"/>
      <c r="BD49" s="302"/>
      <c r="BE49" s="302"/>
      <c r="CE49" s="94"/>
    </row>
    <row r="50" spans="2:83" x14ac:dyDescent="0.15">
      <c r="B50" s="246"/>
      <c r="C50" s="246"/>
      <c r="D50" s="246"/>
      <c r="E50" s="246"/>
      <c r="F50" s="246"/>
      <c r="G50" s="246"/>
      <c r="H50" s="246"/>
      <c r="I50" s="246"/>
      <c r="J50" s="170"/>
      <c r="K50" s="170"/>
      <c r="L50" s="246"/>
      <c r="M50" s="246"/>
      <c r="N50" s="246"/>
      <c r="O50" s="246"/>
      <c r="P50" s="246"/>
      <c r="Q50" s="246"/>
      <c r="R50" s="246"/>
      <c r="S50" s="246"/>
      <c r="T50" s="246"/>
      <c r="U50" s="246"/>
      <c r="V50" s="246"/>
      <c r="W50" s="246"/>
      <c r="X50" s="246"/>
      <c r="Y50" s="246"/>
      <c r="Z50" s="246"/>
      <c r="AA50" s="246"/>
      <c r="AB50" s="246"/>
      <c r="AC50" s="246"/>
      <c r="AD50" s="246"/>
      <c r="AE50" s="246"/>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CE50" s="94"/>
    </row>
    <row r="51" spans="2:83" x14ac:dyDescent="0.15">
      <c r="B51" s="171"/>
      <c r="C51" s="171" t="s">
        <v>644</v>
      </c>
      <c r="D51" s="246"/>
      <c r="E51" s="246"/>
      <c r="F51" s="246"/>
      <c r="G51" s="246"/>
      <c r="H51" s="246"/>
      <c r="I51" s="171" t="s">
        <v>645</v>
      </c>
      <c r="J51" s="170"/>
      <c r="K51" s="170"/>
      <c r="L51" s="246"/>
      <c r="M51" s="246"/>
      <c r="N51" s="246"/>
      <c r="O51" s="246"/>
      <c r="P51" s="246"/>
      <c r="Q51" s="246"/>
      <c r="R51" s="246"/>
      <c r="S51" s="246"/>
      <c r="T51" s="246"/>
      <c r="U51" s="246"/>
      <c r="V51" s="246"/>
      <c r="W51" s="246"/>
      <c r="X51" s="246"/>
      <c r="Y51" s="246"/>
      <c r="Z51" s="246"/>
      <c r="AA51" s="246"/>
      <c r="AB51" s="246"/>
      <c r="AC51" s="246"/>
      <c r="AD51" s="246"/>
      <c r="AE51" s="246"/>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CE51" s="94"/>
    </row>
    <row r="52" spans="2:83" x14ac:dyDescent="0.15">
      <c r="B52" s="246" t="s">
        <v>605</v>
      </c>
      <c r="C52" s="246" t="s">
        <v>605</v>
      </c>
      <c r="D52" s="246"/>
      <c r="E52" s="246"/>
      <c r="F52" s="246"/>
      <c r="G52" s="246"/>
      <c r="H52" s="246"/>
      <c r="I52" s="246" t="s">
        <v>605</v>
      </c>
      <c r="J52" s="170" t="s">
        <v>646</v>
      </c>
      <c r="K52" s="170"/>
      <c r="L52" s="246"/>
      <c r="M52" s="246"/>
      <c r="N52" s="246"/>
      <c r="O52" s="246"/>
      <c r="P52" s="246"/>
      <c r="Q52" s="246"/>
      <c r="R52" s="246"/>
      <c r="S52" s="246"/>
      <c r="T52" s="246"/>
      <c r="U52" s="246"/>
      <c r="V52" s="246"/>
      <c r="W52" s="246"/>
      <c r="X52" s="246"/>
      <c r="Y52" s="246"/>
      <c r="Z52" s="246"/>
      <c r="AA52" s="246"/>
      <c r="AB52" s="246"/>
      <c r="AC52" s="246"/>
      <c r="AD52" s="246"/>
      <c r="AE52" s="246"/>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CE52" s="94"/>
    </row>
    <row r="53" spans="2:83" x14ac:dyDescent="0.15">
      <c r="B53" s="246" t="s">
        <v>605</v>
      </c>
      <c r="C53" s="246" t="s">
        <v>605</v>
      </c>
      <c r="D53" s="246"/>
      <c r="E53" s="246"/>
      <c r="F53" s="246"/>
      <c r="G53" s="246"/>
      <c r="H53" s="246"/>
      <c r="I53" s="246" t="s">
        <v>605</v>
      </c>
      <c r="J53" s="170" t="s">
        <v>647</v>
      </c>
      <c r="K53" s="170"/>
      <c r="L53" s="246"/>
      <c r="M53" s="246"/>
      <c r="N53" s="246"/>
      <c r="O53" s="246"/>
      <c r="P53" s="246"/>
      <c r="Q53" s="246"/>
      <c r="R53" s="246"/>
      <c r="S53" s="246"/>
      <c r="T53" s="246"/>
      <c r="U53" s="246"/>
      <c r="V53" s="246"/>
      <c r="W53" s="246"/>
      <c r="X53" s="246"/>
      <c r="Y53" s="246"/>
      <c r="Z53" s="246"/>
      <c r="AA53" s="246"/>
      <c r="AB53" s="246"/>
      <c r="AC53" s="246"/>
      <c r="AD53" s="246"/>
      <c r="AE53" s="246"/>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CE53" s="94"/>
    </row>
    <row r="54" spans="2:83" x14ac:dyDescent="0.15">
      <c r="B54" s="246" t="s">
        <v>605</v>
      </c>
      <c r="C54" s="246" t="s">
        <v>605</v>
      </c>
      <c r="D54" s="246"/>
      <c r="E54" s="246"/>
      <c r="F54" s="246"/>
      <c r="G54" s="246"/>
      <c r="H54" s="246"/>
      <c r="I54" s="246" t="s">
        <v>605</v>
      </c>
      <c r="J54" s="170"/>
      <c r="K54" s="170" t="s">
        <v>648</v>
      </c>
      <c r="L54" s="246"/>
      <c r="M54" s="246"/>
      <c r="N54" s="246"/>
      <c r="O54" s="246"/>
      <c r="P54" s="246"/>
      <c r="Q54" s="246"/>
      <c r="R54" s="246"/>
      <c r="S54" s="246"/>
      <c r="T54" s="246"/>
      <c r="U54" s="246"/>
      <c r="V54" s="246"/>
      <c r="W54" s="246"/>
      <c r="X54" s="246"/>
      <c r="Y54" s="246"/>
      <c r="Z54" s="246"/>
      <c r="AA54" s="246"/>
      <c r="AB54" s="246"/>
      <c r="AC54" s="246"/>
      <c r="AD54" s="246"/>
      <c r="AE54" s="246"/>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CE54" s="94"/>
    </row>
    <row r="55" spans="2:83" x14ac:dyDescent="0.15">
      <c r="B55" s="246" t="s">
        <v>605</v>
      </c>
      <c r="C55" s="246" t="s">
        <v>605</v>
      </c>
      <c r="D55" s="246"/>
      <c r="E55" s="246"/>
      <c r="F55" s="246"/>
      <c r="G55" s="246"/>
      <c r="H55" s="246"/>
      <c r="I55" s="246" t="s">
        <v>605</v>
      </c>
      <c r="J55" s="170"/>
      <c r="K55" s="170" t="s">
        <v>649</v>
      </c>
      <c r="L55" s="246"/>
      <c r="M55" s="246"/>
      <c r="N55" s="246"/>
      <c r="O55" s="246"/>
      <c r="P55" s="246"/>
      <c r="Q55" s="246"/>
      <c r="R55" s="246"/>
      <c r="S55" s="246"/>
      <c r="T55" s="246"/>
      <c r="U55" s="246"/>
      <c r="V55" s="246"/>
      <c r="W55" s="246"/>
      <c r="X55" s="246"/>
      <c r="Y55" s="246"/>
      <c r="Z55" s="246"/>
      <c r="AA55" s="246"/>
      <c r="AB55" s="246"/>
      <c r="AC55" s="246"/>
      <c r="AD55" s="246"/>
      <c r="AE55" s="246"/>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CE55" s="94"/>
    </row>
    <row r="56" spans="2:83" x14ac:dyDescent="0.15">
      <c r="B56" s="246"/>
      <c r="C56" s="246"/>
      <c r="D56" s="246"/>
      <c r="E56" s="246"/>
      <c r="F56" s="246"/>
      <c r="G56" s="246"/>
      <c r="H56" s="246"/>
      <c r="I56" s="246"/>
      <c r="J56" s="170"/>
      <c r="K56" s="170"/>
      <c r="L56" s="246"/>
      <c r="M56" s="246"/>
      <c r="N56" s="246"/>
      <c r="O56" s="246"/>
      <c r="P56" s="246"/>
      <c r="Q56" s="246"/>
      <c r="R56" s="246"/>
      <c r="S56" s="246"/>
      <c r="T56" s="246"/>
      <c r="U56" s="246"/>
      <c r="V56" s="246"/>
      <c r="W56" s="246"/>
      <c r="X56" s="246"/>
      <c r="Y56" s="246"/>
      <c r="Z56" s="246"/>
      <c r="AA56" s="246"/>
      <c r="AB56" s="246"/>
      <c r="AC56" s="246"/>
      <c r="AD56" s="246"/>
      <c r="AE56" s="246"/>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CE56" s="94"/>
    </row>
    <row r="57" spans="2:83" x14ac:dyDescent="0.15">
      <c r="B57" s="171"/>
      <c r="C57" s="171" t="s">
        <v>650</v>
      </c>
      <c r="D57" s="246"/>
      <c r="E57" s="246"/>
      <c r="F57" s="246"/>
      <c r="G57" s="246"/>
      <c r="H57" s="246"/>
      <c r="I57" s="171" t="s">
        <v>651</v>
      </c>
      <c r="J57" s="170"/>
      <c r="K57" s="170"/>
      <c r="L57" s="246"/>
      <c r="M57" s="246"/>
      <c r="N57" s="246"/>
      <c r="O57" s="246"/>
      <c r="P57" s="246"/>
      <c r="Q57" s="246"/>
      <c r="R57" s="246"/>
      <c r="S57" s="246"/>
      <c r="T57" s="246"/>
      <c r="U57" s="246"/>
      <c r="V57" s="246"/>
      <c r="W57" s="246"/>
      <c r="X57" s="246"/>
      <c r="Y57" s="246"/>
      <c r="Z57" s="246"/>
      <c r="AA57" s="246"/>
      <c r="AB57" s="246"/>
      <c r="AC57" s="246"/>
      <c r="AD57" s="246"/>
      <c r="AE57" s="246"/>
      <c r="AF57" s="301" t="s">
        <v>913</v>
      </c>
      <c r="AG57" s="302"/>
      <c r="AH57" s="302"/>
      <c r="AI57" s="302"/>
      <c r="AJ57" s="302"/>
      <c r="AK57" s="302"/>
      <c r="AL57" s="302"/>
      <c r="AM57" s="302"/>
      <c r="AN57" s="302"/>
      <c r="AO57" s="302"/>
      <c r="AP57" s="302"/>
      <c r="AQ57" s="302"/>
      <c r="AR57" s="302"/>
      <c r="AS57" s="302"/>
      <c r="AT57" s="302"/>
      <c r="AU57" s="302"/>
      <c r="AV57" s="302"/>
      <c r="AW57" s="302"/>
      <c r="AX57" s="302"/>
      <c r="AY57" s="302"/>
      <c r="AZ57" s="302"/>
      <c r="BA57" s="302"/>
      <c r="BB57" s="302"/>
      <c r="BC57" s="302"/>
      <c r="BD57" s="302"/>
      <c r="BE57" s="302"/>
      <c r="CE57" s="94"/>
    </row>
    <row r="58" spans="2:83" x14ac:dyDescent="0.15">
      <c r="B58" s="246" t="s">
        <v>605</v>
      </c>
      <c r="C58" s="246" t="s">
        <v>605</v>
      </c>
      <c r="D58" s="246"/>
      <c r="E58" s="246"/>
      <c r="F58" s="246"/>
      <c r="G58" s="246"/>
      <c r="H58" s="246"/>
      <c r="I58" s="246" t="s">
        <v>605</v>
      </c>
      <c r="J58" s="170" t="s">
        <v>652</v>
      </c>
      <c r="K58" s="170"/>
      <c r="L58" s="246"/>
      <c r="M58" s="246"/>
      <c r="N58" s="246"/>
      <c r="O58" s="246"/>
      <c r="P58" s="246"/>
      <c r="Q58" s="246"/>
      <c r="R58" s="246"/>
      <c r="S58" s="246"/>
      <c r="T58" s="246"/>
      <c r="U58" s="246"/>
      <c r="V58" s="246"/>
      <c r="W58" s="246"/>
      <c r="X58" s="246"/>
      <c r="Y58" s="246"/>
      <c r="Z58" s="246"/>
      <c r="AA58" s="246"/>
      <c r="AB58" s="246"/>
      <c r="AC58" s="246"/>
      <c r="AD58" s="246"/>
      <c r="AE58" s="246"/>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CE58" s="94"/>
    </row>
    <row r="59" spans="2:83" x14ac:dyDescent="0.15">
      <c r="B59" s="246"/>
      <c r="C59" s="246"/>
      <c r="D59" s="246"/>
      <c r="E59" s="246"/>
      <c r="F59" s="246"/>
      <c r="G59" s="246"/>
      <c r="H59" s="246"/>
      <c r="I59" s="246"/>
      <c r="J59" s="170"/>
      <c r="K59" s="170"/>
      <c r="L59" s="246"/>
      <c r="M59" s="246"/>
      <c r="N59" s="246"/>
      <c r="O59" s="246"/>
      <c r="P59" s="246"/>
      <c r="Q59" s="246"/>
      <c r="R59" s="246"/>
      <c r="S59" s="246"/>
      <c r="T59" s="246"/>
      <c r="U59" s="246"/>
      <c r="V59" s="246"/>
      <c r="W59" s="246"/>
      <c r="X59" s="246"/>
      <c r="Y59" s="246"/>
      <c r="Z59" s="246"/>
      <c r="AA59" s="246"/>
      <c r="AB59" s="246"/>
      <c r="AC59" s="246"/>
      <c r="AD59" s="246"/>
      <c r="AE59" s="246"/>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CE59" s="94"/>
    </row>
    <row r="60" spans="2:83" x14ac:dyDescent="0.15">
      <c r="B60" s="246"/>
      <c r="C60" s="246"/>
      <c r="D60" s="246"/>
      <c r="E60" s="246"/>
      <c r="F60" s="246"/>
      <c r="G60" s="246"/>
      <c r="H60" s="246"/>
      <c r="I60" s="246"/>
      <c r="J60" s="170"/>
      <c r="K60" s="170"/>
      <c r="L60" s="246"/>
      <c r="M60" s="246"/>
      <c r="N60" s="246"/>
      <c r="O60" s="246"/>
      <c r="P60" s="246"/>
      <c r="Q60" s="246"/>
      <c r="R60" s="246"/>
      <c r="S60" s="246"/>
      <c r="T60" s="246"/>
      <c r="U60" s="246"/>
      <c r="V60" s="246"/>
      <c r="W60" s="246"/>
      <c r="X60" s="246"/>
      <c r="Y60" s="246"/>
      <c r="Z60" s="246"/>
      <c r="AA60" s="246"/>
      <c r="AB60" s="246"/>
      <c r="AC60" s="246"/>
      <c r="AD60" s="246"/>
      <c r="AE60" s="246"/>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CE60" s="94"/>
    </row>
    <row r="61" spans="2:83" ht="12.75" x14ac:dyDescent="0.15">
      <c r="B61" s="119" t="s">
        <v>653</v>
      </c>
      <c r="C61" s="119"/>
      <c r="D61" s="246"/>
      <c r="E61" s="246"/>
      <c r="F61" s="246"/>
      <c r="G61" s="246"/>
      <c r="H61" s="246"/>
      <c r="I61" s="119" t="s">
        <v>654</v>
      </c>
      <c r="J61" s="170"/>
      <c r="K61" s="170"/>
      <c r="L61" s="246"/>
      <c r="M61" s="246"/>
      <c r="N61" s="246"/>
      <c r="O61" s="246"/>
      <c r="P61" s="246"/>
      <c r="Q61" s="246"/>
      <c r="R61" s="246"/>
      <c r="S61" s="246"/>
      <c r="T61" s="246"/>
      <c r="U61" s="246"/>
      <c r="V61" s="246"/>
      <c r="W61" s="246"/>
      <c r="X61" s="246"/>
      <c r="Y61" s="246"/>
      <c r="Z61" s="246"/>
      <c r="AA61" s="246"/>
      <c r="AB61" s="246"/>
      <c r="AC61" s="246"/>
      <c r="AD61" s="246"/>
      <c r="AE61" s="246"/>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CE61" s="94"/>
    </row>
    <row r="62" spans="2:83" x14ac:dyDescent="0.15">
      <c r="B62" s="246"/>
      <c r="C62" s="246"/>
      <c r="D62" s="246"/>
      <c r="E62" s="246"/>
      <c r="F62" s="246"/>
      <c r="G62" s="246"/>
      <c r="H62" s="246"/>
      <c r="I62" s="246"/>
      <c r="J62" s="170"/>
      <c r="K62" s="170"/>
      <c r="L62" s="246"/>
      <c r="M62" s="246"/>
      <c r="N62" s="246"/>
      <c r="O62" s="246"/>
      <c r="P62" s="246"/>
      <c r="Q62" s="246"/>
      <c r="R62" s="246"/>
      <c r="S62" s="246"/>
      <c r="T62" s="246"/>
      <c r="U62" s="246"/>
      <c r="V62" s="246"/>
      <c r="W62" s="246"/>
      <c r="X62" s="246"/>
      <c r="Y62" s="246"/>
      <c r="Z62" s="246"/>
      <c r="AA62" s="246"/>
      <c r="AB62" s="246"/>
      <c r="AC62" s="246"/>
      <c r="AD62" s="246"/>
      <c r="AE62" s="246"/>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CE62" s="94"/>
    </row>
    <row r="63" spans="2:83" x14ac:dyDescent="0.15">
      <c r="B63" s="171"/>
      <c r="C63" s="171" t="s">
        <v>655</v>
      </c>
      <c r="D63" s="246"/>
      <c r="E63" s="246"/>
      <c r="F63" s="246"/>
      <c r="G63" s="246"/>
      <c r="H63" s="246"/>
      <c r="I63" s="171" t="s">
        <v>656</v>
      </c>
      <c r="J63" s="170"/>
      <c r="K63" s="170"/>
      <c r="L63" s="246"/>
      <c r="M63" s="246"/>
      <c r="N63" s="246"/>
      <c r="O63" s="246"/>
      <c r="P63" s="246"/>
      <c r="Q63" s="246"/>
      <c r="R63" s="246"/>
      <c r="S63" s="246"/>
      <c r="T63" s="246"/>
      <c r="U63" s="246"/>
      <c r="V63" s="246"/>
      <c r="W63" s="246"/>
      <c r="X63" s="246"/>
      <c r="Y63" s="246"/>
      <c r="Z63" s="246"/>
      <c r="AA63" s="246"/>
      <c r="AB63" s="246"/>
      <c r="AC63" s="246"/>
      <c r="AD63" s="246"/>
      <c r="AE63" s="246"/>
      <c r="AF63" s="301" t="s">
        <v>914</v>
      </c>
      <c r="AG63" s="302"/>
      <c r="AH63" s="302"/>
      <c r="AI63" s="302"/>
      <c r="AJ63" s="302"/>
      <c r="AK63" s="302"/>
      <c r="AL63" s="302"/>
      <c r="AM63" s="302"/>
      <c r="AN63" s="302"/>
      <c r="AO63" s="302"/>
      <c r="AP63" s="302"/>
      <c r="AQ63" s="302"/>
      <c r="AR63" s="302"/>
      <c r="AS63" s="302"/>
      <c r="AT63" s="302"/>
      <c r="AU63" s="302"/>
      <c r="AV63" s="302"/>
      <c r="AW63" s="302"/>
      <c r="AX63" s="302"/>
      <c r="AY63" s="302"/>
      <c r="AZ63" s="302"/>
      <c r="BA63" s="302"/>
      <c r="BB63" s="302"/>
      <c r="BC63" s="302"/>
      <c r="BD63" s="302"/>
      <c r="BE63" s="302"/>
      <c r="CE63" s="94"/>
    </row>
    <row r="64" spans="2:83" x14ac:dyDescent="0.15">
      <c r="B64" s="246" t="s">
        <v>605</v>
      </c>
      <c r="C64" s="246" t="s">
        <v>605</v>
      </c>
      <c r="D64" s="246"/>
      <c r="E64" s="246"/>
      <c r="F64" s="246"/>
      <c r="G64" s="246"/>
      <c r="H64" s="246"/>
      <c r="I64" s="246" t="s">
        <v>605</v>
      </c>
      <c r="J64" s="170" t="s">
        <v>657</v>
      </c>
      <c r="K64" s="170"/>
      <c r="L64" s="246"/>
      <c r="M64" s="246"/>
      <c r="N64" s="246"/>
      <c r="O64" s="246"/>
      <c r="P64" s="246"/>
      <c r="Q64" s="246"/>
      <c r="R64" s="246"/>
      <c r="S64" s="246"/>
      <c r="T64" s="246"/>
      <c r="U64" s="246"/>
      <c r="V64" s="246"/>
      <c r="W64" s="246"/>
      <c r="X64" s="246"/>
      <c r="Y64" s="246"/>
      <c r="Z64" s="246"/>
      <c r="AA64" s="246"/>
      <c r="AB64" s="246"/>
      <c r="AC64" s="246"/>
      <c r="AD64" s="246"/>
      <c r="AE64" s="246"/>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CE64" s="94"/>
    </row>
    <row r="65" spans="2:83" x14ac:dyDescent="0.15">
      <c r="B65" s="246"/>
      <c r="C65" s="246"/>
      <c r="D65" s="246"/>
      <c r="E65" s="246"/>
      <c r="F65" s="246"/>
      <c r="G65" s="246"/>
      <c r="H65" s="246"/>
      <c r="I65" s="246"/>
      <c r="J65" s="170"/>
      <c r="K65" s="170"/>
      <c r="L65" s="246"/>
      <c r="M65" s="246"/>
      <c r="N65" s="246"/>
      <c r="O65" s="246"/>
      <c r="P65" s="246"/>
      <c r="Q65" s="246"/>
      <c r="R65" s="246"/>
      <c r="S65" s="246"/>
      <c r="T65" s="246"/>
      <c r="U65" s="246"/>
      <c r="V65" s="246"/>
      <c r="W65" s="246"/>
      <c r="X65" s="246"/>
      <c r="Y65" s="246"/>
      <c r="Z65" s="246"/>
      <c r="AA65" s="246"/>
      <c r="AB65" s="246"/>
      <c r="AC65" s="246"/>
      <c r="AD65" s="246"/>
      <c r="AE65" s="246"/>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CE65" s="94"/>
    </row>
    <row r="66" spans="2:83" x14ac:dyDescent="0.15">
      <c r="B66" s="171"/>
      <c r="C66" s="171" t="s">
        <v>658</v>
      </c>
      <c r="D66" s="246"/>
      <c r="E66" s="246"/>
      <c r="F66" s="246"/>
      <c r="G66" s="246"/>
      <c r="H66" s="246"/>
      <c r="I66" s="171" t="s">
        <v>659</v>
      </c>
      <c r="J66" s="170"/>
      <c r="K66" s="170"/>
      <c r="L66" s="246"/>
      <c r="M66" s="246"/>
      <c r="N66" s="246"/>
      <c r="O66" s="246"/>
      <c r="P66" s="246"/>
      <c r="Q66" s="246"/>
      <c r="R66" s="246"/>
      <c r="S66" s="246"/>
      <c r="T66" s="246"/>
      <c r="U66" s="246"/>
      <c r="V66" s="246"/>
      <c r="W66" s="246"/>
      <c r="X66" s="246"/>
      <c r="Y66" s="246"/>
      <c r="Z66" s="246"/>
      <c r="AA66" s="246"/>
      <c r="AB66" s="246"/>
      <c r="AC66" s="246"/>
      <c r="AD66" s="246"/>
      <c r="AE66" s="246"/>
      <c r="AF66" s="301" t="s">
        <v>916</v>
      </c>
      <c r="AG66" s="302"/>
      <c r="AH66" s="302"/>
      <c r="AI66" s="302"/>
      <c r="AJ66" s="302"/>
      <c r="AK66" s="302"/>
      <c r="AL66" s="302"/>
      <c r="AM66" s="302"/>
      <c r="AN66" s="302"/>
      <c r="AO66" s="302"/>
      <c r="AP66" s="302"/>
      <c r="AQ66" s="302"/>
      <c r="AR66" s="302"/>
      <c r="AS66" s="302"/>
      <c r="AT66" s="302"/>
      <c r="AU66" s="302"/>
      <c r="AV66" s="302"/>
      <c r="AW66" s="302"/>
      <c r="AX66" s="302"/>
      <c r="AY66" s="302"/>
      <c r="AZ66" s="302"/>
      <c r="BA66" s="302"/>
      <c r="BB66" s="302"/>
      <c r="BC66" s="302"/>
      <c r="BD66" s="302"/>
      <c r="BE66" s="302"/>
      <c r="CE66" s="94"/>
    </row>
    <row r="67" spans="2:83" x14ac:dyDescent="0.15">
      <c r="B67" s="246" t="s">
        <v>605</v>
      </c>
      <c r="C67" s="246" t="s">
        <v>605</v>
      </c>
      <c r="D67" s="246"/>
      <c r="E67" s="246"/>
      <c r="F67" s="246"/>
      <c r="G67" s="246"/>
      <c r="H67" s="246"/>
      <c r="I67" s="246" t="s">
        <v>605</v>
      </c>
      <c r="J67" s="170" t="s">
        <v>898</v>
      </c>
      <c r="K67" s="170"/>
      <c r="L67" s="246"/>
      <c r="M67" s="246"/>
      <c r="N67" s="246"/>
      <c r="O67" s="246"/>
      <c r="P67" s="246"/>
      <c r="Q67" s="246"/>
      <c r="R67" s="246"/>
      <c r="S67" s="246"/>
      <c r="T67" s="246"/>
      <c r="U67" s="246"/>
      <c r="V67" s="246"/>
      <c r="W67" s="246"/>
      <c r="X67" s="246"/>
      <c r="Y67" s="246"/>
      <c r="Z67" s="246"/>
      <c r="AA67" s="246"/>
      <c r="AB67" s="246"/>
      <c r="AC67" s="246"/>
      <c r="AD67" s="246"/>
      <c r="AE67" s="246"/>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CE67" s="94"/>
    </row>
    <row r="68" spans="2:83" s="15" customFormat="1" x14ac:dyDescent="0.15">
      <c r="B68" s="246"/>
      <c r="C68" s="246"/>
      <c r="D68" s="246"/>
      <c r="E68" s="246"/>
      <c r="F68" s="246"/>
      <c r="G68" s="246"/>
      <c r="H68" s="246"/>
      <c r="I68" s="246"/>
      <c r="J68" s="170" t="s">
        <v>899</v>
      </c>
      <c r="K68" s="170"/>
      <c r="L68" s="246"/>
      <c r="M68" s="246"/>
      <c r="N68" s="246"/>
      <c r="O68" s="246"/>
      <c r="P68" s="246"/>
      <c r="Q68" s="246"/>
      <c r="R68" s="246"/>
      <c r="S68" s="246"/>
      <c r="T68" s="246"/>
      <c r="U68" s="246"/>
      <c r="V68" s="246"/>
      <c r="W68" s="246"/>
      <c r="X68" s="246"/>
      <c r="Y68" s="246"/>
      <c r="Z68" s="246"/>
      <c r="AA68" s="246"/>
      <c r="AB68" s="246"/>
      <c r="AC68" s="246"/>
      <c r="AD68" s="246"/>
      <c r="AE68" s="246"/>
      <c r="CE68" s="94"/>
    </row>
    <row r="69" spans="2:83" x14ac:dyDescent="0.15">
      <c r="B69" s="246"/>
      <c r="C69" s="246"/>
      <c r="D69" s="246"/>
      <c r="E69" s="246"/>
      <c r="F69" s="246"/>
      <c r="G69" s="246"/>
      <c r="H69" s="246"/>
      <c r="I69" s="246"/>
      <c r="J69" s="170"/>
      <c r="K69" s="170"/>
      <c r="L69" s="246"/>
      <c r="M69" s="246"/>
      <c r="N69" s="246"/>
      <c r="O69" s="246"/>
      <c r="P69" s="246"/>
      <c r="Q69" s="246"/>
      <c r="R69" s="246"/>
      <c r="S69" s="246"/>
      <c r="T69" s="246"/>
      <c r="U69" s="246"/>
      <c r="V69" s="246"/>
      <c r="W69" s="246"/>
      <c r="X69" s="246"/>
      <c r="Y69" s="246"/>
      <c r="Z69" s="246"/>
      <c r="AA69" s="246"/>
      <c r="AB69" s="246"/>
      <c r="AC69" s="246"/>
      <c r="AD69" s="246"/>
      <c r="AE69" s="246"/>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CE69" s="94"/>
    </row>
    <row r="70" spans="2:83" x14ac:dyDescent="0.15">
      <c r="B70" s="171"/>
      <c r="C70" s="171" t="s">
        <v>660</v>
      </c>
      <c r="D70" s="246"/>
      <c r="E70" s="246"/>
      <c r="F70" s="246"/>
      <c r="G70" s="246"/>
      <c r="H70" s="246"/>
      <c r="I70" s="171" t="s">
        <v>661</v>
      </c>
      <c r="J70" s="170"/>
      <c r="K70" s="170"/>
      <c r="L70" s="246"/>
      <c r="M70" s="246"/>
      <c r="N70" s="246"/>
      <c r="O70" s="246"/>
      <c r="P70" s="246"/>
      <c r="Q70" s="246"/>
      <c r="R70" s="246"/>
      <c r="S70" s="246"/>
      <c r="T70" s="246"/>
      <c r="U70" s="246"/>
      <c r="V70" s="246"/>
      <c r="W70" s="246"/>
      <c r="X70" s="246"/>
      <c r="Y70" s="246"/>
      <c r="Z70" s="246"/>
      <c r="AA70" s="246"/>
      <c r="AB70" s="246"/>
      <c r="AC70" s="246"/>
      <c r="AD70" s="246"/>
      <c r="AE70" s="246"/>
      <c r="AF70" s="301" t="s">
        <v>916</v>
      </c>
      <c r="AG70" s="302"/>
      <c r="AH70" s="302"/>
      <c r="AI70" s="302"/>
      <c r="AJ70" s="302"/>
      <c r="AK70" s="302"/>
      <c r="AL70" s="302"/>
      <c r="AM70" s="302"/>
      <c r="AN70" s="302"/>
      <c r="AO70" s="302"/>
      <c r="AP70" s="302"/>
      <c r="AQ70" s="302"/>
      <c r="AR70" s="302"/>
      <c r="AS70" s="302"/>
      <c r="AT70" s="302"/>
      <c r="AU70" s="302"/>
      <c r="AV70" s="302"/>
      <c r="AW70" s="302"/>
      <c r="AX70" s="302"/>
      <c r="AY70" s="302"/>
      <c r="AZ70" s="302"/>
      <c r="BA70" s="302"/>
      <c r="BB70" s="302"/>
      <c r="BC70" s="302"/>
      <c r="BD70" s="302"/>
      <c r="BE70" s="302"/>
      <c r="CE70" s="94"/>
    </row>
    <row r="71" spans="2:83" x14ac:dyDescent="0.15">
      <c r="B71" s="246" t="s">
        <v>605</v>
      </c>
      <c r="C71" s="246" t="s">
        <v>605</v>
      </c>
      <c r="D71" s="246"/>
      <c r="E71" s="246"/>
      <c r="F71" s="246"/>
      <c r="G71" s="246"/>
      <c r="H71" s="246"/>
      <c r="I71" s="246" t="s">
        <v>605</v>
      </c>
      <c r="J71" s="170" t="s">
        <v>662</v>
      </c>
      <c r="K71" s="170"/>
      <c r="L71" s="246"/>
      <c r="M71" s="246"/>
      <c r="N71" s="246"/>
      <c r="O71" s="246"/>
      <c r="P71" s="246"/>
      <c r="Q71" s="246"/>
      <c r="R71" s="246"/>
      <c r="S71" s="246"/>
      <c r="T71" s="246"/>
      <c r="U71" s="246"/>
      <c r="V71" s="246"/>
      <c r="W71" s="246"/>
      <c r="X71" s="246"/>
      <c r="Y71" s="246"/>
      <c r="Z71" s="246"/>
      <c r="AA71" s="246"/>
      <c r="AB71" s="246"/>
      <c r="AC71" s="246"/>
      <c r="AD71" s="246"/>
      <c r="AE71" s="246"/>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CE71" s="94"/>
    </row>
    <row r="72" spans="2:83" x14ac:dyDescent="0.15">
      <c r="B72" s="246"/>
      <c r="C72" s="246"/>
      <c r="D72" s="246"/>
      <c r="E72" s="246"/>
      <c r="F72" s="246"/>
      <c r="G72" s="246"/>
      <c r="H72" s="246"/>
      <c r="I72" s="246"/>
      <c r="J72" s="170"/>
      <c r="K72" s="170"/>
      <c r="L72" s="246"/>
      <c r="M72" s="246"/>
      <c r="N72" s="246"/>
      <c r="O72" s="246"/>
      <c r="P72" s="246"/>
      <c r="Q72" s="246"/>
      <c r="R72" s="246"/>
      <c r="S72" s="246"/>
      <c r="T72" s="246"/>
      <c r="U72" s="246"/>
      <c r="V72" s="246"/>
      <c r="W72" s="246"/>
      <c r="X72" s="246"/>
      <c r="Y72" s="246"/>
      <c r="Z72" s="246"/>
      <c r="AA72" s="246"/>
      <c r="AB72" s="246"/>
      <c r="AC72" s="246"/>
      <c r="AD72" s="246"/>
      <c r="AE72" s="246"/>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CE72" s="94"/>
    </row>
    <row r="73" spans="2:83" x14ac:dyDescent="0.15">
      <c r="B73" s="246"/>
      <c r="C73" s="246"/>
      <c r="D73" s="246"/>
      <c r="E73" s="246"/>
      <c r="F73" s="246"/>
      <c r="G73" s="246"/>
      <c r="H73" s="246"/>
      <c r="I73" s="246"/>
      <c r="J73" s="170"/>
      <c r="K73" s="170"/>
      <c r="L73" s="246"/>
      <c r="M73" s="246"/>
      <c r="N73" s="246"/>
      <c r="O73" s="246"/>
      <c r="P73" s="246"/>
      <c r="Q73" s="246"/>
      <c r="R73" s="246"/>
      <c r="S73" s="246"/>
      <c r="T73" s="246"/>
      <c r="U73" s="246"/>
      <c r="V73" s="246"/>
      <c r="W73" s="246"/>
      <c r="X73" s="246"/>
      <c r="Y73" s="246"/>
      <c r="Z73" s="246"/>
      <c r="AA73" s="246"/>
      <c r="AB73" s="246"/>
      <c r="AC73" s="246"/>
      <c r="AD73" s="246"/>
      <c r="AE73" s="246"/>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CE73" s="94"/>
    </row>
    <row r="74" spans="2:83" x14ac:dyDescent="0.15">
      <c r="B74" s="171"/>
      <c r="C74" s="171" t="s">
        <v>663</v>
      </c>
      <c r="D74" s="246"/>
      <c r="E74" s="246"/>
      <c r="F74" s="246"/>
      <c r="G74" s="246"/>
      <c r="H74" s="246"/>
      <c r="I74" s="171" t="s">
        <v>49</v>
      </c>
      <c r="J74" s="170"/>
      <c r="K74" s="170"/>
      <c r="L74" s="246"/>
      <c r="M74" s="246"/>
      <c r="N74" s="246"/>
      <c r="O74" s="246"/>
      <c r="P74" s="246"/>
      <c r="Q74" s="246"/>
      <c r="R74" s="246"/>
      <c r="S74" s="246"/>
      <c r="T74" s="246"/>
      <c r="U74" s="246"/>
      <c r="V74" s="246"/>
      <c r="W74" s="246"/>
      <c r="X74" s="246"/>
      <c r="Y74" s="246"/>
      <c r="Z74" s="246"/>
      <c r="AA74" s="246"/>
      <c r="AB74" s="246"/>
      <c r="AC74" s="246"/>
      <c r="AD74" s="246"/>
      <c r="AE74" s="246"/>
      <c r="AF74" s="301" t="s">
        <v>915</v>
      </c>
      <c r="AG74" s="302"/>
      <c r="AH74" s="302"/>
      <c r="AI74" s="302"/>
      <c r="AJ74" s="302"/>
      <c r="AK74" s="302"/>
      <c r="AL74" s="302"/>
      <c r="AM74" s="302"/>
      <c r="AN74" s="302"/>
      <c r="AO74" s="302"/>
      <c r="AP74" s="302"/>
      <c r="AQ74" s="302"/>
      <c r="AR74" s="302"/>
      <c r="AS74" s="302"/>
      <c r="AT74" s="302"/>
      <c r="AU74" s="302"/>
      <c r="AV74" s="302"/>
      <c r="AW74" s="302"/>
      <c r="AX74" s="302"/>
      <c r="AY74" s="302"/>
      <c r="AZ74" s="302"/>
      <c r="BA74" s="302"/>
      <c r="BB74" s="302"/>
      <c r="BC74" s="302"/>
      <c r="BD74" s="302"/>
      <c r="BE74" s="302"/>
      <c r="CE74" s="94"/>
    </row>
    <row r="75" spans="2:83" x14ac:dyDescent="0.15">
      <c r="B75" s="246" t="s">
        <v>605</v>
      </c>
      <c r="C75" s="246" t="s">
        <v>605</v>
      </c>
      <c r="D75" s="246"/>
      <c r="E75" s="246"/>
      <c r="F75" s="246"/>
      <c r="G75" s="246"/>
      <c r="H75" s="246"/>
      <c r="I75" s="246" t="s">
        <v>605</v>
      </c>
      <c r="J75" s="170" t="s">
        <v>664</v>
      </c>
      <c r="K75" s="170"/>
      <c r="L75" s="246"/>
      <c r="M75" s="246"/>
      <c r="N75" s="246"/>
      <c r="O75" s="246"/>
      <c r="P75" s="246"/>
      <c r="Q75" s="246"/>
      <c r="R75" s="246"/>
      <c r="S75" s="246"/>
      <c r="T75" s="246"/>
      <c r="U75" s="246"/>
      <c r="V75" s="246"/>
      <c r="W75" s="246"/>
      <c r="X75" s="246"/>
      <c r="Y75" s="246"/>
      <c r="Z75" s="246"/>
      <c r="AA75" s="246"/>
      <c r="AB75" s="246"/>
      <c r="AC75" s="246"/>
      <c r="AD75" s="246"/>
      <c r="AE75" s="246"/>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CE75" s="94"/>
    </row>
    <row r="76" spans="2:83" x14ac:dyDescent="0.15">
      <c r="B76" s="246"/>
      <c r="C76" s="246"/>
      <c r="D76" s="246"/>
      <c r="E76" s="246"/>
      <c r="F76" s="246"/>
      <c r="G76" s="246"/>
      <c r="H76" s="246"/>
      <c r="I76" s="246"/>
      <c r="J76" s="170"/>
      <c r="K76" s="170"/>
      <c r="L76" s="246"/>
      <c r="M76" s="246"/>
      <c r="N76" s="246"/>
      <c r="O76" s="246"/>
      <c r="P76" s="246"/>
      <c r="Q76" s="246"/>
      <c r="R76" s="246"/>
      <c r="S76" s="246"/>
      <c r="T76" s="246"/>
      <c r="U76" s="246"/>
      <c r="V76" s="246"/>
      <c r="W76" s="246"/>
      <c r="X76" s="246"/>
      <c r="Y76" s="246"/>
      <c r="Z76" s="246"/>
      <c r="AA76" s="246"/>
      <c r="AB76" s="246"/>
      <c r="AC76" s="246"/>
      <c r="AD76" s="246"/>
      <c r="AE76" s="246"/>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CE76" s="94"/>
    </row>
    <row r="77" spans="2:83" x14ac:dyDescent="0.15">
      <c r="B77" s="171"/>
      <c r="C77" s="171" t="s">
        <v>665</v>
      </c>
      <c r="D77" s="246"/>
      <c r="E77" s="246"/>
      <c r="F77" s="246"/>
      <c r="G77" s="246"/>
      <c r="H77" s="246"/>
      <c r="I77" s="171" t="s">
        <v>666</v>
      </c>
      <c r="J77" s="170"/>
      <c r="K77" s="170"/>
      <c r="L77" s="246"/>
      <c r="M77" s="246"/>
      <c r="N77" s="246"/>
      <c r="O77" s="246"/>
      <c r="P77" s="246"/>
      <c r="Q77" s="246"/>
      <c r="R77" s="246"/>
      <c r="S77" s="246"/>
      <c r="T77" s="246"/>
      <c r="U77" s="246"/>
      <c r="V77" s="246"/>
      <c r="W77" s="246"/>
      <c r="X77" s="246"/>
      <c r="Y77" s="246"/>
      <c r="Z77" s="246"/>
      <c r="AA77" s="246"/>
      <c r="AB77" s="246"/>
      <c r="AC77" s="246"/>
      <c r="AD77" s="246"/>
      <c r="AE77" s="246"/>
      <c r="AF77" s="301" t="s">
        <v>915</v>
      </c>
      <c r="AG77" s="302"/>
      <c r="AH77" s="302"/>
      <c r="AI77" s="302"/>
      <c r="AJ77" s="302"/>
      <c r="AK77" s="302"/>
      <c r="AL77" s="302"/>
      <c r="AM77" s="302"/>
      <c r="AN77" s="302"/>
      <c r="AO77" s="302"/>
      <c r="AP77" s="302"/>
      <c r="AQ77" s="302"/>
      <c r="AR77" s="302"/>
      <c r="AS77" s="302"/>
      <c r="AT77" s="302"/>
      <c r="AU77" s="302"/>
      <c r="AV77" s="302"/>
      <c r="AW77" s="302"/>
      <c r="AX77" s="302"/>
      <c r="AY77" s="302"/>
      <c r="AZ77" s="302"/>
      <c r="BA77" s="302"/>
      <c r="BB77" s="302"/>
      <c r="BC77" s="302"/>
      <c r="BD77" s="302"/>
      <c r="BE77" s="302"/>
      <c r="CE77" s="94"/>
    </row>
    <row r="78" spans="2:83" x14ac:dyDescent="0.15">
      <c r="B78" s="246" t="s">
        <v>605</v>
      </c>
      <c r="C78" s="246" t="s">
        <v>605</v>
      </c>
      <c r="D78" s="246"/>
      <c r="E78" s="246"/>
      <c r="F78" s="246"/>
      <c r="G78" s="246"/>
      <c r="H78" s="246"/>
      <c r="I78" s="246" t="s">
        <v>605</v>
      </c>
      <c r="J78" s="170" t="s">
        <v>667</v>
      </c>
      <c r="K78" s="170"/>
      <c r="L78" s="246"/>
      <c r="M78" s="246"/>
      <c r="N78" s="246"/>
      <c r="O78" s="246"/>
      <c r="P78" s="246"/>
      <c r="Q78" s="246"/>
      <c r="R78" s="246"/>
      <c r="S78" s="246"/>
      <c r="T78" s="246"/>
      <c r="U78" s="246"/>
      <c r="V78" s="246"/>
      <c r="W78" s="246"/>
      <c r="X78" s="246"/>
      <c r="Y78" s="246"/>
      <c r="Z78" s="246"/>
      <c r="AA78" s="246"/>
      <c r="AB78" s="246"/>
      <c r="AC78" s="246"/>
      <c r="AD78" s="246"/>
      <c r="AE78" s="246"/>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CE78" s="94"/>
    </row>
    <row r="79" spans="2:83" x14ac:dyDescent="0.15">
      <c r="B79" s="246" t="s">
        <v>605</v>
      </c>
      <c r="C79" s="246" t="s">
        <v>605</v>
      </c>
      <c r="D79" s="246"/>
      <c r="E79" s="246"/>
      <c r="F79" s="246"/>
      <c r="G79" s="246"/>
      <c r="H79" s="246"/>
      <c r="I79" s="246" t="s">
        <v>605</v>
      </c>
      <c r="J79" s="170"/>
      <c r="K79" s="170" t="s">
        <v>668</v>
      </c>
      <c r="L79" s="246"/>
      <c r="M79" s="246"/>
      <c r="N79" s="246"/>
      <c r="O79" s="246"/>
      <c r="P79" s="246"/>
      <c r="Q79" s="246"/>
      <c r="R79" s="246"/>
      <c r="S79" s="246"/>
      <c r="T79" s="246"/>
      <c r="U79" s="246"/>
      <c r="V79" s="246"/>
      <c r="W79" s="246"/>
      <c r="X79" s="246"/>
      <c r="Y79" s="246"/>
      <c r="Z79" s="246"/>
      <c r="AA79" s="246"/>
      <c r="AB79" s="246"/>
      <c r="AC79" s="246"/>
      <c r="AD79" s="246"/>
      <c r="AE79" s="246"/>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CE79" s="94"/>
    </row>
    <row r="80" spans="2:83" x14ac:dyDescent="0.15">
      <c r="B80" s="246" t="s">
        <v>605</v>
      </c>
      <c r="C80" s="246" t="s">
        <v>605</v>
      </c>
      <c r="D80" s="246"/>
      <c r="E80" s="246"/>
      <c r="F80" s="246"/>
      <c r="G80" s="246"/>
      <c r="H80" s="246"/>
      <c r="I80" s="246" t="s">
        <v>605</v>
      </c>
      <c r="J80" s="170"/>
      <c r="K80" s="170" t="s">
        <v>669</v>
      </c>
      <c r="L80" s="246"/>
      <c r="M80" s="246"/>
      <c r="N80" s="246"/>
      <c r="O80" s="246"/>
      <c r="P80" s="246"/>
      <c r="Q80" s="246"/>
      <c r="R80" s="246"/>
      <c r="S80" s="246"/>
      <c r="T80" s="246"/>
      <c r="U80" s="246"/>
      <c r="V80" s="246"/>
      <c r="W80" s="246"/>
      <c r="X80" s="246"/>
      <c r="Y80" s="246"/>
      <c r="Z80" s="246"/>
      <c r="AA80" s="246"/>
      <c r="AB80" s="246"/>
      <c r="AC80" s="246"/>
      <c r="AD80" s="246"/>
      <c r="AE80" s="246"/>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CE80" s="94"/>
    </row>
    <row r="81" spans="2:83" x14ac:dyDescent="0.15">
      <c r="B81" s="246" t="s">
        <v>605</v>
      </c>
      <c r="C81" s="246" t="s">
        <v>605</v>
      </c>
      <c r="D81" s="246"/>
      <c r="E81" s="246"/>
      <c r="F81" s="246"/>
      <c r="G81" s="246"/>
      <c r="H81" s="246"/>
      <c r="I81" s="246" t="s">
        <v>605</v>
      </c>
      <c r="J81" s="170"/>
      <c r="K81" s="170" t="s">
        <v>670</v>
      </c>
      <c r="L81" s="246"/>
      <c r="M81" s="246"/>
      <c r="N81" s="246"/>
      <c r="O81" s="246"/>
      <c r="P81" s="246"/>
      <c r="Q81" s="246"/>
      <c r="R81" s="246"/>
      <c r="S81" s="246"/>
      <c r="T81" s="246"/>
      <c r="U81" s="246"/>
      <c r="V81" s="246"/>
      <c r="W81" s="246"/>
      <c r="X81" s="246"/>
      <c r="Y81" s="246"/>
      <c r="Z81" s="246"/>
      <c r="AA81" s="246"/>
      <c r="AB81" s="246"/>
      <c r="AC81" s="246"/>
      <c r="AD81" s="246"/>
      <c r="AE81" s="246"/>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CE81" s="94"/>
    </row>
    <row r="82" spans="2:83" x14ac:dyDescent="0.15">
      <c r="B82" s="246" t="s">
        <v>605</v>
      </c>
      <c r="C82" s="246" t="s">
        <v>605</v>
      </c>
      <c r="D82" s="246"/>
      <c r="E82" s="246"/>
      <c r="F82" s="246"/>
      <c r="G82" s="246"/>
      <c r="H82" s="246"/>
      <c r="I82" s="246" t="s">
        <v>605</v>
      </c>
      <c r="J82" s="170"/>
      <c r="K82" s="170" t="s">
        <v>671</v>
      </c>
      <c r="L82" s="246"/>
      <c r="M82" s="246"/>
      <c r="N82" s="246"/>
      <c r="O82" s="246"/>
      <c r="P82" s="246"/>
      <c r="Q82" s="246"/>
      <c r="R82" s="246"/>
      <c r="S82" s="246"/>
      <c r="T82" s="246"/>
      <c r="U82" s="246"/>
      <c r="V82" s="246"/>
      <c r="W82" s="246"/>
      <c r="X82" s="246"/>
      <c r="Y82" s="246"/>
      <c r="Z82" s="246"/>
      <c r="AA82" s="246"/>
      <c r="AB82" s="246"/>
      <c r="AC82" s="246"/>
      <c r="AD82" s="246"/>
      <c r="AE82" s="246"/>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CE82" s="94"/>
    </row>
    <row r="83" spans="2:83" x14ac:dyDescent="0.15">
      <c r="B83" s="246"/>
      <c r="C83" s="246"/>
      <c r="D83" s="246"/>
      <c r="E83" s="246"/>
      <c r="F83" s="246"/>
      <c r="G83" s="246"/>
      <c r="H83" s="246"/>
      <c r="I83" s="246"/>
      <c r="J83" s="170"/>
      <c r="K83" s="170"/>
      <c r="L83" s="246"/>
      <c r="M83" s="246"/>
      <c r="N83" s="246"/>
      <c r="O83" s="246"/>
      <c r="P83" s="246"/>
      <c r="Q83" s="246"/>
      <c r="R83" s="246"/>
      <c r="S83" s="246"/>
      <c r="T83" s="246"/>
      <c r="U83" s="246"/>
      <c r="V83" s="246"/>
      <c r="W83" s="246"/>
      <c r="X83" s="246"/>
      <c r="Y83" s="246"/>
      <c r="Z83" s="246"/>
      <c r="AA83" s="246"/>
      <c r="AB83" s="246"/>
      <c r="AC83" s="246"/>
      <c r="AD83" s="246"/>
      <c r="AE83" s="246"/>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CE83" s="94"/>
    </row>
    <row r="84" spans="2:83" x14ac:dyDescent="0.15">
      <c r="B84" s="171"/>
      <c r="C84" s="171" t="s">
        <v>672</v>
      </c>
      <c r="D84" s="246"/>
      <c r="E84" s="246"/>
      <c r="F84" s="246"/>
      <c r="G84" s="246"/>
      <c r="H84" s="246"/>
      <c r="I84" s="171" t="s">
        <v>673</v>
      </c>
      <c r="J84" s="170"/>
      <c r="K84" s="170"/>
      <c r="L84" s="246"/>
      <c r="M84" s="246"/>
      <c r="N84" s="246"/>
      <c r="O84" s="246"/>
      <c r="P84" s="246"/>
      <c r="Q84" s="246"/>
      <c r="R84" s="246"/>
      <c r="S84" s="246"/>
      <c r="T84" s="246"/>
      <c r="U84" s="246"/>
      <c r="V84" s="246"/>
      <c r="W84" s="246"/>
      <c r="X84" s="246"/>
      <c r="Y84" s="246"/>
      <c r="Z84" s="246"/>
      <c r="AA84" s="246"/>
      <c r="AB84" s="246"/>
      <c r="AC84" s="246"/>
      <c r="AD84" s="246"/>
      <c r="AE84" s="246"/>
      <c r="AF84" s="301" t="s">
        <v>924</v>
      </c>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c r="BC84" s="302"/>
      <c r="BD84" s="302"/>
      <c r="BE84" s="302"/>
      <c r="CE84" s="94"/>
    </row>
    <row r="85" spans="2:83" x14ac:dyDescent="0.15">
      <c r="B85" s="246" t="s">
        <v>605</v>
      </c>
      <c r="C85" s="246" t="s">
        <v>605</v>
      </c>
      <c r="D85" s="246"/>
      <c r="E85" s="246"/>
      <c r="F85" s="246"/>
      <c r="G85" s="246"/>
      <c r="H85" s="246"/>
      <c r="I85" s="246" t="s">
        <v>605</v>
      </c>
      <c r="J85" s="170" t="s">
        <v>674</v>
      </c>
      <c r="K85" s="170"/>
      <c r="L85" s="246"/>
      <c r="M85" s="246"/>
      <c r="N85" s="246"/>
      <c r="O85" s="246"/>
      <c r="P85" s="246"/>
      <c r="Q85" s="246"/>
      <c r="R85" s="246"/>
      <c r="S85" s="246"/>
      <c r="T85" s="246"/>
      <c r="U85" s="246"/>
      <c r="V85" s="246"/>
      <c r="W85" s="246"/>
      <c r="X85" s="246"/>
      <c r="Y85" s="246"/>
      <c r="Z85" s="246"/>
      <c r="AA85" s="246"/>
      <c r="AB85" s="246"/>
      <c r="AC85" s="246"/>
      <c r="AD85" s="246"/>
      <c r="AE85" s="246"/>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CE85" s="94"/>
    </row>
    <row r="86" spans="2:83" x14ac:dyDescent="0.15">
      <c r="B86" s="246" t="s">
        <v>605</v>
      </c>
      <c r="C86" s="246" t="s">
        <v>605</v>
      </c>
      <c r="D86" s="246"/>
      <c r="E86" s="246"/>
      <c r="F86" s="246"/>
      <c r="G86" s="246"/>
      <c r="H86" s="246"/>
      <c r="I86" s="246" t="s">
        <v>605</v>
      </c>
      <c r="J86" s="170"/>
      <c r="K86" s="170" t="s">
        <v>675</v>
      </c>
      <c r="L86" s="246"/>
      <c r="M86" s="246"/>
      <c r="N86" s="246"/>
      <c r="O86" s="246"/>
      <c r="P86" s="246"/>
      <c r="Q86" s="246"/>
      <c r="R86" s="246"/>
      <c r="S86" s="246"/>
      <c r="T86" s="246"/>
      <c r="U86" s="246"/>
      <c r="V86" s="246"/>
      <c r="W86" s="246"/>
      <c r="X86" s="246"/>
      <c r="Y86" s="246"/>
      <c r="Z86" s="246"/>
      <c r="AA86" s="246"/>
      <c r="AB86" s="246"/>
      <c r="AC86" s="246"/>
      <c r="AD86" s="246"/>
      <c r="AE86" s="246"/>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CE86" s="94"/>
    </row>
    <row r="87" spans="2:83" x14ac:dyDescent="0.15">
      <c r="B87" s="246" t="s">
        <v>605</v>
      </c>
      <c r="C87" s="246" t="s">
        <v>605</v>
      </c>
      <c r="D87" s="246"/>
      <c r="E87" s="246"/>
      <c r="F87" s="246"/>
      <c r="G87" s="246"/>
      <c r="H87" s="246"/>
      <c r="I87" s="246" t="s">
        <v>605</v>
      </c>
      <c r="J87" s="170"/>
      <c r="K87" s="170" t="s">
        <v>676</v>
      </c>
      <c r="L87" s="246"/>
      <c r="M87" s="246"/>
      <c r="N87" s="246"/>
      <c r="O87" s="246"/>
      <c r="P87" s="246"/>
      <c r="Q87" s="246"/>
      <c r="R87" s="246"/>
      <c r="S87" s="246"/>
      <c r="T87" s="246"/>
      <c r="U87" s="246"/>
      <c r="V87" s="246"/>
      <c r="W87" s="246"/>
      <c r="X87" s="246"/>
      <c r="Y87" s="246"/>
      <c r="Z87" s="246"/>
      <c r="AA87" s="246"/>
      <c r="AB87" s="246"/>
      <c r="AC87" s="246"/>
      <c r="AD87" s="246"/>
      <c r="AE87" s="246"/>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CE87" s="94"/>
    </row>
    <row r="88" spans="2:83" x14ac:dyDescent="0.15">
      <c r="B88" s="246" t="s">
        <v>605</v>
      </c>
      <c r="C88" s="246" t="s">
        <v>605</v>
      </c>
      <c r="D88" s="246"/>
      <c r="E88" s="246"/>
      <c r="F88" s="246"/>
      <c r="G88" s="246"/>
      <c r="H88" s="246"/>
      <c r="I88" s="246" t="s">
        <v>605</v>
      </c>
      <c r="J88" s="170"/>
      <c r="K88" s="170" t="s">
        <v>677</v>
      </c>
      <c r="L88" s="246"/>
      <c r="M88" s="246"/>
      <c r="N88" s="246"/>
      <c r="O88" s="246"/>
      <c r="P88" s="246"/>
      <c r="Q88" s="246"/>
      <c r="R88" s="246"/>
      <c r="S88" s="246"/>
      <c r="T88" s="246"/>
      <c r="U88" s="246"/>
      <c r="V88" s="246"/>
      <c r="W88" s="246"/>
      <c r="X88" s="246"/>
      <c r="Y88" s="246"/>
      <c r="Z88" s="246"/>
      <c r="AA88" s="246"/>
      <c r="AB88" s="246"/>
      <c r="AC88" s="246"/>
      <c r="AD88" s="246"/>
      <c r="AE88" s="246"/>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CE88" s="94"/>
    </row>
    <row r="89" spans="2:83" x14ac:dyDescent="0.15">
      <c r="B89" s="246"/>
      <c r="C89" s="246"/>
      <c r="D89" s="246"/>
      <c r="E89" s="246"/>
      <c r="F89" s="246"/>
      <c r="G89" s="246"/>
      <c r="H89" s="246"/>
      <c r="I89" s="246"/>
      <c r="J89" s="170"/>
      <c r="K89" s="170"/>
      <c r="L89" s="246"/>
      <c r="M89" s="246"/>
      <c r="N89" s="246"/>
      <c r="O89" s="246"/>
      <c r="P89" s="246"/>
      <c r="Q89" s="246"/>
      <c r="R89" s="246"/>
      <c r="S89" s="246"/>
      <c r="T89" s="246"/>
      <c r="U89" s="246"/>
      <c r="V89" s="246"/>
      <c r="W89" s="246"/>
      <c r="X89" s="246"/>
      <c r="Y89" s="246"/>
      <c r="Z89" s="246"/>
      <c r="AA89" s="246"/>
      <c r="AB89" s="246"/>
      <c r="AC89" s="246"/>
      <c r="AD89" s="246"/>
      <c r="AE89" s="246"/>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CE89" s="94"/>
    </row>
    <row r="90" spans="2:83" x14ac:dyDescent="0.15">
      <c r="B90" s="246"/>
      <c r="C90" s="246"/>
      <c r="D90" s="246"/>
      <c r="E90" s="246"/>
      <c r="F90" s="246"/>
      <c r="G90" s="246"/>
      <c r="H90" s="246"/>
      <c r="I90" s="246"/>
      <c r="J90" s="170"/>
      <c r="K90" s="170"/>
      <c r="L90" s="246"/>
      <c r="M90" s="246"/>
      <c r="N90" s="246"/>
      <c r="O90" s="246"/>
      <c r="P90" s="246"/>
      <c r="Q90" s="246"/>
      <c r="R90" s="246"/>
      <c r="S90" s="246"/>
      <c r="T90" s="246"/>
      <c r="U90" s="246"/>
      <c r="V90" s="246"/>
      <c r="W90" s="246"/>
      <c r="X90" s="246"/>
      <c r="Y90" s="246"/>
      <c r="Z90" s="246"/>
      <c r="AA90" s="246"/>
      <c r="AB90" s="246"/>
      <c r="AC90" s="246"/>
      <c r="AD90" s="246"/>
      <c r="AE90" s="246"/>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CE90" s="94"/>
    </row>
    <row r="91" spans="2:83" ht="12.75" x14ac:dyDescent="0.15">
      <c r="B91" s="119" t="s">
        <v>678</v>
      </c>
      <c r="C91" s="119"/>
      <c r="D91" s="246"/>
      <c r="E91" s="246"/>
      <c r="F91" s="246"/>
      <c r="G91" s="246"/>
      <c r="H91" s="246"/>
      <c r="I91" s="119" t="s">
        <v>679</v>
      </c>
      <c r="J91" s="170"/>
      <c r="K91" s="170"/>
      <c r="L91" s="246"/>
      <c r="M91" s="246"/>
      <c r="N91" s="246"/>
      <c r="O91" s="246"/>
      <c r="P91" s="246"/>
      <c r="Q91" s="246"/>
      <c r="R91" s="246"/>
      <c r="S91" s="246"/>
      <c r="T91" s="246"/>
      <c r="U91" s="246"/>
      <c r="V91" s="246"/>
      <c r="W91" s="246"/>
      <c r="X91" s="246"/>
      <c r="Y91" s="246"/>
      <c r="Z91" s="246"/>
      <c r="AA91" s="246"/>
      <c r="AB91" s="246"/>
      <c r="AC91" s="246"/>
      <c r="AD91" s="246"/>
      <c r="AE91" s="246"/>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CE91" s="94"/>
    </row>
    <row r="92" spans="2:83" x14ac:dyDescent="0.15">
      <c r="B92" s="246"/>
      <c r="C92" s="246"/>
      <c r="D92" s="246"/>
      <c r="E92" s="246"/>
      <c r="F92" s="246"/>
      <c r="G92" s="246"/>
      <c r="H92" s="246"/>
      <c r="I92" s="246"/>
      <c r="J92" s="170"/>
      <c r="K92" s="170"/>
      <c r="L92" s="246"/>
      <c r="M92" s="246"/>
      <c r="N92" s="246"/>
      <c r="O92" s="246"/>
      <c r="P92" s="246"/>
      <c r="Q92" s="246"/>
      <c r="R92" s="246"/>
      <c r="S92" s="246"/>
      <c r="T92" s="246"/>
      <c r="U92" s="246"/>
      <c r="V92" s="246"/>
      <c r="W92" s="246"/>
      <c r="X92" s="246"/>
      <c r="Y92" s="246"/>
      <c r="Z92" s="246"/>
      <c r="AA92" s="246"/>
      <c r="AB92" s="246"/>
      <c r="AC92" s="246"/>
      <c r="AD92" s="246"/>
      <c r="AE92" s="246"/>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CE92" s="94"/>
    </row>
    <row r="93" spans="2:83" x14ac:dyDescent="0.15">
      <c r="B93" s="171"/>
      <c r="C93" s="171" t="s">
        <v>680</v>
      </c>
      <c r="D93" s="246"/>
      <c r="E93" s="246"/>
      <c r="F93" s="246"/>
      <c r="G93" s="246"/>
      <c r="H93" s="246"/>
      <c r="I93" s="171" t="s">
        <v>681</v>
      </c>
      <c r="J93" s="170"/>
      <c r="K93" s="170"/>
      <c r="L93" s="246"/>
      <c r="M93" s="246"/>
      <c r="N93" s="246"/>
      <c r="O93" s="246"/>
      <c r="P93" s="246"/>
      <c r="Q93" s="246"/>
      <c r="R93" s="246"/>
      <c r="S93" s="246"/>
      <c r="T93" s="246"/>
      <c r="U93" s="246"/>
      <c r="V93" s="246"/>
      <c r="W93" s="246"/>
      <c r="X93" s="246"/>
      <c r="Y93" s="246"/>
      <c r="Z93" s="246"/>
      <c r="AA93" s="246"/>
      <c r="AB93" s="246"/>
      <c r="AC93" s="246"/>
      <c r="AD93" s="246"/>
      <c r="AE93" s="246"/>
      <c r="AF93" s="301" t="s">
        <v>925</v>
      </c>
      <c r="AG93" s="302"/>
      <c r="AH93" s="302"/>
      <c r="AI93" s="302"/>
      <c r="AJ93" s="302"/>
      <c r="AK93" s="302"/>
      <c r="AL93" s="302"/>
      <c r="AM93" s="302"/>
      <c r="AN93" s="302"/>
      <c r="AO93" s="302"/>
      <c r="AP93" s="302"/>
      <c r="AQ93" s="302"/>
      <c r="AR93" s="302"/>
      <c r="AS93" s="302"/>
      <c r="AT93" s="302"/>
      <c r="AU93" s="302"/>
      <c r="AV93" s="302"/>
      <c r="AW93" s="302"/>
      <c r="AX93" s="302"/>
      <c r="AY93" s="302"/>
      <c r="AZ93" s="302"/>
      <c r="BA93" s="302"/>
      <c r="BB93" s="302"/>
      <c r="BC93" s="302"/>
      <c r="BD93" s="302"/>
      <c r="BE93" s="302"/>
      <c r="CE93" s="94"/>
    </row>
    <row r="94" spans="2:83" x14ac:dyDescent="0.15">
      <c r="B94" s="246" t="s">
        <v>605</v>
      </c>
      <c r="C94" s="246" t="s">
        <v>605</v>
      </c>
      <c r="D94" s="246"/>
      <c r="E94" s="246"/>
      <c r="F94" s="246"/>
      <c r="G94" s="246"/>
      <c r="H94" s="246"/>
      <c r="I94" s="246" t="s">
        <v>605</v>
      </c>
      <c r="J94" s="170" t="s">
        <v>682</v>
      </c>
      <c r="K94" s="170"/>
      <c r="L94" s="246"/>
      <c r="M94" s="246"/>
      <c r="N94" s="246"/>
      <c r="O94" s="246"/>
      <c r="P94" s="246"/>
      <c r="Q94" s="246"/>
      <c r="R94" s="246"/>
      <c r="S94" s="246"/>
      <c r="T94" s="246"/>
      <c r="U94" s="246"/>
      <c r="V94" s="246"/>
      <c r="W94" s="246"/>
      <c r="X94" s="246"/>
      <c r="Y94" s="246"/>
      <c r="Z94" s="246"/>
      <c r="AA94" s="246"/>
      <c r="AB94" s="246"/>
      <c r="AC94" s="246"/>
      <c r="AD94" s="246"/>
      <c r="AE94" s="246"/>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CE94" s="94"/>
    </row>
    <row r="95" spans="2:83" x14ac:dyDescent="0.15">
      <c r="B95" s="246" t="s">
        <v>605</v>
      </c>
      <c r="C95" s="246" t="s">
        <v>605</v>
      </c>
      <c r="D95" s="246"/>
      <c r="E95" s="246"/>
      <c r="F95" s="246"/>
      <c r="G95" s="246"/>
      <c r="H95" s="246"/>
      <c r="I95" s="246" t="s">
        <v>605</v>
      </c>
      <c r="J95" s="170"/>
      <c r="K95" s="170" t="s">
        <v>683</v>
      </c>
      <c r="L95" s="246"/>
      <c r="M95" s="246"/>
      <c r="N95" s="246"/>
      <c r="O95" s="246"/>
      <c r="P95" s="246"/>
      <c r="Q95" s="246"/>
      <c r="R95" s="246"/>
      <c r="S95" s="246"/>
      <c r="T95" s="246"/>
      <c r="U95" s="246"/>
      <c r="V95" s="246"/>
      <c r="W95" s="246"/>
      <c r="X95" s="246"/>
      <c r="Y95" s="246"/>
      <c r="Z95" s="246"/>
      <c r="AA95" s="246"/>
      <c r="AB95" s="246"/>
      <c r="AC95" s="246"/>
      <c r="AD95" s="246"/>
      <c r="AE95" s="246"/>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CE95" s="94"/>
    </row>
    <row r="96" spans="2:83" x14ac:dyDescent="0.15">
      <c r="B96" s="246" t="s">
        <v>605</v>
      </c>
      <c r="C96" s="246" t="s">
        <v>605</v>
      </c>
      <c r="D96" s="246"/>
      <c r="E96" s="246"/>
      <c r="F96" s="246"/>
      <c r="G96" s="246"/>
      <c r="H96" s="246"/>
      <c r="I96" s="246" t="s">
        <v>605</v>
      </c>
      <c r="J96" s="170"/>
      <c r="K96" s="170" t="s">
        <v>684</v>
      </c>
      <c r="L96" s="246"/>
      <c r="M96" s="246"/>
      <c r="N96" s="246"/>
      <c r="O96" s="246"/>
      <c r="P96" s="246"/>
      <c r="Q96" s="246"/>
      <c r="R96" s="246"/>
      <c r="S96" s="246"/>
      <c r="T96" s="246"/>
      <c r="U96" s="246"/>
      <c r="V96" s="246"/>
      <c r="W96" s="246"/>
      <c r="X96" s="246"/>
      <c r="Y96" s="246"/>
      <c r="Z96" s="246"/>
      <c r="AA96" s="246"/>
      <c r="AB96" s="246"/>
      <c r="AC96" s="246"/>
      <c r="AD96" s="246"/>
      <c r="AE96" s="246"/>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CE96" s="94"/>
    </row>
    <row r="97" spans="2:83" x14ac:dyDescent="0.15">
      <c r="B97" s="246" t="s">
        <v>605</v>
      </c>
      <c r="C97" s="246" t="s">
        <v>605</v>
      </c>
      <c r="D97" s="246"/>
      <c r="E97" s="246"/>
      <c r="F97" s="246"/>
      <c r="G97" s="246"/>
      <c r="H97" s="246"/>
      <c r="I97" s="246" t="s">
        <v>605</v>
      </c>
      <c r="J97" s="170"/>
      <c r="K97" s="170" t="s">
        <v>685</v>
      </c>
      <c r="L97" s="246"/>
      <c r="M97" s="246"/>
      <c r="N97" s="246"/>
      <c r="O97" s="246"/>
      <c r="P97" s="246"/>
      <c r="Q97" s="246"/>
      <c r="R97" s="246"/>
      <c r="S97" s="246"/>
      <c r="T97" s="246"/>
      <c r="U97" s="246"/>
      <c r="V97" s="246"/>
      <c r="W97" s="246"/>
      <c r="X97" s="246"/>
      <c r="Y97" s="246"/>
      <c r="Z97" s="246"/>
      <c r="AA97" s="246"/>
      <c r="AB97" s="246"/>
      <c r="AC97" s="246"/>
      <c r="AD97" s="246"/>
      <c r="AE97" s="246"/>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CE97" s="94"/>
    </row>
    <row r="98" spans="2:83" x14ac:dyDescent="0.15">
      <c r="B98" s="246"/>
      <c r="C98" s="246"/>
      <c r="D98" s="246"/>
      <c r="E98" s="246"/>
      <c r="F98" s="246"/>
      <c r="G98" s="246"/>
      <c r="H98" s="246"/>
      <c r="I98" s="246"/>
      <c r="J98" s="170"/>
      <c r="K98" s="170"/>
      <c r="L98" s="246"/>
      <c r="M98" s="246"/>
      <c r="N98" s="246"/>
      <c r="O98" s="246"/>
      <c r="P98" s="246"/>
      <c r="Q98" s="246"/>
      <c r="R98" s="246"/>
      <c r="S98" s="246"/>
      <c r="T98" s="246"/>
      <c r="U98" s="246"/>
      <c r="V98" s="246"/>
      <c r="W98" s="246"/>
      <c r="X98" s="246"/>
      <c r="Y98" s="246"/>
      <c r="Z98" s="246"/>
      <c r="AA98" s="246"/>
      <c r="AB98" s="246"/>
      <c r="AC98" s="246"/>
      <c r="AD98" s="246"/>
      <c r="AE98" s="246"/>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CE98" s="94"/>
    </row>
    <row r="99" spans="2:83" x14ac:dyDescent="0.15">
      <c r="B99" s="171"/>
      <c r="C99" s="171" t="s">
        <v>686</v>
      </c>
      <c r="D99" s="246"/>
      <c r="E99" s="246"/>
      <c r="F99" s="246"/>
      <c r="G99" s="246"/>
      <c r="H99" s="246"/>
      <c r="I99" s="171" t="s">
        <v>687</v>
      </c>
      <c r="J99" s="170"/>
      <c r="K99" s="170"/>
      <c r="L99" s="246"/>
      <c r="M99" s="246"/>
      <c r="N99" s="246"/>
      <c r="O99" s="246"/>
      <c r="P99" s="246"/>
      <c r="Q99" s="246"/>
      <c r="R99" s="246"/>
      <c r="S99" s="246"/>
      <c r="T99" s="246"/>
      <c r="U99" s="246"/>
      <c r="V99" s="246"/>
      <c r="W99" s="246"/>
      <c r="X99" s="246"/>
      <c r="Y99" s="246"/>
      <c r="Z99" s="246"/>
      <c r="AA99" s="246"/>
      <c r="AB99" s="246"/>
      <c r="AC99" s="246"/>
      <c r="AD99" s="246"/>
      <c r="AE99" s="246"/>
      <c r="CE99" s="94"/>
    </row>
    <row r="100" spans="2:83" x14ac:dyDescent="0.15">
      <c r="B100" s="246" t="s">
        <v>605</v>
      </c>
      <c r="C100" s="246" t="s">
        <v>605</v>
      </c>
      <c r="D100" s="246"/>
      <c r="E100" s="246"/>
      <c r="F100" s="246"/>
      <c r="G100" s="246"/>
      <c r="H100" s="246"/>
      <c r="I100" s="246" t="s">
        <v>605</v>
      </c>
      <c r="J100" s="170" t="s">
        <v>688</v>
      </c>
      <c r="K100" s="170"/>
      <c r="L100" s="246"/>
      <c r="M100" s="246"/>
      <c r="N100" s="246"/>
      <c r="O100" s="246"/>
      <c r="P100" s="246"/>
      <c r="Q100" s="246"/>
      <c r="R100" s="246"/>
      <c r="S100" s="246"/>
      <c r="T100" s="246"/>
      <c r="U100" s="246"/>
      <c r="V100" s="246"/>
      <c r="W100" s="246"/>
      <c r="X100" s="246"/>
      <c r="Y100" s="246"/>
      <c r="Z100" s="246"/>
      <c r="AA100" s="246"/>
      <c r="AB100" s="246"/>
      <c r="AC100" s="246"/>
      <c r="AD100" s="246"/>
      <c r="AE100" s="246"/>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CE100" s="94"/>
    </row>
    <row r="101" spans="2:83" x14ac:dyDescent="0.15">
      <c r="B101" s="246" t="s">
        <v>605</v>
      </c>
      <c r="C101" s="246" t="s">
        <v>605</v>
      </c>
      <c r="D101" s="246"/>
      <c r="E101" s="246"/>
      <c r="F101" s="246"/>
      <c r="G101" s="246"/>
      <c r="H101" s="246"/>
      <c r="I101" s="246" t="s">
        <v>605</v>
      </c>
      <c r="J101" s="170" t="s">
        <v>689</v>
      </c>
      <c r="K101" s="170"/>
      <c r="L101" s="246"/>
      <c r="M101" s="246"/>
      <c r="N101" s="246"/>
      <c r="O101" s="246"/>
      <c r="P101" s="246"/>
      <c r="Q101" s="246"/>
      <c r="R101" s="246"/>
      <c r="S101" s="246"/>
      <c r="T101" s="246"/>
      <c r="U101" s="246"/>
      <c r="V101" s="246"/>
      <c r="W101" s="246"/>
      <c r="X101" s="246"/>
      <c r="Y101" s="246"/>
      <c r="Z101" s="246"/>
      <c r="AA101" s="246"/>
      <c r="AB101" s="246"/>
      <c r="AC101" s="246"/>
      <c r="AD101" s="246"/>
      <c r="AE101" s="246"/>
      <c r="CE101" s="94"/>
    </row>
    <row r="102" spans="2:83" x14ac:dyDescent="0.15">
      <c r="B102" s="246" t="s">
        <v>605</v>
      </c>
      <c r="C102" s="246" t="s">
        <v>605</v>
      </c>
      <c r="D102" s="246"/>
      <c r="E102" s="246"/>
      <c r="F102" s="246"/>
      <c r="G102" s="246"/>
      <c r="H102" s="246"/>
      <c r="I102" s="246" t="s">
        <v>605</v>
      </c>
      <c r="J102" s="170"/>
      <c r="K102" s="170" t="s">
        <v>690</v>
      </c>
      <c r="L102" s="246"/>
      <c r="M102" s="246"/>
      <c r="N102" s="246"/>
      <c r="O102" s="246"/>
      <c r="P102" s="246"/>
      <c r="Q102" s="246"/>
      <c r="R102" s="246"/>
      <c r="S102" s="246"/>
      <c r="T102" s="246"/>
      <c r="U102" s="246"/>
      <c r="V102" s="246"/>
      <c r="W102" s="246"/>
      <c r="X102" s="246"/>
      <c r="Y102" s="246"/>
      <c r="Z102" s="246"/>
      <c r="AA102" s="246"/>
      <c r="AB102" s="246"/>
      <c r="AC102" s="246"/>
      <c r="AD102" s="246"/>
      <c r="AE102" s="246"/>
      <c r="AF102" s="301" t="s">
        <v>926</v>
      </c>
      <c r="AG102" s="302"/>
      <c r="AH102" s="302"/>
      <c r="AI102" s="302"/>
      <c r="AJ102" s="302"/>
      <c r="AK102" s="302"/>
      <c r="AL102" s="302"/>
      <c r="AM102" s="302"/>
      <c r="AN102" s="302"/>
      <c r="AO102" s="302"/>
      <c r="AP102" s="302"/>
      <c r="AQ102" s="302"/>
      <c r="AR102" s="302"/>
      <c r="AS102" s="302"/>
      <c r="AT102" s="302"/>
      <c r="AU102" s="302"/>
      <c r="AV102" s="302"/>
      <c r="AW102" s="302"/>
      <c r="AX102" s="302"/>
      <c r="AY102" s="302"/>
      <c r="AZ102" s="302"/>
      <c r="BA102" s="302"/>
      <c r="BB102" s="302"/>
      <c r="BC102" s="302"/>
      <c r="BD102" s="302"/>
      <c r="BE102" s="302"/>
      <c r="CE102" s="94"/>
    </row>
    <row r="103" spans="2:83" x14ac:dyDescent="0.15">
      <c r="B103" s="246" t="s">
        <v>605</v>
      </c>
      <c r="C103" s="246" t="s">
        <v>605</v>
      </c>
      <c r="D103" s="246"/>
      <c r="E103" s="246"/>
      <c r="F103" s="246"/>
      <c r="G103" s="246"/>
      <c r="H103" s="246"/>
      <c r="I103" s="246" t="s">
        <v>605</v>
      </c>
      <c r="J103" s="170"/>
      <c r="K103" s="170" t="s">
        <v>691</v>
      </c>
      <c r="L103" s="246"/>
      <c r="M103" s="246"/>
      <c r="N103" s="246"/>
      <c r="O103" s="246"/>
      <c r="P103" s="246"/>
      <c r="Q103" s="246"/>
      <c r="R103" s="246"/>
      <c r="S103" s="246"/>
      <c r="T103" s="246"/>
      <c r="U103" s="246"/>
      <c r="V103" s="246"/>
      <c r="W103" s="246"/>
      <c r="X103" s="246"/>
      <c r="Y103" s="246"/>
      <c r="Z103" s="246"/>
      <c r="AA103" s="246"/>
      <c r="AB103" s="246"/>
      <c r="AC103" s="246"/>
      <c r="AD103" s="246"/>
      <c r="AE103" s="246"/>
      <c r="AF103" s="301" t="s">
        <v>927</v>
      </c>
      <c r="AG103" s="302"/>
      <c r="AH103" s="302"/>
      <c r="AI103" s="302"/>
      <c r="AJ103" s="302"/>
      <c r="AK103" s="302"/>
      <c r="AL103" s="302"/>
      <c r="AM103" s="302"/>
      <c r="AN103" s="302"/>
      <c r="AO103" s="302"/>
      <c r="AP103" s="302"/>
      <c r="AQ103" s="302"/>
      <c r="AR103" s="302"/>
      <c r="AS103" s="302"/>
      <c r="AT103" s="302"/>
      <c r="AU103" s="302"/>
      <c r="AV103" s="302"/>
      <c r="AW103" s="302"/>
      <c r="AX103" s="302"/>
      <c r="AY103" s="302"/>
      <c r="AZ103" s="302"/>
      <c r="BA103" s="302"/>
      <c r="BB103" s="302"/>
      <c r="BC103" s="302"/>
      <c r="BD103" s="302"/>
      <c r="BE103" s="302"/>
      <c r="CE103" s="94"/>
    </row>
    <row r="104" spans="2:83" x14ac:dyDescent="0.15">
      <c r="B104" s="246" t="s">
        <v>605</v>
      </c>
      <c r="C104" s="246" t="s">
        <v>605</v>
      </c>
      <c r="D104" s="246"/>
      <c r="E104" s="246"/>
      <c r="F104" s="246"/>
      <c r="G104" s="246"/>
      <c r="H104" s="246"/>
      <c r="I104" s="246" t="s">
        <v>605</v>
      </c>
      <c r="J104" s="170"/>
      <c r="K104" s="170" t="s">
        <v>692</v>
      </c>
      <c r="L104" s="246"/>
      <c r="M104" s="246"/>
      <c r="N104" s="246"/>
      <c r="O104" s="246"/>
      <c r="P104" s="246"/>
      <c r="Q104" s="246"/>
      <c r="R104" s="246"/>
      <c r="S104" s="246"/>
      <c r="T104" s="246"/>
      <c r="U104" s="246"/>
      <c r="V104" s="246"/>
      <c r="W104" s="246"/>
      <c r="X104" s="246"/>
      <c r="Y104" s="246"/>
      <c r="Z104" s="246"/>
      <c r="AA104" s="246"/>
      <c r="AB104" s="246"/>
      <c r="AC104" s="246"/>
      <c r="AD104" s="246"/>
      <c r="AE104" s="246"/>
      <c r="AF104" s="301" t="s">
        <v>928</v>
      </c>
      <c r="AG104" s="302"/>
      <c r="AH104" s="302"/>
      <c r="AI104" s="302"/>
      <c r="AJ104" s="302"/>
      <c r="AK104" s="302"/>
      <c r="AL104" s="302"/>
      <c r="AM104" s="302"/>
      <c r="AN104" s="302"/>
      <c r="AO104" s="302"/>
      <c r="AP104" s="302"/>
      <c r="AQ104" s="302"/>
      <c r="AR104" s="302"/>
      <c r="AS104" s="302"/>
      <c r="AT104" s="302"/>
      <c r="AU104" s="302"/>
      <c r="AV104" s="302"/>
      <c r="AW104" s="302"/>
      <c r="AX104" s="302"/>
      <c r="AY104" s="302"/>
      <c r="AZ104" s="302"/>
      <c r="BA104" s="302"/>
      <c r="BB104" s="302"/>
      <c r="BC104" s="302"/>
      <c r="BD104" s="302"/>
      <c r="BE104" s="302"/>
      <c r="CE104" s="94"/>
    </row>
    <row r="105" spans="2:83" x14ac:dyDescent="0.15">
      <c r="B105" s="246" t="s">
        <v>605</v>
      </c>
      <c r="C105" s="246" t="s">
        <v>605</v>
      </c>
      <c r="D105" s="246"/>
      <c r="E105" s="246"/>
      <c r="F105" s="246"/>
      <c r="G105" s="246"/>
      <c r="H105" s="246"/>
      <c r="I105" s="246" t="s">
        <v>605</v>
      </c>
      <c r="J105" s="170"/>
      <c r="K105" s="170" t="s">
        <v>693</v>
      </c>
      <c r="L105" s="246"/>
      <c r="M105" s="246"/>
      <c r="N105" s="246"/>
      <c r="O105" s="246"/>
      <c r="P105" s="246"/>
      <c r="Q105" s="246"/>
      <c r="R105" s="246"/>
      <c r="S105" s="246"/>
      <c r="T105" s="246"/>
      <c r="U105" s="246"/>
      <c r="V105" s="246"/>
      <c r="W105" s="246"/>
      <c r="X105" s="246"/>
      <c r="Y105" s="246"/>
      <c r="Z105" s="246"/>
      <c r="AA105" s="246"/>
      <c r="AB105" s="246"/>
      <c r="AC105" s="246"/>
      <c r="AD105" s="246"/>
      <c r="AE105" s="246"/>
      <c r="CE105" s="94"/>
    </row>
    <row r="106" spans="2:83" x14ac:dyDescent="0.15">
      <c r="B106" s="246" t="s">
        <v>605</v>
      </c>
      <c r="C106" s="246" t="s">
        <v>605</v>
      </c>
      <c r="D106" s="246"/>
      <c r="E106" s="246"/>
      <c r="F106" s="246"/>
      <c r="G106" s="246"/>
      <c r="H106" s="246"/>
      <c r="I106" s="246" t="s">
        <v>605</v>
      </c>
      <c r="J106" s="170"/>
      <c r="K106" s="170" t="s">
        <v>694</v>
      </c>
      <c r="L106" s="246"/>
      <c r="M106" s="246"/>
      <c r="N106" s="246"/>
      <c r="O106" s="246"/>
      <c r="P106" s="246"/>
      <c r="Q106" s="246"/>
      <c r="R106" s="246"/>
      <c r="S106" s="246"/>
      <c r="T106" s="246"/>
      <c r="U106" s="246"/>
      <c r="V106" s="246"/>
      <c r="W106" s="246"/>
      <c r="X106" s="246"/>
      <c r="Y106" s="246"/>
      <c r="Z106" s="246"/>
      <c r="AA106" s="246"/>
      <c r="AB106" s="246"/>
      <c r="AC106" s="246"/>
      <c r="AD106" s="246"/>
      <c r="AE106" s="246"/>
      <c r="CE106" s="94"/>
    </row>
    <row r="107" spans="2:83" x14ac:dyDescent="0.15">
      <c r="B107" s="246" t="s">
        <v>605</v>
      </c>
      <c r="C107" s="246" t="s">
        <v>605</v>
      </c>
      <c r="D107" s="246"/>
      <c r="E107" s="246"/>
      <c r="F107" s="246"/>
      <c r="G107" s="246"/>
      <c r="H107" s="246"/>
      <c r="I107" s="246" t="s">
        <v>605</v>
      </c>
      <c r="J107" s="170"/>
      <c r="K107" s="170" t="s">
        <v>695</v>
      </c>
      <c r="L107" s="246"/>
      <c r="M107" s="246"/>
      <c r="N107" s="246"/>
      <c r="O107" s="246"/>
      <c r="P107" s="246"/>
      <c r="Q107" s="246"/>
      <c r="R107" s="246"/>
      <c r="S107" s="246"/>
      <c r="T107" s="246"/>
      <c r="U107" s="246"/>
      <c r="V107" s="246"/>
      <c r="W107" s="246"/>
      <c r="X107" s="246"/>
      <c r="Y107" s="246"/>
      <c r="Z107" s="246"/>
      <c r="AA107" s="246"/>
      <c r="AB107" s="246"/>
      <c r="AC107" s="246"/>
      <c r="AD107" s="246"/>
      <c r="AE107" s="246"/>
      <c r="CE107" s="94"/>
    </row>
    <row r="108" spans="2:83" x14ac:dyDescent="0.15">
      <c r="B108" s="246" t="s">
        <v>605</v>
      </c>
      <c r="C108" s="246" t="s">
        <v>605</v>
      </c>
      <c r="D108" s="246"/>
      <c r="E108" s="246"/>
      <c r="F108" s="246"/>
      <c r="G108" s="246"/>
      <c r="H108" s="246"/>
      <c r="I108" s="246" t="s">
        <v>605</v>
      </c>
      <c r="J108" s="170"/>
      <c r="K108" s="170" t="s">
        <v>696</v>
      </c>
      <c r="L108" s="246"/>
      <c r="M108" s="246"/>
      <c r="N108" s="246"/>
      <c r="O108" s="246"/>
      <c r="P108" s="246"/>
      <c r="Q108" s="246"/>
      <c r="R108" s="246"/>
      <c r="S108" s="246"/>
      <c r="T108" s="246"/>
      <c r="U108" s="246"/>
      <c r="V108" s="246"/>
      <c r="W108" s="246"/>
      <c r="X108" s="246"/>
      <c r="Y108" s="246"/>
      <c r="Z108" s="246"/>
      <c r="AA108" s="246"/>
      <c r="AB108" s="246"/>
      <c r="AC108" s="246"/>
      <c r="AD108" s="246"/>
      <c r="AE108" s="246"/>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CE108" s="94"/>
    </row>
    <row r="109" spans="2:83" x14ac:dyDescent="0.15">
      <c r="B109" s="246" t="s">
        <v>605</v>
      </c>
      <c r="C109" s="246" t="s">
        <v>605</v>
      </c>
      <c r="D109" s="246"/>
      <c r="E109" s="246"/>
      <c r="F109" s="246"/>
      <c r="G109" s="246"/>
      <c r="H109" s="246"/>
      <c r="I109" s="246" t="s">
        <v>605</v>
      </c>
      <c r="J109" s="170"/>
      <c r="K109" s="170" t="s">
        <v>697</v>
      </c>
      <c r="L109" s="246"/>
      <c r="M109" s="246"/>
      <c r="N109" s="246"/>
      <c r="O109" s="246"/>
      <c r="P109" s="246"/>
      <c r="Q109" s="246"/>
      <c r="R109" s="246"/>
      <c r="S109" s="246"/>
      <c r="T109" s="246"/>
      <c r="U109" s="246"/>
      <c r="V109" s="246"/>
      <c r="W109" s="246"/>
      <c r="X109" s="246"/>
      <c r="Y109" s="246"/>
      <c r="Z109" s="246"/>
      <c r="AA109" s="246"/>
      <c r="AB109" s="246"/>
      <c r="AC109" s="246"/>
      <c r="AD109" s="246"/>
      <c r="AE109" s="246"/>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CE109" s="94"/>
    </row>
    <row r="110" spans="2:83" x14ac:dyDescent="0.15">
      <c r="B110" s="246" t="s">
        <v>605</v>
      </c>
      <c r="C110" s="246" t="s">
        <v>605</v>
      </c>
      <c r="D110" s="246"/>
      <c r="E110" s="246"/>
      <c r="F110" s="246"/>
      <c r="G110" s="246"/>
      <c r="H110" s="246"/>
      <c r="I110" s="246" t="s">
        <v>605</v>
      </c>
      <c r="J110" s="170"/>
      <c r="K110" s="170" t="s">
        <v>698</v>
      </c>
      <c r="L110" s="246"/>
      <c r="M110" s="246"/>
      <c r="N110" s="246"/>
      <c r="O110" s="246"/>
      <c r="P110" s="246"/>
      <c r="Q110" s="246"/>
      <c r="R110" s="246"/>
      <c r="S110" s="246"/>
      <c r="T110" s="246"/>
      <c r="U110" s="246"/>
      <c r="V110" s="246"/>
      <c r="W110" s="246"/>
      <c r="X110" s="246"/>
      <c r="Y110" s="246"/>
      <c r="Z110" s="246"/>
      <c r="AA110" s="246"/>
      <c r="AB110" s="246"/>
      <c r="AC110" s="246"/>
      <c r="AD110" s="246"/>
      <c r="AE110" s="246"/>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CE110" s="94"/>
    </row>
    <row r="111" spans="2:83" x14ac:dyDescent="0.15">
      <c r="B111" s="246" t="s">
        <v>605</v>
      </c>
      <c r="C111" s="246" t="s">
        <v>605</v>
      </c>
      <c r="D111" s="246"/>
      <c r="E111" s="246"/>
      <c r="F111" s="246"/>
      <c r="G111" s="246"/>
      <c r="H111" s="246"/>
      <c r="I111" s="246" t="s">
        <v>605</v>
      </c>
      <c r="J111" s="170"/>
      <c r="K111" s="170" t="s">
        <v>699</v>
      </c>
      <c r="L111" s="246"/>
      <c r="M111" s="246"/>
      <c r="N111" s="246"/>
      <c r="O111" s="246"/>
      <c r="P111" s="246"/>
      <c r="Q111" s="246"/>
      <c r="R111" s="246"/>
      <c r="S111" s="246"/>
      <c r="T111" s="246"/>
      <c r="U111" s="246"/>
      <c r="V111" s="246"/>
      <c r="W111" s="246"/>
      <c r="X111" s="246"/>
      <c r="Y111" s="246"/>
      <c r="Z111" s="246"/>
      <c r="AA111" s="246"/>
      <c r="AB111" s="246"/>
      <c r="AC111" s="246"/>
      <c r="AD111" s="246"/>
      <c r="AE111" s="246"/>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CE111" s="94"/>
    </row>
    <row r="112" spans="2:83" x14ac:dyDescent="0.15">
      <c r="B112" s="246"/>
      <c r="C112" s="246"/>
      <c r="D112" s="246"/>
      <c r="E112" s="246"/>
      <c r="F112" s="246"/>
      <c r="G112" s="246"/>
      <c r="H112" s="246"/>
      <c r="I112" s="246"/>
      <c r="J112" s="170"/>
      <c r="K112" s="170"/>
      <c r="L112" s="246"/>
      <c r="M112" s="246"/>
      <c r="N112" s="246"/>
      <c r="O112" s="246"/>
      <c r="P112" s="246"/>
      <c r="Q112" s="246"/>
      <c r="R112" s="246"/>
      <c r="S112" s="246"/>
      <c r="T112" s="246"/>
      <c r="U112" s="246"/>
      <c r="V112" s="246"/>
      <c r="W112" s="246"/>
      <c r="X112" s="246"/>
      <c r="Y112" s="246"/>
      <c r="Z112" s="246"/>
      <c r="AA112" s="246"/>
      <c r="AB112" s="246"/>
      <c r="AC112" s="246"/>
      <c r="AD112" s="246"/>
      <c r="AE112" s="246"/>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CE112" s="94"/>
    </row>
    <row r="113" spans="2:83" x14ac:dyDescent="0.15">
      <c r="B113" s="171"/>
      <c r="C113" s="171" t="s">
        <v>700</v>
      </c>
      <c r="D113" s="246"/>
      <c r="E113" s="246"/>
      <c r="F113" s="246"/>
      <c r="G113" s="246"/>
      <c r="H113" s="246"/>
      <c r="I113" s="171" t="s">
        <v>701</v>
      </c>
      <c r="J113" s="170"/>
      <c r="K113" s="170"/>
      <c r="L113" s="246"/>
      <c r="M113" s="246"/>
      <c r="N113" s="246"/>
      <c r="O113" s="246"/>
      <c r="P113" s="246"/>
      <c r="Q113" s="246"/>
      <c r="R113" s="246"/>
      <c r="S113" s="246"/>
      <c r="T113" s="246"/>
      <c r="U113" s="246"/>
      <c r="V113" s="246"/>
      <c r="W113" s="246"/>
      <c r="X113" s="246"/>
      <c r="Y113" s="246"/>
      <c r="Z113" s="246"/>
      <c r="AA113" s="246"/>
      <c r="AB113" s="246"/>
      <c r="AC113" s="246"/>
      <c r="AD113" s="246"/>
      <c r="AE113" s="246"/>
      <c r="AF113" s="301" t="s">
        <v>929</v>
      </c>
      <c r="AG113" s="302"/>
      <c r="AH113" s="302"/>
      <c r="AI113" s="302"/>
      <c r="AJ113" s="302"/>
      <c r="AK113" s="302"/>
      <c r="AL113" s="302"/>
      <c r="AM113" s="302"/>
      <c r="AN113" s="302"/>
      <c r="AO113" s="302"/>
      <c r="AP113" s="302"/>
      <c r="AQ113" s="302"/>
      <c r="AR113" s="302"/>
      <c r="AS113" s="302"/>
      <c r="AT113" s="302"/>
      <c r="AU113" s="302"/>
      <c r="AV113" s="302"/>
      <c r="AW113" s="302"/>
      <c r="AX113" s="302"/>
      <c r="AY113" s="302"/>
      <c r="AZ113" s="302"/>
      <c r="BA113" s="302"/>
      <c r="BB113" s="302"/>
      <c r="BC113" s="302"/>
      <c r="BD113" s="302"/>
      <c r="BE113" s="302"/>
      <c r="CE113" s="94"/>
    </row>
    <row r="114" spans="2:83" x14ac:dyDescent="0.15">
      <c r="B114" s="246" t="s">
        <v>605</v>
      </c>
      <c r="C114" s="246" t="s">
        <v>605</v>
      </c>
      <c r="D114" s="246"/>
      <c r="E114" s="246"/>
      <c r="F114" s="246"/>
      <c r="G114" s="246"/>
      <c r="H114" s="246"/>
      <c r="I114" s="246" t="s">
        <v>605</v>
      </c>
      <c r="J114" s="170" t="s">
        <v>702</v>
      </c>
      <c r="K114" s="170"/>
      <c r="L114" s="246"/>
      <c r="M114" s="246"/>
      <c r="N114" s="246"/>
      <c r="O114" s="246"/>
      <c r="P114" s="246"/>
      <c r="Q114" s="246"/>
      <c r="R114" s="246"/>
      <c r="S114" s="246"/>
      <c r="T114" s="246"/>
      <c r="U114" s="246"/>
      <c r="V114" s="246"/>
      <c r="W114" s="246"/>
      <c r="X114" s="246"/>
      <c r="Y114" s="246"/>
      <c r="Z114" s="246"/>
      <c r="AA114" s="246"/>
      <c r="AB114" s="246"/>
      <c r="AC114" s="246"/>
      <c r="AD114" s="246"/>
      <c r="AE114" s="246"/>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CE114" s="94"/>
    </row>
    <row r="115" spans="2:83" x14ac:dyDescent="0.15">
      <c r="B115" s="246"/>
      <c r="C115" s="246"/>
      <c r="D115" s="246"/>
      <c r="E115" s="246"/>
      <c r="F115" s="246"/>
      <c r="G115" s="246"/>
      <c r="H115" s="246"/>
      <c r="I115" s="246"/>
      <c r="J115" s="170"/>
      <c r="K115" s="170"/>
      <c r="L115" s="246"/>
      <c r="M115" s="246"/>
      <c r="N115" s="246"/>
      <c r="O115" s="246"/>
      <c r="P115" s="246"/>
      <c r="Q115" s="246"/>
      <c r="R115" s="246"/>
      <c r="S115" s="246"/>
      <c r="T115" s="246"/>
      <c r="U115" s="246"/>
      <c r="V115" s="246"/>
      <c r="W115" s="246"/>
      <c r="X115" s="246"/>
      <c r="Y115" s="246"/>
      <c r="Z115" s="246"/>
      <c r="AA115" s="246"/>
      <c r="AB115" s="246"/>
      <c r="AC115" s="246"/>
      <c r="AD115" s="246"/>
      <c r="AE115" s="246"/>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CE115" s="94"/>
    </row>
    <row r="116" spans="2:83" x14ac:dyDescent="0.15">
      <c r="B116" s="246"/>
      <c r="C116" s="246"/>
      <c r="D116" s="246"/>
      <c r="E116" s="246"/>
      <c r="F116" s="246"/>
      <c r="G116" s="246"/>
      <c r="H116" s="246"/>
      <c r="I116" s="246"/>
      <c r="J116" s="170"/>
      <c r="K116" s="170"/>
      <c r="L116" s="246"/>
      <c r="M116" s="246"/>
      <c r="N116" s="246"/>
      <c r="O116" s="246"/>
      <c r="P116" s="246"/>
      <c r="Q116" s="246"/>
      <c r="R116" s="246"/>
      <c r="S116" s="246"/>
      <c r="T116" s="246"/>
      <c r="U116" s="246"/>
      <c r="V116" s="246"/>
      <c r="W116" s="246"/>
      <c r="X116" s="246"/>
      <c r="Y116" s="246"/>
      <c r="Z116" s="246"/>
      <c r="AA116" s="246"/>
      <c r="AB116" s="246"/>
      <c r="AC116" s="246"/>
      <c r="AD116" s="246"/>
      <c r="AE116" s="246"/>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CE116" s="94"/>
    </row>
    <row r="117" spans="2:83" ht="12.75" x14ac:dyDescent="0.15">
      <c r="B117" s="119" t="s">
        <v>703</v>
      </c>
      <c r="C117" s="119"/>
      <c r="D117" s="246"/>
      <c r="E117" s="246"/>
      <c r="F117" s="246"/>
      <c r="G117" s="246"/>
      <c r="H117" s="246"/>
      <c r="I117" s="119" t="s">
        <v>704</v>
      </c>
      <c r="J117" s="170"/>
      <c r="K117" s="170"/>
      <c r="L117" s="246"/>
      <c r="M117" s="246"/>
      <c r="N117" s="246"/>
      <c r="O117" s="246"/>
      <c r="P117" s="246"/>
      <c r="Q117" s="246"/>
      <c r="R117" s="246"/>
      <c r="S117" s="246"/>
      <c r="T117" s="246"/>
      <c r="U117" s="246"/>
      <c r="V117" s="246"/>
      <c r="W117" s="246"/>
      <c r="X117" s="246"/>
      <c r="Y117" s="246"/>
      <c r="Z117" s="246"/>
      <c r="AA117" s="246"/>
      <c r="AB117" s="246"/>
      <c r="AC117" s="246"/>
      <c r="AD117" s="246"/>
      <c r="AE117" s="246"/>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CE117" s="94"/>
    </row>
    <row r="118" spans="2:83" x14ac:dyDescent="0.15">
      <c r="B118" s="246"/>
      <c r="C118" s="246"/>
      <c r="D118" s="246"/>
      <c r="E118" s="246"/>
      <c r="F118" s="246"/>
      <c r="G118" s="246"/>
      <c r="H118" s="246"/>
      <c r="I118" s="246"/>
      <c r="J118" s="170"/>
      <c r="K118" s="170"/>
      <c r="L118" s="246"/>
      <c r="M118" s="246"/>
      <c r="N118" s="246"/>
      <c r="O118" s="246"/>
      <c r="P118" s="246"/>
      <c r="Q118" s="246"/>
      <c r="R118" s="246"/>
      <c r="S118" s="246"/>
      <c r="T118" s="246"/>
      <c r="U118" s="246"/>
      <c r="V118" s="246"/>
      <c r="W118" s="246"/>
      <c r="X118" s="246"/>
      <c r="Y118" s="246"/>
      <c r="Z118" s="246"/>
      <c r="AA118" s="246"/>
      <c r="AB118" s="246"/>
      <c r="AC118" s="246"/>
      <c r="AD118" s="246"/>
      <c r="AE118" s="246"/>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CE118" s="94"/>
    </row>
    <row r="119" spans="2:83" x14ac:dyDescent="0.15">
      <c r="B119" s="171"/>
      <c r="C119" s="171" t="s">
        <v>705</v>
      </c>
      <c r="D119" s="246"/>
      <c r="E119" s="246"/>
      <c r="F119" s="246"/>
      <c r="G119" s="246"/>
      <c r="H119" s="246"/>
      <c r="I119" s="171" t="s">
        <v>706</v>
      </c>
      <c r="J119" s="170"/>
      <c r="K119" s="170"/>
      <c r="L119" s="246"/>
      <c r="M119" s="246"/>
      <c r="N119" s="246"/>
      <c r="O119" s="246"/>
      <c r="P119" s="246"/>
      <c r="Q119" s="246"/>
      <c r="R119" s="246"/>
      <c r="S119" s="246"/>
      <c r="T119" s="246"/>
      <c r="U119" s="246"/>
      <c r="V119" s="246"/>
      <c r="W119" s="246"/>
      <c r="X119" s="246"/>
      <c r="Y119" s="246"/>
      <c r="Z119" s="246"/>
      <c r="AA119" s="246"/>
      <c r="AB119" s="246"/>
      <c r="AC119" s="246"/>
      <c r="AD119" s="246"/>
      <c r="AE119" s="246"/>
      <c r="AF119" s="301" t="s">
        <v>930</v>
      </c>
      <c r="AG119" s="302"/>
      <c r="AH119" s="302"/>
      <c r="AI119" s="302"/>
      <c r="AJ119" s="302"/>
      <c r="AK119" s="302"/>
      <c r="AL119" s="302"/>
      <c r="AM119" s="302"/>
      <c r="AN119" s="302"/>
      <c r="AO119" s="302"/>
      <c r="AP119" s="302"/>
      <c r="AQ119" s="302"/>
      <c r="AR119" s="302"/>
      <c r="AS119" s="302"/>
      <c r="AT119" s="302"/>
      <c r="AU119" s="302"/>
      <c r="AV119" s="302"/>
      <c r="AW119" s="302"/>
      <c r="AX119" s="302"/>
      <c r="AY119" s="302"/>
      <c r="AZ119" s="302"/>
      <c r="BA119" s="302"/>
      <c r="BB119" s="302"/>
      <c r="BC119" s="302"/>
      <c r="BD119" s="302"/>
      <c r="BE119" s="302"/>
      <c r="CE119" s="94"/>
    </row>
    <row r="120" spans="2:83" x14ac:dyDescent="0.15">
      <c r="B120" s="246" t="s">
        <v>605</v>
      </c>
      <c r="C120" s="246" t="s">
        <v>605</v>
      </c>
      <c r="D120" s="246"/>
      <c r="E120" s="246"/>
      <c r="F120" s="246"/>
      <c r="G120" s="246"/>
      <c r="H120" s="246"/>
      <c r="I120" s="246" t="s">
        <v>605</v>
      </c>
      <c r="J120" s="170" t="s">
        <v>707</v>
      </c>
      <c r="K120" s="170"/>
      <c r="L120" s="246"/>
      <c r="M120" s="246"/>
      <c r="N120" s="246"/>
      <c r="O120" s="246"/>
      <c r="P120" s="246"/>
      <c r="Q120" s="246"/>
      <c r="R120" s="246"/>
      <c r="S120" s="246"/>
      <c r="T120" s="246"/>
      <c r="U120" s="246"/>
      <c r="V120" s="246"/>
      <c r="W120" s="246"/>
      <c r="X120" s="246"/>
      <c r="Y120" s="246"/>
      <c r="Z120" s="246"/>
      <c r="AA120" s="246"/>
      <c r="AB120" s="246"/>
      <c r="AC120" s="246"/>
      <c r="AD120" s="246"/>
      <c r="AE120" s="246"/>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CE120" s="94"/>
    </row>
    <row r="121" spans="2:83" x14ac:dyDescent="0.15">
      <c r="B121" s="246"/>
      <c r="C121" s="246"/>
      <c r="D121" s="246"/>
      <c r="E121" s="246"/>
      <c r="F121" s="246"/>
      <c r="G121" s="246"/>
      <c r="H121" s="246"/>
      <c r="I121" s="246"/>
      <c r="J121" s="170"/>
      <c r="K121" s="170"/>
      <c r="L121" s="246"/>
      <c r="M121" s="246"/>
      <c r="N121" s="246"/>
      <c r="O121" s="246"/>
      <c r="P121" s="246"/>
      <c r="Q121" s="246"/>
      <c r="R121" s="246"/>
      <c r="S121" s="246"/>
      <c r="T121" s="246"/>
      <c r="U121" s="246"/>
      <c r="V121" s="246"/>
      <c r="W121" s="246"/>
      <c r="X121" s="246"/>
      <c r="Y121" s="246"/>
      <c r="Z121" s="246"/>
      <c r="AA121" s="246"/>
      <c r="AB121" s="246"/>
      <c r="AC121" s="246"/>
      <c r="AD121" s="246"/>
      <c r="AE121" s="246"/>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CE121" s="94"/>
    </row>
    <row r="122" spans="2:83" x14ac:dyDescent="0.15">
      <c r="B122" s="171"/>
      <c r="C122" s="171" t="s">
        <v>708</v>
      </c>
      <c r="D122" s="246"/>
      <c r="E122" s="246"/>
      <c r="F122" s="246"/>
      <c r="G122" s="246"/>
      <c r="H122" s="246"/>
      <c r="I122" s="171" t="s">
        <v>709</v>
      </c>
      <c r="J122" s="170"/>
      <c r="K122" s="170"/>
      <c r="L122" s="246"/>
      <c r="M122" s="246"/>
      <c r="N122" s="246"/>
      <c r="O122" s="246"/>
      <c r="P122" s="246"/>
      <c r="Q122" s="246"/>
      <c r="R122" s="246"/>
      <c r="S122" s="246"/>
      <c r="T122" s="246"/>
      <c r="U122" s="246"/>
      <c r="V122" s="246"/>
      <c r="W122" s="246"/>
      <c r="X122" s="246"/>
      <c r="Y122" s="246"/>
      <c r="Z122" s="246"/>
      <c r="AA122" s="246"/>
      <c r="AB122" s="246"/>
      <c r="AC122" s="246"/>
      <c r="AD122" s="246"/>
      <c r="AE122" s="246"/>
      <c r="CE122" s="94"/>
    </row>
    <row r="123" spans="2:83" x14ac:dyDescent="0.15">
      <c r="B123" s="246" t="s">
        <v>605</v>
      </c>
      <c r="C123" s="246" t="s">
        <v>605</v>
      </c>
      <c r="D123" s="246"/>
      <c r="E123" s="246"/>
      <c r="F123" s="246"/>
      <c r="G123" s="246"/>
      <c r="H123" s="246"/>
      <c r="I123" s="246" t="s">
        <v>605</v>
      </c>
      <c r="J123" s="170" t="s">
        <v>710</v>
      </c>
      <c r="K123" s="170"/>
      <c r="L123" s="246"/>
      <c r="M123" s="246"/>
      <c r="N123" s="246"/>
      <c r="O123" s="246"/>
      <c r="P123" s="246"/>
      <c r="Q123" s="246"/>
      <c r="R123" s="246"/>
      <c r="S123" s="246"/>
      <c r="T123" s="246"/>
      <c r="U123" s="246"/>
      <c r="V123" s="246"/>
      <c r="W123" s="246"/>
      <c r="X123" s="246"/>
      <c r="Y123" s="246"/>
      <c r="Z123" s="246"/>
      <c r="AA123" s="246"/>
      <c r="AB123" s="246"/>
      <c r="AC123" s="246"/>
      <c r="AD123" s="246"/>
      <c r="AE123" s="246"/>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CE123" s="94"/>
    </row>
    <row r="124" spans="2:83" s="15" customFormat="1" x14ac:dyDescent="0.15">
      <c r="B124" s="246"/>
      <c r="C124" s="246"/>
      <c r="D124" s="246"/>
      <c r="E124" s="246"/>
      <c r="F124" s="246"/>
      <c r="G124" s="246"/>
      <c r="H124" s="246"/>
      <c r="I124" s="246"/>
      <c r="J124" s="170"/>
      <c r="K124" s="170"/>
      <c r="L124" s="246"/>
      <c r="M124" s="246"/>
      <c r="N124" s="246"/>
      <c r="O124" s="246"/>
      <c r="P124" s="246"/>
      <c r="Q124" s="246"/>
      <c r="R124" s="246"/>
      <c r="S124" s="246"/>
      <c r="T124" s="246"/>
      <c r="U124" s="246"/>
      <c r="V124" s="246"/>
      <c r="W124" s="246"/>
      <c r="X124" s="246"/>
      <c r="Y124" s="246"/>
      <c r="Z124" s="246"/>
      <c r="AA124" s="246"/>
      <c r="AB124" s="246"/>
      <c r="AC124" s="246"/>
      <c r="AD124" s="246"/>
      <c r="AE124" s="246"/>
      <c r="AF124" s="301" t="s">
        <v>931</v>
      </c>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c r="BC124" s="302"/>
      <c r="BD124" s="302"/>
      <c r="BE124" s="302"/>
      <c r="CE124" s="94"/>
    </row>
    <row r="125" spans="2:83" s="15" customFormat="1" x14ac:dyDescent="0.15">
      <c r="B125" s="246"/>
      <c r="C125" s="246"/>
      <c r="D125" s="246"/>
      <c r="E125" s="246"/>
      <c r="F125" s="246"/>
      <c r="G125" s="246"/>
      <c r="H125" s="246"/>
      <c r="I125" s="246"/>
      <c r="J125" s="170"/>
      <c r="K125" s="170"/>
      <c r="L125" s="246"/>
      <c r="M125" s="246"/>
      <c r="N125" s="246"/>
      <c r="O125" s="246"/>
      <c r="P125" s="246"/>
      <c r="Q125" s="246"/>
      <c r="R125" s="246"/>
      <c r="S125" s="246"/>
      <c r="T125" s="246"/>
      <c r="U125" s="246"/>
      <c r="V125" s="246"/>
      <c r="W125" s="246"/>
      <c r="X125" s="246"/>
      <c r="Y125" s="246"/>
      <c r="Z125" s="246"/>
      <c r="AA125" s="246"/>
      <c r="AB125" s="246"/>
      <c r="AC125" s="246"/>
      <c r="AD125" s="246"/>
      <c r="AE125" s="246"/>
      <c r="AF125" s="301" t="s">
        <v>932</v>
      </c>
      <c r="AG125" s="302"/>
      <c r="AH125" s="302"/>
      <c r="AI125" s="302"/>
      <c r="AJ125" s="302"/>
      <c r="AK125" s="302"/>
      <c r="AL125" s="302"/>
      <c r="AM125" s="302"/>
      <c r="AN125" s="302"/>
      <c r="AO125" s="302"/>
      <c r="AP125" s="302"/>
      <c r="AQ125" s="302"/>
      <c r="AR125" s="302"/>
      <c r="AS125" s="302"/>
      <c r="AT125" s="302"/>
      <c r="AU125" s="302"/>
      <c r="AV125" s="302"/>
      <c r="AW125" s="302"/>
      <c r="AX125" s="302"/>
      <c r="AY125" s="302"/>
      <c r="AZ125" s="302"/>
      <c r="BA125" s="302"/>
      <c r="BB125" s="302"/>
      <c r="BC125" s="302"/>
      <c r="BD125" s="302"/>
      <c r="BE125" s="302"/>
      <c r="CE125" s="94"/>
    </row>
    <row r="126" spans="2:83" x14ac:dyDescent="0.15">
      <c r="B126" s="246"/>
      <c r="C126" s="246"/>
      <c r="D126" s="246"/>
      <c r="E126" s="246"/>
      <c r="F126" s="246"/>
      <c r="G126" s="246"/>
      <c r="H126" s="246"/>
      <c r="I126" s="246"/>
      <c r="J126" s="170"/>
      <c r="K126" s="170"/>
      <c r="L126" s="246"/>
      <c r="M126" s="246"/>
      <c r="N126" s="246"/>
      <c r="O126" s="246"/>
      <c r="P126" s="246"/>
      <c r="Q126" s="246"/>
      <c r="R126" s="246"/>
      <c r="S126" s="246"/>
      <c r="T126" s="246"/>
      <c r="U126" s="246"/>
      <c r="V126" s="246"/>
      <c r="W126" s="246"/>
      <c r="X126" s="246"/>
      <c r="Y126" s="246"/>
      <c r="Z126" s="246"/>
      <c r="AA126" s="246"/>
      <c r="AB126" s="246"/>
      <c r="AC126" s="246"/>
      <c r="AD126" s="246"/>
      <c r="AE126" s="246"/>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CE126" s="94"/>
    </row>
    <row r="127" spans="2:83" x14ac:dyDescent="0.15">
      <c r="B127" s="171"/>
      <c r="C127" s="171" t="s">
        <v>711</v>
      </c>
      <c r="D127" s="246"/>
      <c r="E127" s="246"/>
      <c r="F127" s="246"/>
      <c r="G127" s="246"/>
      <c r="H127" s="246"/>
      <c r="I127" s="171" t="s">
        <v>712</v>
      </c>
      <c r="J127" s="170"/>
      <c r="K127" s="170"/>
      <c r="L127" s="246"/>
      <c r="M127" s="246"/>
      <c r="N127" s="246"/>
      <c r="O127" s="246"/>
      <c r="P127" s="246"/>
      <c r="Q127" s="246"/>
      <c r="R127" s="246"/>
      <c r="S127" s="246"/>
      <c r="T127" s="246"/>
      <c r="U127" s="246"/>
      <c r="V127" s="246"/>
      <c r="W127" s="246"/>
      <c r="X127" s="246"/>
      <c r="Y127" s="246"/>
      <c r="Z127" s="246"/>
      <c r="AA127" s="246"/>
      <c r="AB127" s="246"/>
      <c r="AC127" s="246"/>
      <c r="AD127" s="246"/>
      <c r="AE127" s="246"/>
      <c r="AF127" s="301" t="s">
        <v>933</v>
      </c>
      <c r="AG127" s="302"/>
      <c r="AH127" s="302"/>
      <c r="AI127" s="302"/>
      <c r="AJ127" s="302"/>
      <c r="AK127" s="302"/>
      <c r="AL127" s="302"/>
      <c r="AM127" s="302"/>
      <c r="AN127" s="302"/>
      <c r="AO127" s="302"/>
      <c r="AP127" s="302"/>
      <c r="AQ127" s="302"/>
      <c r="AR127" s="302"/>
      <c r="AS127" s="302"/>
      <c r="AT127" s="302"/>
      <c r="AU127" s="302"/>
      <c r="AV127" s="302"/>
      <c r="AW127" s="302"/>
      <c r="AX127" s="302"/>
      <c r="AY127" s="302"/>
      <c r="AZ127" s="302"/>
      <c r="BA127" s="302"/>
      <c r="BB127" s="302"/>
      <c r="BC127" s="302"/>
      <c r="BD127" s="302"/>
      <c r="BE127" s="302"/>
      <c r="CE127" s="94"/>
    </row>
    <row r="128" spans="2:83" x14ac:dyDescent="0.15">
      <c r="B128" s="246" t="s">
        <v>605</v>
      </c>
      <c r="C128" s="246" t="s">
        <v>605</v>
      </c>
      <c r="D128" s="246"/>
      <c r="E128" s="246"/>
      <c r="F128" s="246"/>
      <c r="G128" s="246"/>
      <c r="H128" s="246"/>
      <c r="I128" s="246" t="s">
        <v>605</v>
      </c>
      <c r="J128" s="170" t="s">
        <v>713</v>
      </c>
      <c r="K128" s="170"/>
      <c r="L128" s="246"/>
      <c r="M128" s="246"/>
      <c r="N128" s="246"/>
      <c r="O128" s="246"/>
      <c r="P128" s="246"/>
      <c r="Q128" s="246"/>
      <c r="R128" s="246"/>
      <c r="S128" s="246"/>
      <c r="T128" s="246"/>
      <c r="U128" s="246"/>
      <c r="V128" s="246"/>
      <c r="W128" s="246"/>
      <c r="X128" s="246"/>
      <c r="Y128" s="246"/>
      <c r="Z128" s="246"/>
      <c r="AA128" s="246"/>
      <c r="AB128" s="246"/>
      <c r="AC128" s="246"/>
      <c r="AD128" s="246"/>
      <c r="AE128" s="246"/>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CE128" s="94"/>
    </row>
    <row r="129" spans="2:83" x14ac:dyDescent="0.15">
      <c r="B129" s="246" t="s">
        <v>605</v>
      </c>
      <c r="C129" s="246" t="s">
        <v>605</v>
      </c>
      <c r="D129" s="246"/>
      <c r="E129" s="246"/>
      <c r="F129" s="246"/>
      <c r="G129" s="246"/>
      <c r="H129" s="246"/>
      <c r="I129" s="246" t="s">
        <v>605</v>
      </c>
      <c r="J129" s="170"/>
      <c r="K129" s="170" t="s">
        <v>714</v>
      </c>
      <c r="L129" s="246"/>
      <c r="M129" s="246"/>
      <c r="N129" s="246"/>
      <c r="O129" s="246"/>
      <c r="P129" s="246"/>
      <c r="Q129" s="246"/>
      <c r="R129" s="246"/>
      <c r="S129" s="246"/>
      <c r="T129" s="246"/>
      <c r="U129" s="246"/>
      <c r="V129" s="246"/>
      <c r="W129" s="246"/>
      <c r="X129" s="246"/>
      <c r="Y129" s="246"/>
      <c r="Z129" s="246"/>
      <c r="AA129" s="246"/>
      <c r="AB129" s="246"/>
      <c r="AC129" s="246"/>
      <c r="AD129" s="246"/>
      <c r="AE129" s="246"/>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CE129" s="94"/>
    </row>
    <row r="130" spans="2:83" x14ac:dyDescent="0.15">
      <c r="B130" s="246" t="s">
        <v>605</v>
      </c>
      <c r="C130" s="246" t="s">
        <v>605</v>
      </c>
      <c r="D130" s="246"/>
      <c r="E130" s="246"/>
      <c r="F130" s="246"/>
      <c r="G130" s="246"/>
      <c r="H130" s="246"/>
      <c r="I130" s="246" t="s">
        <v>605</v>
      </c>
      <c r="J130" s="170"/>
      <c r="K130" s="170" t="s">
        <v>715</v>
      </c>
      <c r="L130" s="246"/>
      <c r="M130" s="246"/>
      <c r="N130" s="246"/>
      <c r="O130" s="246"/>
      <c r="P130" s="246"/>
      <c r="Q130" s="246"/>
      <c r="R130" s="246"/>
      <c r="S130" s="246"/>
      <c r="T130" s="246"/>
      <c r="U130" s="246"/>
      <c r="V130" s="246"/>
      <c r="W130" s="246"/>
      <c r="X130" s="246"/>
      <c r="Y130" s="246"/>
      <c r="Z130" s="246"/>
      <c r="AA130" s="246"/>
      <c r="AB130" s="246"/>
      <c r="AC130" s="246"/>
      <c r="AD130" s="246"/>
      <c r="AE130" s="246"/>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CE130" s="94"/>
    </row>
    <row r="131" spans="2:83" x14ac:dyDescent="0.15">
      <c r="B131" s="246"/>
      <c r="C131" s="246"/>
      <c r="D131" s="246"/>
      <c r="E131" s="246"/>
      <c r="F131" s="246"/>
      <c r="G131" s="246"/>
      <c r="H131" s="246"/>
      <c r="I131" s="246"/>
      <c r="J131" s="170"/>
      <c r="K131" s="170"/>
      <c r="L131" s="246"/>
      <c r="M131" s="246"/>
      <c r="N131" s="246"/>
      <c r="O131" s="246"/>
      <c r="P131" s="246"/>
      <c r="Q131" s="246"/>
      <c r="R131" s="246"/>
      <c r="S131" s="246"/>
      <c r="T131" s="246"/>
      <c r="U131" s="246"/>
      <c r="V131" s="246"/>
      <c r="W131" s="246"/>
      <c r="X131" s="246"/>
      <c r="Y131" s="246"/>
      <c r="Z131" s="246"/>
      <c r="AA131" s="246"/>
      <c r="AB131" s="246"/>
      <c r="AC131" s="246"/>
      <c r="AD131" s="246"/>
      <c r="AE131" s="246"/>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CE131" s="94"/>
    </row>
    <row r="132" spans="2:83" x14ac:dyDescent="0.15">
      <c r="B132" s="171"/>
      <c r="C132" s="171" t="s">
        <v>716</v>
      </c>
      <c r="D132" s="246"/>
      <c r="E132" s="246"/>
      <c r="F132" s="246"/>
      <c r="G132" s="246"/>
      <c r="H132" s="246"/>
      <c r="I132" s="171" t="s">
        <v>717</v>
      </c>
      <c r="J132" s="170"/>
      <c r="K132" s="170"/>
      <c r="L132" s="246"/>
      <c r="M132" s="246"/>
      <c r="N132" s="246"/>
      <c r="O132" s="246"/>
      <c r="P132" s="246"/>
      <c r="Q132" s="246"/>
      <c r="R132" s="246"/>
      <c r="S132" s="246"/>
      <c r="T132" s="246"/>
      <c r="U132" s="246"/>
      <c r="V132" s="246"/>
      <c r="W132" s="246"/>
      <c r="X132" s="246"/>
      <c r="Y132" s="246"/>
      <c r="Z132" s="246"/>
      <c r="AA132" s="246"/>
      <c r="AB132" s="246"/>
      <c r="AC132" s="246"/>
      <c r="AD132" s="246"/>
      <c r="AE132" s="246"/>
      <c r="AF132" s="301" t="s">
        <v>934</v>
      </c>
      <c r="AG132" s="302"/>
      <c r="AH132" s="302"/>
      <c r="AI132" s="302"/>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c r="CE132" s="94"/>
    </row>
    <row r="133" spans="2:83" x14ac:dyDescent="0.15">
      <c r="B133" s="246" t="s">
        <v>605</v>
      </c>
      <c r="C133" s="246" t="s">
        <v>605</v>
      </c>
      <c r="D133" s="246"/>
      <c r="E133" s="246"/>
      <c r="F133" s="246"/>
      <c r="G133" s="246"/>
      <c r="H133" s="246"/>
      <c r="I133" s="246" t="s">
        <v>605</v>
      </c>
      <c r="J133" s="170" t="s">
        <v>718</v>
      </c>
      <c r="K133" s="170"/>
      <c r="L133" s="246"/>
      <c r="M133" s="246"/>
      <c r="N133" s="246"/>
      <c r="O133" s="246"/>
      <c r="P133" s="246"/>
      <c r="Q133" s="246"/>
      <c r="R133" s="246"/>
      <c r="S133" s="246"/>
      <c r="T133" s="246"/>
      <c r="U133" s="246"/>
      <c r="V133" s="246"/>
      <c r="W133" s="246"/>
      <c r="X133" s="246"/>
      <c r="Y133" s="246"/>
      <c r="Z133" s="246"/>
      <c r="AA133" s="246"/>
      <c r="AB133" s="246"/>
      <c r="AC133" s="246"/>
      <c r="AD133" s="246"/>
      <c r="AE133" s="246"/>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CE133" s="94"/>
    </row>
    <row r="134" spans="2:83" x14ac:dyDescent="0.15">
      <c r="B134" s="246" t="s">
        <v>605</v>
      </c>
      <c r="C134" s="246" t="s">
        <v>605</v>
      </c>
      <c r="D134" s="246"/>
      <c r="E134" s="246"/>
      <c r="F134" s="246"/>
      <c r="G134" s="246"/>
      <c r="H134" s="246"/>
      <c r="I134" s="246" t="s">
        <v>605</v>
      </c>
      <c r="J134" s="170" t="s">
        <v>719</v>
      </c>
      <c r="K134" s="170"/>
      <c r="L134" s="246"/>
      <c r="M134" s="246"/>
      <c r="N134" s="246"/>
      <c r="O134" s="246"/>
      <c r="P134" s="246"/>
      <c r="Q134" s="246"/>
      <c r="R134" s="246"/>
      <c r="S134" s="246"/>
      <c r="T134" s="246"/>
      <c r="U134" s="246"/>
      <c r="V134" s="246"/>
      <c r="W134" s="246"/>
      <c r="X134" s="246"/>
      <c r="Y134" s="246"/>
      <c r="Z134" s="246"/>
      <c r="AA134" s="246"/>
      <c r="AB134" s="246"/>
      <c r="AC134" s="246"/>
      <c r="AD134" s="246"/>
      <c r="AE134" s="246"/>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CE134" s="94"/>
    </row>
    <row r="135" spans="2:83" x14ac:dyDescent="0.15">
      <c r="B135" s="246"/>
      <c r="C135" s="246"/>
      <c r="D135" s="246"/>
      <c r="E135" s="246"/>
      <c r="F135" s="246"/>
      <c r="G135" s="246"/>
      <c r="H135" s="246"/>
      <c r="I135" s="246"/>
      <c r="J135" s="170"/>
      <c r="K135" s="170"/>
      <c r="L135" s="246"/>
      <c r="M135" s="246"/>
      <c r="N135" s="246"/>
      <c r="O135" s="246"/>
      <c r="P135" s="246"/>
      <c r="Q135" s="246"/>
      <c r="R135" s="246"/>
      <c r="S135" s="246"/>
      <c r="T135" s="246"/>
      <c r="U135" s="246"/>
      <c r="V135" s="246"/>
      <c r="W135" s="246"/>
      <c r="X135" s="246"/>
      <c r="Y135" s="246"/>
      <c r="Z135" s="246"/>
      <c r="AA135" s="246"/>
      <c r="AB135" s="246"/>
      <c r="AC135" s="246"/>
      <c r="AD135" s="246"/>
      <c r="AE135" s="246"/>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CE135" s="94"/>
    </row>
    <row r="136" spans="2:83" x14ac:dyDescent="0.15">
      <c r="B136" s="171"/>
      <c r="C136" s="171" t="s">
        <v>720</v>
      </c>
      <c r="D136" s="246"/>
      <c r="E136" s="246"/>
      <c r="F136" s="246"/>
      <c r="G136" s="246"/>
      <c r="H136" s="246"/>
      <c r="I136" s="171" t="s">
        <v>721</v>
      </c>
      <c r="J136" s="170"/>
      <c r="K136" s="170"/>
      <c r="L136" s="246"/>
      <c r="M136" s="246"/>
      <c r="N136" s="246"/>
      <c r="O136" s="246"/>
      <c r="P136" s="246"/>
      <c r="Q136" s="246"/>
      <c r="R136" s="246"/>
      <c r="S136" s="246"/>
      <c r="T136" s="246"/>
      <c r="U136" s="246"/>
      <c r="V136" s="246"/>
      <c r="W136" s="246"/>
      <c r="X136" s="246"/>
      <c r="Y136" s="246"/>
      <c r="Z136" s="246"/>
      <c r="AA136" s="246"/>
      <c r="AB136" s="246"/>
      <c r="AC136" s="246"/>
      <c r="AD136" s="246"/>
      <c r="AE136" s="246"/>
      <c r="AF136" s="301" t="s">
        <v>935</v>
      </c>
      <c r="AG136" s="302"/>
      <c r="AH136" s="302"/>
      <c r="AI136" s="302"/>
      <c r="AJ136" s="302"/>
      <c r="AK136" s="302"/>
      <c r="AL136" s="302"/>
      <c r="AM136" s="302"/>
      <c r="AN136" s="302"/>
      <c r="AO136" s="302"/>
      <c r="AP136" s="302"/>
      <c r="AQ136" s="302"/>
      <c r="AR136" s="302"/>
      <c r="AS136" s="302"/>
      <c r="AT136" s="302"/>
      <c r="AU136" s="302"/>
      <c r="AV136" s="302"/>
      <c r="AW136" s="302"/>
      <c r="AX136" s="302"/>
      <c r="AY136" s="302"/>
      <c r="AZ136" s="302"/>
      <c r="BA136" s="302"/>
      <c r="BB136" s="302"/>
      <c r="BC136" s="302"/>
      <c r="BD136" s="302"/>
      <c r="BE136" s="302"/>
      <c r="CE136" s="94"/>
    </row>
    <row r="137" spans="2:83" x14ac:dyDescent="0.15">
      <c r="B137" s="246" t="s">
        <v>605</v>
      </c>
      <c r="C137" s="246" t="s">
        <v>605</v>
      </c>
      <c r="D137" s="246"/>
      <c r="E137" s="246"/>
      <c r="F137" s="246"/>
      <c r="G137" s="246"/>
      <c r="H137" s="246"/>
      <c r="I137" s="246" t="s">
        <v>605</v>
      </c>
      <c r="J137" s="170" t="s">
        <v>722</v>
      </c>
      <c r="K137" s="170"/>
      <c r="L137" s="246"/>
      <c r="M137" s="246"/>
      <c r="N137" s="246"/>
      <c r="O137" s="246"/>
      <c r="P137" s="246"/>
      <c r="Q137" s="246"/>
      <c r="R137" s="246"/>
      <c r="S137" s="246"/>
      <c r="T137" s="246"/>
      <c r="U137" s="246"/>
      <c r="V137" s="246"/>
      <c r="W137" s="246"/>
      <c r="X137" s="246"/>
      <c r="Y137" s="246"/>
      <c r="Z137" s="246"/>
      <c r="AA137" s="246"/>
      <c r="AB137" s="246"/>
      <c r="AC137" s="246"/>
      <c r="AD137" s="246"/>
      <c r="AE137" s="246"/>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CE137" s="94"/>
    </row>
    <row r="138" spans="2:83" x14ac:dyDescent="0.15">
      <c r="B138" s="246"/>
      <c r="C138" s="246"/>
      <c r="D138" s="246"/>
      <c r="E138" s="246"/>
      <c r="F138" s="246"/>
      <c r="G138" s="246"/>
      <c r="H138" s="246"/>
      <c r="I138" s="246"/>
      <c r="J138" s="170"/>
      <c r="K138" s="170"/>
      <c r="L138" s="246"/>
      <c r="M138" s="246"/>
      <c r="N138" s="246"/>
      <c r="O138" s="246"/>
      <c r="P138" s="246"/>
      <c r="Q138" s="246"/>
      <c r="R138" s="246"/>
      <c r="S138" s="246"/>
      <c r="T138" s="246"/>
      <c r="U138" s="246"/>
      <c r="V138" s="246"/>
      <c r="W138" s="246"/>
      <c r="X138" s="246"/>
      <c r="Y138" s="246"/>
      <c r="Z138" s="246"/>
      <c r="AA138" s="246"/>
      <c r="AB138" s="246"/>
      <c r="AC138" s="246"/>
      <c r="AD138" s="246"/>
      <c r="AE138" s="246"/>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CE138" s="94"/>
    </row>
    <row r="139" spans="2:83" x14ac:dyDescent="0.15">
      <c r="B139" s="171"/>
      <c r="C139" s="171" t="s">
        <v>723</v>
      </c>
      <c r="D139" s="246"/>
      <c r="E139" s="246"/>
      <c r="F139" s="246"/>
      <c r="G139" s="246"/>
      <c r="H139" s="246"/>
      <c r="I139" s="171" t="s">
        <v>724</v>
      </c>
      <c r="J139" s="170"/>
      <c r="K139" s="170"/>
      <c r="L139" s="246"/>
      <c r="M139" s="246"/>
      <c r="N139" s="246"/>
      <c r="O139" s="246"/>
      <c r="P139" s="246"/>
      <c r="Q139" s="246"/>
      <c r="R139" s="246"/>
      <c r="S139" s="246"/>
      <c r="T139" s="246"/>
      <c r="U139" s="246"/>
      <c r="V139" s="246"/>
      <c r="W139" s="246"/>
      <c r="X139" s="246"/>
      <c r="Y139" s="246"/>
      <c r="Z139" s="246"/>
      <c r="AA139" s="246"/>
      <c r="AB139" s="246"/>
      <c r="AC139" s="246"/>
      <c r="AD139" s="246"/>
      <c r="AE139" s="246"/>
      <c r="AF139" s="301" t="s">
        <v>936</v>
      </c>
      <c r="AG139" s="302"/>
      <c r="AH139" s="302"/>
      <c r="AI139" s="302"/>
      <c r="AJ139" s="302"/>
      <c r="AK139" s="302"/>
      <c r="AL139" s="302"/>
      <c r="AM139" s="302"/>
      <c r="AN139" s="302"/>
      <c r="AO139" s="302"/>
      <c r="AP139" s="302"/>
      <c r="AQ139" s="302"/>
      <c r="AR139" s="302"/>
      <c r="AS139" s="302"/>
      <c r="AT139" s="302"/>
      <c r="AU139" s="302"/>
      <c r="AV139" s="302"/>
      <c r="AW139" s="302"/>
      <c r="AX139" s="302"/>
      <c r="AY139" s="302"/>
      <c r="AZ139" s="302"/>
      <c r="BA139" s="302"/>
      <c r="BB139" s="302"/>
      <c r="BC139" s="302"/>
      <c r="BD139" s="302"/>
      <c r="BE139" s="302"/>
      <c r="CE139" s="94"/>
    </row>
    <row r="140" spans="2:83" x14ac:dyDescent="0.15">
      <c r="B140" s="246" t="s">
        <v>605</v>
      </c>
      <c r="C140" s="246" t="s">
        <v>605</v>
      </c>
      <c r="D140" s="246"/>
      <c r="E140" s="246"/>
      <c r="F140" s="246"/>
      <c r="G140" s="246"/>
      <c r="H140" s="246"/>
      <c r="I140" s="246" t="s">
        <v>605</v>
      </c>
      <c r="J140" s="170" t="s">
        <v>725</v>
      </c>
      <c r="K140" s="170"/>
      <c r="L140" s="246"/>
      <c r="M140" s="246"/>
      <c r="N140" s="246"/>
      <c r="O140" s="246"/>
      <c r="P140" s="246"/>
      <c r="Q140" s="246"/>
      <c r="R140" s="246"/>
      <c r="S140" s="246"/>
      <c r="T140" s="246"/>
      <c r="U140" s="246"/>
      <c r="V140" s="246"/>
      <c r="W140" s="246"/>
      <c r="X140" s="246"/>
      <c r="Y140" s="246"/>
      <c r="Z140" s="246"/>
      <c r="AA140" s="246"/>
      <c r="AB140" s="246"/>
      <c r="AC140" s="246"/>
      <c r="AD140" s="246"/>
      <c r="AE140" s="246"/>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CE140" s="94"/>
    </row>
    <row r="141" spans="2:83" x14ac:dyDescent="0.15">
      <c r="B141" s="246"/>
      <c r="C141" s="246"/>
      <c r="D141" s="246"/>
      <c r="E141" s="246"/>
      <c r="F141" s="246"/>
      <c r="G141" s="246"/>
      <c r="H141" s="246"/>
      <c r="I141" s="246"/>
      <c r="J141" s="170"/>
      <c r="K141" s="170"/>
      <c r="L141" s="246"/>
      <c r="M141" s="246"/>
      <c r="N141" s="246"/>
      <c r="O141" s="246"/>
      <c r="P141" s="246"/>
      <c r="Q141" s="246"/>
      <c r="R141" s="246"/>
      <c r="S141" s="246"/>
      <c r="T141" s="246"/>
      <c r="U141" s="246"/>
      <c r="V141" s="246"/>
      <c r="W141" s="246"/>
      <c r="X141" s="246"/>
      <c r="Y141" s="246"/>
      <c r="Z141" s="246"/>
      <c r="AA141" s="246"/>
      <c r="AB141" s="246"/>
      <c r="AC141" s="246"/>
      <c r="AD141" s="246"/>
      <c r="AE141" s="246"/>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CE141" s="94"/>
    </row>
    <row r="142" spans="2:83" x14ac:dyDescent="0.15">
      <c r="B142" s="246"/>
      <c r="C142" s="246"/>
      <c r="D142" s="246"/>
      <c r="E142" s="246"/>
      <c r="F142" s="246"/>
      <c r="G142" s="246"/>
      <c r="H142" s="246"/>
      <c r="I142" s="246"/>
      <c r="J142" s="170"/>
      <c r="K142" s="170"/>
      <c r="L142" s="246"/>
      <c r="M142" s="246"/>
      <c r="N142" s="246"/>
      <c r="O142" s="246"/>
      <c r="P142" s="246"/>
      <c r="Q142" s="246"/>
      <c r="R142" s="246"/>
      <c r="S142" s="246"/>
      <c r="T142" s="246"/>
      <c r="U142" s="246"/>
      <c r="V142" s="246"/>
      <c r="W142" s="246"/>
      <c r="X142" s="246"/>
      <c r="Y142" s="246"/>
      <c r="Z142" s="246"/>
      <c r="AA142" s="246"/>
      <c r="AB142" s="246"/>
      <c r="AC142" s="246"/>
      <c r="AD142" s="246"/>
      <c r="AE142" s="246"/>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CE142" s="94"/>
    </row>
    <row r="143" spans="2:83" ht="12.75" x14ac:dyDescent="0.15">
      <c r="B143" s="119" t="s">
        <v>726</v>
      </c>
      <c r="C143" s="119"/>
      <c r="D143" s="246"/>
      <c r="E143" s="246"/>
      <c r="F143" s="246"/>
      <c r="G143" s="246"/>
      <c r="H143" s="246"/>
      <c r="I143" s="119" t="s">
        <v>727</v>
      </c>
      <c r="J143" s="170"/>
      <c r="K143" s="170"/>
      <c r="L143" s="246"/>
      <c r="M143" s="246"/>
      <c r="N143" s="246"/>
      <c r="O143" s="246"/>
      <c r="P143" s="246"/>
      <c r="Q143" s="246"/>
      <c r="R143" s="246"/>
      <c r="S143" s="246"/>
      <c r="T143" s="246"/>
      <c r="U143" s="246"/>
      <c r="V143" s="246"/>
      <c r="W143" s="246"/>
      <c r="X143" s="246"/>
      <c r="Y143" s="246"/>
      <c r="Z143" s="246"/>
      <c r="AA143" s="246"/>
      <c r="AB143" s="246"/>
      <c r="AC143" s="246"/>
      <c r="AD143" s="246"/>
      <c r="AE143" s="246"/>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CE143" s="94"/>
    </row>
    <row r="144" spans="2:83" x14ac:dyDescent="0.15">
      <c r="B144" s="246"/>
      <c r="C144" s="246"/>
      <c r="D144" s="246"/>
      <c r="E144" s="246"/>
      <c r="F144" s="246"/>
      <c r="G144" s="246"/>
      <c r="H144" s="246"/>
      <c r="I144" s="246"/>
      <c r="J144" s="170"/>
      <c r="K144" s="170"/>
      <c r="L144" s="246"/>
      <c r="M144" s="246"/>
      <c r="N144" s="246"/>
      <c r="O144" s="246"/>
      <c r="P144" s="246"/>
      <c r="Q144" s="246"/>
      <c r="R144" s="246"/>
      <c r="S144" s="246"/>
      <c r="T144" s="246"/>
      <c r="U144" s="246"/>
      <c r="V144" s="246"/>
      <c r="W144" s="246"/>
      <c r="X144" s="246"/>
      <c r="Y144" s="246"/>
      <c r="Z144" s="246"/>
      <c r="AA144" s="246"/>
      <c r="AB144" s="246"/>
      <c r="AC144" s="246"/>
      <c r="AD144" s="246"/>
      <c r="AE144" s="246"/>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CE144" s="94"/>
    </row>
    <row r="145" spans="2:83" x14ac:dyDescent="0.15">
      <c r="B145" s="171"/>
      <c r="C145" s="171" t="s">
        <v>728</v>
      </c>
      <c r="D145" s="246"/>
      <c r="E145" s="246"/>
      <c r="F145" s="246"/>
      <c r="G145" s="246"/>
      <c r="H145" s="246"/>
      <c r="I145" s="171" t="s">
        <v>729</v>
      </c>
      <c r="J145" s="170"/>
      <c r="K145" s="170"/>
      <c r="L145" s="246"/>
      <c r="M145" s="246"/>
      <c r="N145" s="246"/>
      <c r="O145" s="246"/>
      <c r="P145" s="246"/>
      <c r="Q145" s="246"/>
      <c r="R145" s="246"/>
      <c r="S145" s="246"/>
      <c r="T145" s="246"/>
      <c r="U145" s="246"/>
      <c r="V145" s="246"/>
      <c r="W145" s="246"/>
      <c r="X145" s="246"/>
      <c r="Y145" s="246"/>
      <c r="Z145" s="246"/>
      <c r="AA145" s="246"/>
      <c r="AB145" s="246"/>
      <c r="AC145" s="246"/>
      <c r="AD145" s="246"/>
      <c r="AE145" s="246"/>
      <c r="AF145" s="301" t="s">
        <v>920</v>
      </c>
      <c r="AG145" s="302"/>
      <c r="AH145" s="302"/>
      <c r="AI145" s="302"/>
      <c r="AJ145" s="302"/>
      <c r="AK145" s="302"/>
      <c r="AL145" s="302"/>
      <c r="AM145" s="302"/>
      <c r="AN145" s="302"/>
      <c r="AO145" s="302"/>
      <c r="AP145" s="302"/>
      <c r="AQ145" s="302"/>
      <c r="AR145" s="302"/>
      <c r="AS145" s="302"/>
      <c r="AT145" s="302"/>
      <c r="AU145" s="302"/>
      <c r="AV145" s="302"/>
      <c r="AW145" s="302"/>
      <c r="AX145" s="302"/>
      <c r="AY145" s="302"/>
      <c r="AZ145" s="302"/>
      <c r="BA145" s="302"/>
      <c r="BB145" s="302"/>
      <c r="BC145" s="302"/>
      <c r="BD145" s="302"/>
      <c r="BE145" s="302"/>
      <c r="CE145" s="94"/>
    </row>
    <row r="146" spans="2:83" x14ac:dyDescent="0.15">
      <c r="B146" s="246" t="s">
        <v>605</v>
      </c>
      <c r="C146" s="246" t="s">
        <v>605</v>
      </c>
      <c r="D146" s="246"/>
      <c r="E146" s="246"/>
      <c r="F146" s="246"/>
      <c r="G146" s="246"/>
      <c r="H146" s="246"/>
      <c r="I146" s="246" t="s">
        <v>605</v>
      </c>
      <c r="J146" s="170" t="s">
        <v>730</v>
      </c>
      <c r="K146" s="170"/>
      <c r="L146" s="246"/>
      <c r="M146" s="246"/>
      <c r="N146" s="246"/>
      <c r="O146" s="246"/>
      <c r="P146" s="246"/>
      <c r="Q146" s="246"/>
      <c r="R146" s="246"/>
      <c r="S146" s="246"/>
      <c r="T146" s="246"/>
      <c r="U146" s="246"/>
      <c r="V146" s="246"/>
      <c r="W146" s="246"/>
      <c r="X146" s="246"/>
      <c r="Y146" s="246"/>
      <c r="Z146" s="246"/>
      <c r="AA146" s="246"/>
      <c r="AB146" s="246"/>
      <c r="AC146" s="246"/>
      <c r="AD146" s="246"/>
      <c r="AE146" s="246"/>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CE146" s="94"/>
    </row>
    <row r="147" spans="2:83" x14ac:dyDescent="0.15">
      <c r="B147" s="246" t="s">
        <v>605</v>
      </c>
      <c r="C147" s="246" t="s">
        <v>605</v>
      </c>
      <c r="D147" s="246"/>
      <c r="E147" s="246"/>
      <c r="F147" s="246"/>
      <c r="G147" s="246"/>
      <c r="H147" s="246"/>
      <c r="I147" s="246" t="s">
        <v>605</v>
      </c>
      <c r="J147" s="170" t="s">
        <v>731</v>
      </c>
      <c r="K147" s="170"/>
      <c r="L147" s="246"/>
      <c r="M147" s="246"/>
      <c r="N147" s="246"/>
      <c r="O147" s="246"/>
      <c r="P147" s="246"/>
      <c r="Q147" s="246"/>
      <c r="R147" s="246"/>
      <c r="S147" s="246"/>
      <c r="T147" s="246"/>
      <c r="U147" s="246"/>
      <c r="V147" s="246"/>
      <c r="W147" s="246"/>
      <c r="X147" s="246"/>
      <c r="Y147" s="246"/>
      <c r="Z147" s="246"/>
      <c r="AA147" s="246"/>
      <c r="AB147" s="246"/>
      <c r="AC147" s="246"/>
      <c r="AD147" s="246"/>
      <c r="AE147" s="246"/>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CE147" s="94"/>
    </row>
    <row r="148" spans="2:83" x14ac:dyDescent="0.15">
      <c r="B148" s="246"/>
      <c r="C148" s="246"/>
      <c r="D148" s="246"/>
      <c r="E148" s="246"/>
      <c r="F148" s="246"/>
      <c r="G148" s="246"/>
      <c r="H148" s="246"/>
      <c r="I148" s="246"/>
      <c r="J148" s="170"/>
      <c r="K148" s="170"/>
      <c r="L148" s="246"/>
      <c r="M148" s="246"/>
      <c r="N148" s="246"/>
      <c r="O148" s="246"/>
      <c r="P148" s="246"/>
      <c r="Q148" s="246"/>
      <c r="R148" s="246"/>
      <c r="S148" s="246"/>
      <c r="T148" s="246"/>
      <c r="U148" s="246"/>
      <c r="V148" s="246"/>
      <c r="W148" s="246"/>
      <c r="X148" s="246"/>
      <c r="Y148" s="246"/>
      <c r="Z148" s="246"/>
      <c r="AA148" s="246"/>
      <c r="AB148" s="246"/>
      <c r="AC148" s="246"/>
      <c r="AD148" s="246"/>
      <c r="AE148" s="246"/>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CE148" s="94"/>
    </row>
    <row r="149" spans="2:83" x14ac:dyDescent="0.15">
      <c r="B149" s="171"/>
      <c r="C149" s="171" t="s">
        <v>732</v>
      </c>
      <c r="D149" s="246"/>
      <c r="E149" s="246"/>
      <c r="F149" s="246"/>
      <c r="G149" s="246"/>
      <c r="H149" s="246"/>
      <c r="I149" s="171" t="s">
        <v>733</v>
      </c>
      <c r="J149" s="170"/>
      <c r="K149" s="170"/>
      <c r="L149" s="246"/>
      <c r="M149" s="246"/>
      <c r="N149" s="246"/>
      <c r="O149" s="246"/>
      <c r="P149" s="246"/>
      <c r="Q149" s="246"/>
      <c r="R149" s="246"/>
      <c r="S149" s="246"/>
      <c r="T149" s="246"/>
      <c r="U149" s="246"/>
      <c r="V149" s="246"/>
      <c r="W149" s="246"/>
      <c r="X149" s="246"/>
      <c r="Y149" s="246"/>
      <c r="Z149" s="246"/>
      <c r="AA149" s="246"/>
      <c r="AB149" s="246"/>
      <c r="AC149" s="246"/>
      <c r="AD149" s="246"/>
      <c r="AE149" s="246"/>
      <c r="AF149" s="301" t="s">
        <v>937</v>
      </c>
      <c r="AG149" s="302"/>
      <c r="AH149" s="302"/>
      <c r="AI149" s="302"/>
      <c r="AJ149" s="302"/>
      <c r="AK149" s="302"/>
      <c r="AL149" s="302"/>
      <c r="AM149" s="302"/>
      <c r="AN149" s="302"/>
      <c r="AO149" s="302"/>
      <c r="AP149" s="302"/>
      <c r="AQ149" s="302"/>
      <c r="AR149" s="302"/>
      <c r="AS149" s="302"/>
      <c r="AT149" s="302"/>
      <c r="AU149" s="302"/>
      <c r="AV149" s="302"/>
      <c r="AW149" s="302"/>
      <c r="AX149" s="302"/>
      <c r="AY149" s="302"/>
      <c r="AZ149" s="302"/>
      <c r="BA149" s="302"/>
      <c r="BB149" s="302"/>
      <c r="BC149" s="302"/>
      <c r="BD149" s="302"/>
      <c r="BE149" s="302"/>
      <c r="CE149" s="94"/>
    </row>
    <row r="150" spans="2:83" x14ac:dyDescent="0.15">
      <c r="B150" s="246" t="s">
        <v>605</v>
      </c>
      <c r="C150" s="246" t="s">
        <v>605</v>
      </c>
      <c r="D150" s="246"/>
      <c r="E150" s="246"/>
      <c r="F150" s="246"/>
      <c r="G150" s="246"/>
      <c r="H150" s="246"/>
      <c r="I150" s="246" t="s">
        <v>605</v>
      </c>
      <c r="J150" s="170" t="s">
        <v>734</v>
      </c>
      <c r="K150" s="170"/>
      <c r="L150" s="246"/>
      <c r="M150" s="246"/>
      <c r="N150" s="246"/>
      <c r="O150" s="246"/>
      <c r="P150" s="246"/>
      <c r="Q150" s="246"/>
      <c r="R150" s="246"/>
      <c r="S150" s="246"/>
      <c r="T150" s="246"/>
      <c r="U150" s="246"/>
      <c r="V150" s="246"/>
      <c r="W150" s="246"/>
      <c r="X150" s="246"/>
      <c r="Y150" s="246"/>
      <c r="Z150" s="246"/>
      <c r="AA150" s="246"/>
      <c r="AB150" s="246"/>
      <c r="AC150" s="246"/>
      <c r="AD150" s="246"/>
      <c r="AE150" s="246"/>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CE150" s="94"/>
    </row>
    <row r="151" spans="2:83" x14ac:dyDescent="0.15">
      <c r="B151" s="246"/>
      <c r="C151" s="246"/>
      <c r="D151" s="246"/>
      <c r="E151" s="246"/>
      <c r="F151" s="246"/>
      <c r="G151" s="246"/>
      <c r="H151" s="246"/>
      <c r="I151" s="246"/>
      <c r="J151" s="170"/>
      <c r="K151" s="170"/>
      <c r="L151" s="246"/>
      <c r="M151" s="246"/>
      <c r="N151" s="246"/>
      <c r="O151" s="246"/>
      <c r="P151" s="246"/>
      <c r="Q151" s="246"/>
      <c r="R151" s="246"/>
      <c r="S151" s="246"/>
      <c r="T151" s="246"/>
      <c r="U151" s="246"/>
      <c r="V151" s="246"/>
      <c r="W151" s="246"/>
      <c r="X151" s="246"/>
      <c r="Y151" s="246"/>
      <c r="Z151" s="246"/>
      <c r="AA151" s="246"/>
      <c r="AB151" s="246"/>
      <c r="AC151" s="246"/>
      <c r="AD151" s="246"/>
      <c r="AE151" s="246"/>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CE151" s="94"/>
    </row>
    <row r="152" spans="2:83" x14ac:dyDescent="0.15">
      <c r="B152" s="171"/>
      <c r="C152" s="171" t="s">
        <v>735</v>
      </c>
      <c r="D152" s="246"/>
      <c r="E152" s="246"/>
      <c r="F152" s="246"/>
      <c r="G152" s="246"/>
      <c r="H152" s="246"/>
      <c r="I152" s="171" t="s">
        <v>736</v>
      </c>
      <c r="J152" s="170"/>
      <c r="K152" s="170"/>
      <c r="L152" s="246"/>
      <c r="M152" s="246"/>
      <c r="N152" s="246"/>
      <c r="O152" s="246"/>
      <c r="P152" s="246"/>
      <c r="Q152" s="246"/>
      <c r="R152" s="246"/>
      <c r="S152" s="246"/>
      <c r="T152" s="246"/>
      <c r="U152" s="246"/>
      <c r="V152" s="246"/>
      <c r="W152" s="246"/>
      <c r="X152" s="246"/>
      <c r="Y152" s="246"/>
      <c r="Z152" s="246"/>
      <c r="AA152" s="246"/>
      <c r="AB152" s="246"/>
      <c r="AC152" s="246"/>
      <c r="AD152" s="246"/>
      <c r="AE152" s="246"/>
      <c r="AF152" s="301" t="s">
        <v>938</v>
      </c>
      <c r="AG152" s="302"/>
      <c r="AH152" s="302"/>
      <c r="AI152" s="302"/>
      <c r="AJ152" s="302"/>
      <c r="AK152" s="302"/>
      <c r="AL152" s="302"/>
      <c r="AM152" s="302"/>
      <c r="AN152" s="302"/>
      <c r="AO152" s="302"/>
      <c r="AP152" s="302"/>
      <c r="AQ152" s="302"/>
      <c r="AR152" s="302"/>
      <c r="AS152" s="302"/>
      <c r="AT152" s="302"/>
      <c r="AU152" s="302"/>
      <c r="AV152" s="302"/>
      <c r="AW152" s="302"/>
      <c r="AX152" s="302"/>
      <c r="AY152" s="302"/>
      <c r="AZ152" s="302"/>
      <c r="BA152" s="302"/>
      <c r="BB152" s="302"/>
      <c r="BC152" s="302"/>
      <c r="BD152" s="302"/>
      <c r="BE152" s="302"/>
      <c r="CE152" s="94"/>
    </row>
    <row r="153" spans="2:83" x14ac:dyDescent="0.15">
      <c r="B153" s="246" t="s">
        <v>605</v>
      </c>
      <c r="C153" s="246" t="s">
        <v>605</v>
      </c>
      <c r="D153" s="246"/>
      <c r="E153" s="246"/>
      <c r="F153" s="246"/>
      <c r="G153" s="246"/>
      <c r="H153" s="246"/>
      <c r="I153" s="246" t="s">
        <v>605</v>
      </c>
      <c r="J153" s="170" t="s">
        <v>737</v>
      </c>
      <c r="K153" s="170"/>
      <c r="L153" s="246"/>
      <c r="M153" s="246"/>
      <c r="N153" s="246"/>
      <c r="O153" s="246"/>
      <c r="P153" s="246"/>
      <c r="Q153" s="246"/>
      <c r="R153" s="246"/>
      <c r="S153" s="246"/>
      <c r="T153" s="246"/>
      <c r="U153" s="246"/>
      <c r="V153" s="246"/>
      <c r="W153" s="246"/>
      <c r="X153" s="246"/>
      <c r="Y153" s="246"/>
      <c r="Z153" s="246"/>
      <c r="AA153" s="246"/>
      <c r="AB153" s="246"/>
      <c r="AC153" s="246"/>
      <c r="AD153" s="246"/>
      <c r="AE153" s="246"/>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CE153" s="94"/>
    </row>
    <row r="154" spans="2:83" x14ac:dyDescent="0.15">
      <c r="B154" s="246"/>
      <c r="C154" s="246"/>
      <c r="D154" s="246"/>
      <c r="E154" s="246"/>
      <c r="F154" s="246"/>
      <c r="G154" s="246"/>
      <c r="H154" s="246"/>
      <c r="I154" s="246"/>
      <c r="J154" s="170"/>
      <c r="K154" s="170"/>
      <c r="L154" s="246"/>
      <c r="M154" s="246"/>
      <c r="N154" s="246"/>
      <c r="O154" s="246"/>
      <c r="P154" s="246"/>
      <c r="Q154" s="246"/>
      <c r="R154" s="246"/>
      <c r="S154" s="246"/>
      <c r="T154" s="246"/>
      <c r="U154" s="246"/>
      <c r="V154" s="246"/>
      <c r="W154" s="246"/>
      <c r="X154" s="246"/>
      <c r="Y154" s="246"/>
      <c r="Z154" s="246"/>
      <c r="AA154" s="246"/>
      <c r="AB154" s="246"/>
      <c r="AC154" s="246"/>
      <c r="AD154" s="246"/>
      <c r="AE154" s="246"/>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CE154" s="94"/>
    </row>
    <row r="155" spans="2:83" x14ac:dyDescent="0.15">
      <c r="B155" s="171"/>
      <c r="C155" s="171" t="s">
        <v>738</v>
      </c>
      <c r="D155" s="246"/>
      <c r="E155" s="246"/>
      <c r="F155" s="246"/>
      <c r="G155" s="246"/>
      <c r="H155" s="246"/>
      <c r="I155" s="171" t="s">
        <v>739</v>
      </c>
      <c r="J155" s="170"/>
      <c r="K155" s="170"/>
      <c r="L155" s="246"/>
      <c r="M155" s="246"/>
      <c r="N155" s="246"/>
      <c r="O155" s="246"/>
      <c r="P155" s="246"/>
      <c r="Q155" s="246"/>
      <c r="R155" s="246"/>
      <c r="S155" s="246"/>
      <c r="T155" s="246"/>
      <c r="U155" s="246"/>
      <c r="V155" s="246"/>
      <c r="W155" s="246"/>
      <c r="X155" s="246"/>
      <c r="Y155" s="246"/>
      <c r="Z155" s="246"/>
      <c r="AA155" s="246"/>
      <c r="AB155" s="246"/>
      <c r="AC155" s="246"/>
      <c r="AD155" s="246"/>
      <c r="AE155" s="246"/>
      <c r="AF155" s="301" t="s">
        <v>919</v>
      </c>
      <c r="AG155" s="302"/>
      <c r="AH155" s="302"/>
      <c r="AI155" s="302"/>
      <c r="AJ155" s="302"/>
      <c r="AK155" s="302"/>
      <c r="AL155" s="302"/>
      <c r="AM155" s="302"/>
      <c r="AN155" s="302"/>
      <c r="AO155" s="302"/>
      <c r="AP155" s="302"/>
      <c r="AQ155" s="302"/>
      <c r="AR155" s="302"/>
      <c r="AS155" s="302"/>
      <c r="AT155" s="302"/>
      <c r="AU155" s="302"/>
      <c r="AV155" s="302"/>
      <c r="AW155" s="302"/>
      <c r="AX155" s="302"/>
      <c r="AY155" s="302"/>
      <c r="AZ155" s="302"/>
      <c r="BA155" s="302"/>
      <c r="BB155" s="302"/>
      <c r="BC155" s="302"/>
      <c r="BD155" s="302"/>
      <c r="BE155" s="302"/>
      <c r="CE155" s="94"/>
    </row>
    <row r="156" spans="2:83" x14ac:dyDescent="0.15">
      <c r="B156" s="246" t="s">
        <v>605</v>
      </c>
      <c r="C156" s="246" t="s">
        <v>605</v>
      </c>
      <c r="D156" s="246"/>
      <c r="E156" s="246"/>
      <c r="F156" s="246"/>
      <c r="G156" s="246"/>
      <c r="H156" s="246"/>
      <c r="I156" s="246" t="s">
        <v>605</v>
      </c>
      <c r="J156" s="170" t="s">
        <v>740</v>
      </c>
      <c r="K156" s="170"/>
      <c r="L156" s="246"/>
      <c r="M156" s="246"/>
      <c r="N156" s="246"/>
      <c r="O156" s="246"/>
      <c r="P156" s="246"/>
      <c r="Q156" s="246"/>
      <c r="R156" s="246"/>
      <c r="S156" s="246"/>
      <c r="T156" s="246"/>
      <c r="U156" s="246"/>
      <c r="V156" s="246"/>
      <c r="W156" s="246"/>
      <c r="X156" s="246"/>
      <c r="Y156" s="246"/>
      <c r="Z156" s="246"/>
      <c r="AA156" s="246"/>
      <c r="AB156" s="246"/>
      <c r="AC156" s="246"/>
      <c r="AD156" s="246"/>
      <c r="AE156" s="246"/>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CE156" s="94"/>
    </row>
    <row r="157" spans="2:83" x14ac:dyDescent="0.15">
      <c r="B157" s="246"/>
      <c r="C157" s="246"/>
      <c r="D157" s="246"/>
      <c r="E157" s="246"/>
      <c r="F157" s="246"/>
      <c r="G157" s="246"/>
      <c r="H157" s="246"/>
      <c r="I157" s="246"/>
      <c r="J157" s="170"/>
      <c r="K157" s="170"/>
      <c r="L157" s="246"/>
      <c r="M157" s="246"/>
      <c r="N157" s="246"/>
      <c r="O157" s="246"/>
      <c r="P157" s="246"/>
      <c r="Q157" s="246"/>
      <c r="R157" s="246"/>
      <c r="S157" s="246"/>
      <c r="T157" s="246"/>
      <c r="U157" s="246"/>
      <c r="V157" s="246"/>
      <c r="W157" s="246"/>
      <c r="X157" s="246"/>
      <c r="Y157" s="246"/>
      <c r="Z157" s="246"/>
      <c r="AA157" s="246"/>
      <c r="AB157" s="246"/>
      <c r="AC157" s="246"/>
      <c r="AD157" s="246"/>
      <c r="AE157" s="246"/>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CE157" s="94"/>
    </row>
    <row r="158" spans="2:83" x14ac:dyDescent="0.15">
      <c r="B158" s="171"/>
      <c r="C158" s="171" t="s">
        <v>741</v>
      </c>
      <c r="D158" s="246"/>
      <c r="E158" s="246"/>
      <c r="F158" s="246"/>
      <c r="G158" s="246"/>
      <c r="H158" s="246"/>
      <c r="I158" s="171" t="s">
        <v>742</v>
      </c>
      <c r="J158" s="170"/>
      <c r="K158" s="170"/>
      <c r="L158" s="246"/>
      <c r="M158" s="246"/>
      <c r="N158" s="246"/>
      <c r="O158" s="246"/>
      <c r="P158" s="246"/>
      <c r="Q158" s="246"/>
      <c r="R158" s="246"/>
      <c r="S158" s="246"/>
      <c r="T158" s="246"/>
      <c r="U158" s="246"/>
      <c r="V158" s="246"/>
      <c r="W158" s="246"/>
      <c r="X158" s="246"/>
      <c r="Y158" s="246"/>
      <c r="Z158" s="246"/>
      <c r="AA158" s="246"/>
      <c r="AB158" s="246"/>
      <c r="AC158" s="246"/>
      <c r="AD158" s="246"/>
      <c r="AE158" s="246"/>
      <c r="AF158" s="301" t="s">
        <v>939</v>
      </c>
      <c r="AG158" s="302"/>
      <c r="AH158" s="302"/>
      <c r="AI158" s="302"/>
      <c r="AJ158" s="302"/>
      <c r="AK158" s="302"/>
      <c r="AL158" s="302"/>
      <c r="AM158" s="302"/>
      <c r="AN158" s="302"/>
      <c r="AO158" s="302"/>
      <c r="AP158" s="302"/>
      <c r="AQ158" s="302"/>
      <c r="AR158" s="302"/>
      <c r="AS158" s="302"/>
      <c r="AT158" s="302"/>
      <c r="AU158" s="302"/>
      <c r="AV158" s="302"/>
      <c r="AW158" s="302"/>
      <c r="AX158" s="302"/>
      <c r="AY158" s="302"/>
      <c r="AZ158" s="302"/>
      <c r="BA158" s="302"/>
      <c r="BB158" s="302"/>
      <c r="BC158" s="302"/>
      <c r="BD158" s="302"/>
      <c r="BE158" s="302"/>
      <c r="CE158" s="94"/>
    </row>
    <row r="159" spans="2:83" x14ac:dyDescent="0.15">
      <c r="B159" s="246" t="s">
        <v>605</v>
      </c>
      <c r="C159" s="246" t="s">
        <v>605</v>
      </c>
      <c r="D159" s="246"/>
      <c r="E159" s="246"/>
      <c r="F159" s="246"/>
      <c r="G159" s="246"/>
      <c r="H159" s="246"/>
      <c r="I159" s="246" t="s">
        <v>605</v>
      </c>
      <c r="J159" s="170" t="s">
        <v>743</v>
      </c>
      <c r="K159" s="170"/>
      <c r="L159" s="246"/>
      <c r="M159" s="246"/>
      <c r="N159" s="246"/>
      <c r="O159" s="246"/>
      <c r="P159" s="246"/>
      <c r="Q159" s="246"/>
      <c r="R159" s="246"/>
      <c r="S159" s="246"/>
      <c r="T159" s="246"/>
      <c r="U159" s="246"/>
      <c r="V159" s="246"/>
      <c r="W159" s="246"/>
      <c r="X159" s="246"/>
      <c r="Y159" s="246"/>
      <c r="Z159" s="246"/>
      <c r="AA159" s="246"/>
      <c r="AB159" s="246"/>
      <c r="AC159" s="246"/>
      <c r="AD159" s="246"/>
      <c r="AE159" s="246"/>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CE159" s="94"/>
    </row>
    <row r="160" spans="2:83" x14ac:dyDescent="0.15">
      <c r="B160" s="246"/>
      <c r="C160" s="246"/>
      <c r="D160" s="246"/>
      <c r="E160" s="246"/>
      <c r="F160" s="246"/>
      <c r="G160" s="246"/>
      <c r="H160" s="246"/>
      <c r="I160" s="246"/>
      <c r="J160" s="170"/>
      <c r="K160" s="170"/>
      <c r="L160" s="246"/>
      <c r="M160" s="246"/>
      <c r="N160" s="246"/>
      <c r="O160" s="246"/>
      <c r="P160" s="246"/>
      <c r="Q160" s="246"/>
      <c r="R160" s="246"/>
      <c r="S160" s="246"/>
      <c r="T160" s="246"/>
      <c r="U160" s="246"/>
      <c r="V160" s="246"/>
      <c r="W160" s="246"/>
      <c r="X160" s="246"/>
      <c r="Y160" s="246"/>
      <c r="Z160" s="246"/>
      <c r="AA160" s="246"/>
      <c r="AB160" s="246"/>
      <c r="AC160" s="246"/>
      <c r="AD160" s="246"/>
      <c r="AE160" s="246"/>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CE160" s="94"/>
    </row>
    <row r="161" spans="2:83" x14ac:dyDescent="0.15">
      <c r="B161" s="246"/>
      <c r="C161" s="246"/>
      <c r="D161" s="246"/>
      <c r="E161" s="246"/>
      <c r="F161" s="246"/>
      <c r="G161" s="246"/>
      <c r="H161" s="246"/>
      <c r="I161" s="246"/>
      <c r="J161" s="170"/>
      <c r="K161" s="170"/>
      <c r="L161" s="246"/>
      <c r="M161" s="246"/>
      <c r="N161" s="246"/>
      <c r="O161" s="246"/>
      <c r="P161" s="246"/>
      <c r="Q161" s="246"/>
      <c r="R161" s="246"/>
      <c r="S161" s="246"/>
      <c r="T161" s="246"/>
      <c r="U161" s="246"/>
      <c r="V161" s="246"/>
      <c r="W161" s="246"/>
      <c r="X161" s="246"/>
      <c r="Y161" s="246"/>
      <c r="Z161" s="246"/>
      <c r="AA161" s="246"/>
      <c r="AB161" s="246"/>
      <c r="AC161" s="246"/>
      <c r="AD161" s="246"/>
      <c r="AE161" s="246"/>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CE161" s="94"/>
    </row>
    <row r="162" spans="2:83" ht="12.75" x14ac:dyDescent="0.15">
      <c r="B162" s="119" t="s">
        <v>744</v>
      </c>
      <c r="C162" s="119"/>
      <c r="D162" s="246"/>
      <c r="E162" s="246"/>
      <c r="F162" s="246"/>
      <c r="G162" s="246"/>
      <c r="H162" s="246"/>
      <c r="I162" s="119" t="s">
        <v>745</v>
      </c>
      <c r="J162" s="170"/>
      <c r="K162" s="170"/>
      <c r="L162" s="246"/>
      <c r="M162" s="246"/>
      <c r="N162" s="246"/>
      <c r="O162" s="246"/>
      <c r="P162" s="246"/>
      <c r="Q162" s="246"/>
      <c r="R162" s="246"/>
      <c r="S162" s="246"/>
      <c r="T162" s="246"/>
      <c r="U162" s="246"/>
      <c r="V162" s="246"/>
      <c r="W162" s="246"/>
      <c r="X162" s="246"/>
      <c r="Y162" s="246"/>
      <c r="Z162" s="246"/>
      <c r="AA162" s="246"/>
      <c r="AB162" s="246"/>
      <c r="AC162" s="246"/>
      <c r="AD162" s="246"/>
      <c r="AE162" s="246"/>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CE162" s="94"/>
    </row>
    <row r="163" spans="2:83" x14ac:dyDescent="0.15">
      <c r="B163" s="246"/>
      <c r="C163" s="246"/>
      <c r="D163" s="246"/>
      <c r="E163" s="246"/>
      <c r="F163" s="246"/>
      <c r="G163" s="246"/>
      <c r="H163" s="246"/>
      <c r="I163" s="246"/>
      <c r="J163" s="170"/>
      <c r="K163" s="170"/>
      <c r="L163" s="246"/>
      <c r="M163" s="246"/>
      <c r="N163" s="246"/>
      <c r="O163" s="246"/>
      <c r="P163" s="246"/>
      <c r="Q163" s="246"/>
      <c r="R163" s="246"/>
      <c r="S163" s="246"/>
      <c r="T163" s="246"/>
      <c r="U163" s="246"/>
      <c r="V163" s="246"/>
      <c r="W163" s="246"/>
      <c r="X163" s="246"/>
      <c r="Y163" s="246"/>
      <c r="Z163" s="246"/>
      <c r="AA163" s="246"/>
      <c r="AB163" s="246"/>
      <c r="AC163" s="246"/>
      <c r="AD163" s="246"/>
      <c r="AE163" s="246"/>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CE163" s="94"/>
    </row>
    <row r="164" spans="2:83" x14ac:dyDescent="0.15">
      <c r="B164" s="171"/>
      <c r="C164" s="171" t="s">
        <v>746</v>
      </c>
      <c r="D164" s="246"/>
      <c r="E164" s="246"/>
      <c r="F164" s="246"/>
      <c r="G164" s="246"/>
      <c r="H164" s="246"/>
      <c r="I164" s="171" t="s">
        <v>747</v>
      </c>
      <c r="J164" s="170"/>
      <c r="K164" s="170"/>
      <c r="L164" s="246"/>
      <c r="M164" s="246"/>
      <c r="N164" s="246"/>
      <c r="O164" s="246"/>
      <c r="P164" s="246"/>
      <c r="Q164" s="246"/>
      <c r="R164" s="246"/>
      <c r="S164" s="246"/>
      <c r="T164" s="246"/>
      <c r="U164" s="246"/>
      <c r="V164" s="246"/>
      <c r="W164" s="246"/>
      <c r="X164" s="246"/>
      <c r="Y164" s="246"/>
      <c r="Z164" s="246"/>
      <c r="AA164" s="246"/>
      <c r="AB164" s="246"/>
      <c r="AC164" s="246"/>
      <c r="AD164" s="246"/>
      <c r="AE164" s="246"/>
      <c r="CE164" s="94"/>
    </row>
    <row r="165" spans="2:83" x14ac:dyDescent="0.15">
      <c r="B165" s="246" t="s">
        <v>605</v>
      </c>
      <c r="C165" s="246" t="s">
        <v>605</v>
      </c>
      <c r="D165" s="246"/>
      <c r="E165" s="246"/>
      <c r="F165" s="246"/>
      <c r="G165" s="246"/>
      <c r="H165" s="246"/>
      <c r="I165" s="246" t="s">
        <v>605</v>
      </c>
      <c r="J165" s="170" t="s">
        <v>748</v>
      </c>
      <c r="K165" s="170"/>
      <c r="L165" s="246"/>
      <c r="M165" s="246"/>
      <c r="N165" s="246"/>
      <c r="O165" s="246"/>
      <c r="P165" s="246"/>
      <c r="Q165" s="246"/>
      <c r="R165" s="246"/>
      <c r="S165" s="246"/>
      <c r="T165" s="246"/>
      <c r="U165" s="246"/>
      <c r="V165" s="246"/>
      <c r="W165" s="246"/>
      <c r="X165" s="246"/>
      <c r="Y165" s="246"/>
      <c r="Z165" s="246"/>
      <c r="AA165" s="246"/>
      <c r="AB165" s="246"/>
      <c r="AC165" s="246"/>
      <c r="AD165" s="246"/>
      <c r="AE165" s="246"/>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CE165" s="94"/>
    </row>
    <row r="166" spans="2:83" x14ac:dyDescent="0.15">
      <c r="B166" s="246"/>
      <c r="C166" s="246"/>
      <c r="D166" s="246"/>
      <c r="E166" s="246"/>
      <c r="F166" s="246"/>
      <c r="G166" s="246"/>
      <c r="H166" s="246"/>
      <c r="I166" s="246"/>
      <c r="J166" s="170"/>
      <c r="K166" s="170"/>
      <c r="L166" s="246"/>
      <c r="M166" s="246"/>
      <c r="N166" s="246"/>
      <c r="O166" s="246"/>
      <c r="P166" s="246"/>
      <c r="Q166" s="246"/>
      <c r="R166" s="246"/>
      <c r="S166" s="246"/>
      <c r="T166" s="246"/>
      <c r="U166" s="246"/>
      <c r="V166" s="246"/>
      <c r="W166" s="246"/>
      <c r="X166" s="246"/>
      <c r="Y166" s="246"/>
      <c r="Z166" s="246"/>
      <c r="AA166" s="246"/>
      <c r="AB166" s="246"/>
      <c r="AC166" s="246"/>
      <c r="AD166" s="246"/>
      <c r="AE166" s="246"/>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CE166" s="94"/>
    </row>
    <row r="167" spans="2:83" x14ac:dyDescent="0.15">
      <c r="B167" s="171"/>
      <c r="C167" s="171" t="s">
        <v>749</v>
      </c>
      <c r="D167" s="246"/>
      <c r="E167" s="246"/>
      <c r="F167" s="246"/>
      <c r="G167" s="246"/>
      <c r="H167" s="246"/>
      <c r="I167" s="171" t="s">
        <v>750</v>
      </c>
      <c r="J167" s="170"/>
      <c r="K167" s="170"/>
      <c r="L167" s="246"/>
      <c r="M167" s="246"/>
      <c r="N167" s="246"/>
      <c r="O167" s="246"/>
      <c r="P167" s="246"/>
      <c r="Q167" s="246"/>
      <c r="R167" s="246"/>
      <c r="S167" s="246"/>
      <c r="T167" s="246"/>
      <c r="U167" s="246"/>
      <c r="V167" s="246"/>
      <c r="W167" s="246"/>
      <c r="X167" s="246"/>
      <c r="Y167" s="246"/>
      <c r="Z167" s="246"/>
      <c r="AA167" s="246"/>
      <c r="AB167" s="246"/>
      <c r="AC167" s="246"/>
      <c r="AD167" s="246"/>
      <c r="AE167" s="246"/>
      <c r="CE167" s="94"/>
    </row>
    <row r="168" spans="2:83" x14ac:dyDescent="0.15">
      <c r="B168" s="246" t="s">
        <v>605</v>
      </c>
      <c r="C168" s="246" t="s">
        <v>605</v>
      </c>
      <c r="D168" s="246"/>
      <c r="E168" s="246"/>
      <c r="F168" s="246"/>
      <c r="G168" s="246"/>
      <c r="H168" s="246"/>
      <c r="I168" s="246" t="s">
        <v>605</v>
      </c>
      <c r="J168" s="170" t="s">
        <v>751</v>
      </c>
      <c r="K168" s="170"/>
      <c r="L168" s="246"/>
      <c r="M168" s="246"/>
      <c r="N168" s="246"/>
      <c r="O168" s="246"/>
      <c r="P168" s="246"/>
      <c r="Q168" s="246"/>
      <c r="R168" s="246"/>
      <c r="S168" s="246"/>
      <c r="T168" s="246"/>
      <c r="U168" s="246"/>
      <c r="V168" s="246"/>
      <c r="W168" s="246"/>
      <c r="X168" s="246"/>
      <c r="Y168" s="246"/>
      <c r="Z168" s="246"/>
      <c r="AA168" s="246"/>
      <c r="AB168" s="246"/>
      <c r="AC168" s="246"/>
      <c r="AD168" s="246"/>
      <c r="AE168" s="246"/>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CE168" s="94"/>
    </row>
    <row r="169" spans="2:83" x14ac:dyDescent="0.15">
      <c r="B169" s="246"/>
      <c r="C169" s="246"/>
      <c r="D169" s="246"/>
      <c r="E169" s="246"/>
      <c r="F169" s="246"/>
      <c r="G169" s="246"/>
      <c r="H169" s="246"/>
      <c r="I169" s="246"/>
      <c r="J169" s="170"/>
      <c r="K169" s="170"/>
      <c r="L169" s="246"/>
      <c r="M169" s="246"/>
      <c r="N169" s="246"/>
      <c r="O169" s="246"/>
      <c r="P169" s="246"/>
      <c r="Q169" s="246"/>
      <c r="R169" s="246"/>
      <c r="S169" s="246"/>
      <c r="T169" s="246"/>
      <c r="U169" s="246"/>
      <c r="V169" s="246"/>
      <c r="W169" s="246"/>
      <c r="X169" s="246"/>
      <c r="Y169" s="246"/>
      <c r="Z169" s="246"/>
      <c r="AA169" s="246"/>
      <c r="AB169" s="246"/>
      <c r="AC169" s="246"/>
      <c r="AD169" s="246"/>
      <c r="AE169" s="246"/>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CE169" s="94"/>
    </row>
    <row r="170" spans="2:83" x14ac:dyDescent="0.15">
      <c r="B170" s="171"/>
      <c r="C170" s="171" t="s">
        <v>752</v>
      </c>
      <c r="D170" s="246"/>
      <c r="E170" s="246"/>
      <c r="F170" s="246"/>
      <c r="G170" s="246"/>
      <c r="H170" s="246"/>
      <c r="I170" s="171" t="s">
        <v>753</v>
      </c>
      <c r="J170" s="170"/>
      <c r="K170" s="170"/>
      <c r="L170" s="246"/>
      <c r="M170" s="246"/>
      <c r="N170" s="246"/>
      <c r="O170" s="246"/>
      <c r="P170" s="246"/>
      <c r="Q170" s="246"/>
      <c r="R170" s="246"/>
      <c r="S170" s="246"/>
      <c r="T170" s="246"/>
      <c r="U170" s="246"/>
      <c r="V170" s="246"/>
      <c r="W170" s="246"/>
      <c r="X170" s="246"/>
      <c r="Y170" s="246"/>
      <c r="Z170" s="246"/>
      <c r="AA170" s="246"/>
      <c r="AB170" s="246"/>
      <c r="AC170" s="246"/>
      <c r="AD170" s="246"/>
      <c r="AE170" s="246"/>
      <c r="CE170" s="94"/>
    </row>
    <row r="171" spans="2:83" x14ac:dyDescent="0.15">
      <c r="B171" s="246" t="s">
        <v>605</v>
      </c>
      <c r="C171" s="246" t="s">
        <v>605</v>
      </c>
      <c r="D171" s="246"/>
      <c r="E171" s="246"/>
      <c r="F171" s="246"/>
      <c r="G171" s="246"/>
      <c r="H171" s="246"/>
      <c r="I171" s="246" t="s">
        <v>605</v>
      </c>
      <c r="J171" s="170" t="s">
        <v>754</v>
      </c>
      <c r="K171" s="170"/>
      <c r="L171" s="246"/>
      <c r="M171" s="246"/>
      <c r="N171" s="246"/>
      <c r="O171" s="246"/>
      <c r="P171" s="246"/>
      <c r="Q171" s="246"/>
      <c r="R171" s="246"/>
      <c r="S171" s="246"/>
      <c r="T171" s="246"/>
      <c r="U171" s="246"/>
      <c r="V171" s="246"/>
      <c r="W171" s="246"/>
      <c r="X171" s="246"/>
      <c r="Y171" s="246"/>
      <c r="Z171" s="246"/>
      <c r="AA171" s="246"/>
      <c r="AB171" s="246"/>
      <c r="AC171" s="246"/>
      <c r="AD171" s="246"/>
      <c r="AE171" s="246"/>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CE171" s="94"/>
    </row>
    <row r="172" spans="2:83" x14ac:dyDescent="0.15">
      <c r="B172" s="246"/>
      <c r="C172" s="246"/>
      <c r="D172" s="246"/>
      <c r="E172" s="246"/>
      <c r="F172" s="246"/>
      <c r="G172" s="246"/>
      <c r="H172" s="246"/>
      <c r="I172" s="246"/>
      <c r="J172" s="170"/>
      <c r="K172" s="170"/>
      <c r="L172" s="246"/>
      <c r="M172" s="246"/>
      <c r="N172" s="246"/>
      <c r="O172" s="246"/>
      <c r="P172" s="246"/>
      <c r="Q172" s="246"/>
      <c r="R172" s="246"/>
      <c r="S172" s="246"/>
      <c r="T172" s="246"/>
      <c r="U172" s="246"/>
      <c r="V172" s="246"/>
      <c r="W172" s="246"/>
      <c r="X172" s="246"/>
      <c r="Y172" s="246"/>
      <c r="Z172" s="246"/>
      <c r="AA172" s="246"/>
      <c r="AB172" s="246"/>
      <c r="AC172" s="246"/>
      <c r="AD172" s="246"/>
      <c r="AE172" s="246"/>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CE172" s="94"/>
    </row>
    <row r="173" spans="2:83" x14ac:dyDescent="0.15">
      <c r="B173" s="246"/>
      <c r="C173" s="246"/>
      <c r="D173" s="246"/>
      <c r="E173" s="246"/>
      <c r="F173" s="246"/>
      <c r="G173" s="246"/>
      <c r="H173" s="246"/>
      <c r="I173" s="246"/>
      <c r="J173" s="170"/>
      <c r="K173" s="170"/>
      <c r="L173" s="246"/>
      <c r="M173" s="246"/>
      <c r="N173" s="246"/>
      <c r="O173" s="246"/>
      <c r="P173" s="246"/>
      <c r="Q173" s="246"/>
      <c r="R173" s="246"/>
      <c r="S173" s="246"/>
      <c r="T173" s="246"/>
      <c r="U173" s="246"/>
      <c r="V173" s="246"/>
      <c r="W173" s="246"/>
      <c r="X173" s="246"/>
      <c r="Y173" s="246"/>
      <c r="Z173" s="246"/>
      <c r="AA173" s="246"/>
      <c r="AB173" s="246"/>
      <c r="AC173" s="246"/>
      <c r="AD173" s="246"/>
      <c r="AE173" s="246"/>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CE173" s="94"/>
    </row>
    <row r="174" spans="2:83" ht="12.75" x14ac:dyDescent="0.15">
      <c r="B174" s="119" t="s">
        <v>755</v>
      </c>
      <c r="C174" s="119"/>
      <c r="D174" s="246"/>
      <c r="E174" s="246"/>
      <c r="F174" s="246"/>
      <c r="G174" s="246"/>
      <c r="H174" s="246"/>
      <c r="I174" s="119" t="s">
        <v>756</v>
      </c>
      <c r="J174" s="170"/>
      <c r="K174" s="170"/>
      <c r="L174" s="246"/>
      <c r="M174" s="246"/>
      <c r="N174" s="246"/>
      <c r="O174" s="246"/>
      <c r="P174" s="246"/>
      <c r="Q174" s="246"/>
      <c r="R174" s="246"/>
      <c r="S174" s="246"/>
      <c r="T174" s="246"/>
      <c r="U174" s="246"/>
      <c r="V174" s="246"/>
      <c r="W174" s="246"/>
      <c r="X174" s="246"/>
      <c r="Y174" s="246"/>
      <c r="Z174" s="246"/>
      <c r="AA174" s="246"/>
      <c r="AB174" s="246"/>
      <c r="AC174" s="246"/>
      <c r="AD174" s="246"/>
      <c r="AE174" s="246"/>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CE174" s="94"/>
    </row>
    <row r="175" spans="2:83" x14ac:dyDescent="0.15">
      <c r="B175" s="246"/>
      <c r="C175" s="246"/>
      <c r="D175" s="246"/>
      <c r="E175" s="246"/>
      <c r="F175" s="246"/>
      <c r="G175" s="246"/>
      <c r="H175" s="246"/>
      <c r="I175" s="246"/>
      <c r="J175" s="170"/>
      <c r="K175" s="170"/>
      <c r="L175" s="246"/>
      <c r="M175" s="246"/>
      <c r="N175" s="246"/>
      <c r="O175" s="246"/>
      <c r="P175" s="246"/>
      <c r="Q175" s="246"/>
      <c r="R175" s="246"/>
      <c r="S175" s="246"/>
      <c r="T175" s="246"/>
      <c r="U175" s="246"/>
      <c r="V175" s="246"/>
      <c r="W175" s="246"/>
      <c r="X175" s="246"/>
      <c r="Y175" s="246"/>
      <c r="Z175" s="246"/>
      <c r="AA175" s="246"/>
      <c r="AB175" s="246"/>
      <c r="AC175" s="246"/>
      <c r="AD175" s="246"/>
      <c r="AE175" s="246"/>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CE175" s="94"/>
    </row>
    <row r="176" spans="2:83" x14ac:dyDescent="0.15">
      <c r="B176" s="171"/>
      <c r="C176" s="171" t="s">
        <v>757</v>
      </c>
      <c r="D176" s="246"/>
      <c r="E176" s="246"/>
      <c r="F176" s="246"/>
      <c r="G176" s="246"/>
      <c r="H176" s="246"/>
      <c r="I176" s="171" t="s">
        <v>758</v>
      </c>
      <c r="J176" s="170"/>
      <c r="K176" s="170"/>
      <c r="L176" s="246"/>
      <c r="M176" s="246"/>
      <c r="N176" s="246"/>
      <c r="O176" s="246"/>
      <c r="P176" s="246"/>
      <c r="Q176" s="246"/>
      <c r="R176" s="246"/>
      <c r="S176" s="246"/>
      <c r="T176" s="246"/>
      <c r="U176" s="246"/>
      <c r="V176" s="246"/>
      <c r="W176" s="246"/>
      <c r="X176" s="246"/>
      <c r="Y176" s="246"/>
      <c r="Z176" s="246"/>
      <c r="AA176" s="246"/>
      <c r="AB176" s="246"/>
      <c r="AC176" s="246"/>
      <c r="AD176" s="246"/>
      <c r="AE176" s="246"/>
      <c r="AF176" s="301" t="s">
        <v>940</v>
      </c>
      <c r="AG176" s="302"/>
      <c r="AH176" s="302"/>
      <c r="AI176" s="302"/>
      <c r="AJ176" s="302"/>
      <c r="AK176" s="302"/>
      <c r="AL176" s="302"/>
      <c r="AM176" s="302"/>
      <c r="AN176" s="302"/>
      <c r="AO176" s="302"/>
      <c r="AP176" s="302"/>
      <c r="AQ176" s="302"/>
      <c r="AR176" s="302"/>
      <c r="AS176" s="302"/>
      <c r="AT176" s="302"/>
      <c r="AU176" s="302"/>
      <c r="AV176" s="302"/>
      <c r="AW176" s="302"/>
      <c r="AX176" s="302"/>
      <c r="AY176" s="302"/>
      <c r="AZ176" s="302"/>
      <c r="BA176" s="302"/>
      <c r="BB176" s="302"/>
      <c r="BC176" s="302"/>
      <c r="BD176" s="302"/>
      <c r="BE176" s="302"/>
      <c r="CE176" s="94"/>
    </row>
    <row r="177" spans="2:83" x14ac:dyDescent="0.15">
      <c r="B177" s="246" t="s">
        <v>605</v>
      </c>
      <c r="C177" s="246" t="s">
        <v>605</v>
      </c>
      <c r="D177" s="246"/>
      <c r="E177" s="246"/>
      <c r="F177" s="246"/>
      <c r="G177" s="246"/>
      <c r="H177" s="246"/>
      <c r="I177" s="246" t="s">
        <v>605</v>
      </c>
      <c r="J177" s="170" t="s">
        <v>759</v>
      </c>
      <c r="K177" s="170"/>
      <c r="L177" s="246"/>
      <c r="M177" s="246"/>
      <c r="N177" s="246"/>
      <c r="O177" s="246"/>
      <c r="P177" s="246"/>
      <c r="Q177" s="246"/>
      <c r="R177" s="246"/>
      <c r="S177" s="246"/>
      <c r="T177" s="246"/>
      <c r="U177" s="246"/>
      <c r="V177" s="246"/>
      <c r="W177" s="246"/>
      <c r="X177" s="246"/>
      <c r="Y177" s="246"/>
      <c r="Z177" s="246"/>
      <c r="AA177" s="246"/>
      <c r="AB177" s="246"/>
      <c r="AC177" s="246"/>
      <c r="AD177" s="246"/>
      <c r="AE177" s="246"/>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CE177" s="94"/>
    </row>
    <row r="178" spans="2:83" x14ac:dyDescent="0.15">
      <c r="B178" s="246" t="s">
        <v>605</v>
      </c>
      <c r="C178" s="246" t="s">
        <v>605</v>
      </c>
      <c r="D178" s="246"/>
      <c r="E178" s="246"/>
      <c r="F178" s="246"/>
      <c r="G178" s="246"/>
      <c r="H178" s="246"/>
      <c r="I178" s="246" t="s">
        <v>605</v>
      </c>
      <c r="J178" s="170"/>
      <c r="K178" s="170" t="s">
        <v>760</v>
      </c>
      <c r="L178" s="246"/>
      <c r="M178" s="246"/>
      <c r="N178" s="246"/>
      <c r="O178" s="246"/>
      <c r="P178" s="246"/>
      <c r="Q178" s="246"/>
      <c r="R178" s="246"/>
      <c r="S178" s="246"/>
      <c r="T178" s="246"/>
      <c r="U178" s="246"/>
      <c r="V178" s="246"/>
      <c r="W178" s="246"/>
      <c r="X178" s="246"/>
      <c r="Y178" s="246"/>
      <c r="Z178" s="246"/>
      <c r="AA178" s="246"/>
      <c r="AB178" s="246"/>
      <c r="AC178" s="246"/>
      <c r="AD178" s="246"/>
      <c r="AE178" s="246"/>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CE178" s="94"/>
    </row>
    <row r="179" spans="2:83" x14ac:dyDescent="0.15">
      <c r="B179" s="246" t="s">
        <v>605</v>
      </c>
      <c r="C179" s="246" t="s">
        <v>605</v>
      </c>
      <c r="D179" s="246"/>
      <c r="E179" s="246"/>
      <c r="F179" s="246"/>
      <c r="G179" s="246"/>
      <c r="H179" s="246"/>
      <c r="I179" s="246" t="s">
        <v>605</v>
      </c>
      <c r="J179" s="170"/>
      <c r="K179" s="170" t="s">
        <v>761</v>
      </c>
      <c r="L179" s="246"/>
      <c r="M179" s="246"/>
      <c r="N179" s="246"/>
      <c r="O179" s="246"/>
      <c r="P179" s="246"/>
      <c r="Q179" s="246"/>
      <c r="R179" s="246"/>
      <c r="S179" s="246"/>
      <c r="T179" s="246"/>
      <c r="U179" s="246"/>
      <c r="V179" s="246"/>
      <c r="W179" s="246"/>
      <c r="X179" s="246"/>
      <c r="Y179" s="246"/>
      <c r="Z179" s="246"/>
      <c r="AA179" s="246"/>
      <c r="AB179" s="246"/>
      <c r="AC179" s="246"/>
      <c r="AD179" s="246"/>
      <c r="AE179" s="246"/>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CE179" s="94"/>
    </row>
    <row r="180" spans="2:83" x14ac:dyDescent="0.15">
      <c r="B180" s="246"/>
      <c r="C180" s="246"/>
      <c r="D180" s="246"/>
      <c r="E180" s="246"/>
      <c r="F180" s="246"/>
      <c r="G180" s="246"/>
      <c r="H180" s="246"/>
      <c r="I180" s="246"/>
      <c r="J180" s="170"/>
      <c r="K180" s="170"/>
      <c r="L180" s="246"/>
      <c r="M180" s="246"/>
      <c r="N180" s="246"/>
      <c r="O180" s="246"/>
      <c r="P180" s="246"/>
      <c r="Q180" s="246"/>
      <c r="R180" s="246"/>
      <c r="S180" s="246"/>
      <c r="T180" s="246"/>
      <c r="U180" s="246"/>
      <c r="V180" s="246"/>
      <c r="W180" s="246"/>
      <c r="X180" s="246"/>
      <c r="Y180" s="246"/>
      <c r="Z180" s="246"/>
      <c r="AA180" s="246"/>
      <c r="AB180" s="246"/>
      <c r="AC180" s="246"/>
      <c r="AD180" s="246"/>
      <c r="AE180" s="246"/>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CE180" s="94"/>
    </row>
    <row r="181" spans="2:83" x14ac:dyDescent="0.15">
      <c r="B181" s="171"/>
      <c r="C181" s="171" t="s">
        <v>762</v>
      </c>
      <c r="D181" s="246"/>
      <c r="E181" s="246"/>
      <c r="F181" s="246"/>
      <c r="G181" s="246"/>
      <c r="H181" s="246"/>
      <c r="I181" s="171" t="s">
        <v>763</v>
      </c>
      <c r="J181" s="170"/>
      <c r="K181" s="170"/>
      <c r="L181" s="246"/>
      <c r="M181" s="246"/>
      <c r="N181" s="246"/>
      <c r="O181" s="246"/>
      <c r="P181" s="246"/>
      <c r="Q181" s="246"/>
      <c r="R181" s="246"/>
      <c r="S181" s="246"/>
      <c r="T181" s="246"/>
      <c r="U181" s="246"/>
      <c r="V181" s="246"/>
      <c r="W181" s="246"/>
      <c r="X181" s="246"/>
      <c r="Y181" s="246"/>
      <c r="Z181" s="246"/>
      <c r="AA181" s="246"/>
      <c r="AB181" s="246"/>
      <c r="AC181" s="246"/>
      <c r="AD181" s="246"/>
      <c r="AE181" s="246"/>
      <c r="AF181" s="301" t="s">
        <v>941</v>
      </c>
      <c r="AG181" s="302"/>
      <c r="AH181" s="302"/>
      <c r="AI181" s="302"/>
      <c r="AJ181" s="302"/>
      <c r="AK181" s="302"/>
      <c r="AL181" s="302"/>
      <c r="AM181" s="302"/>
      <c r="AN181" s="302"/>
      <c r="AO181" s="302"/>
      <c r="AP181" s="302"/>
      <c r="AQ181" s="302"/>
      <c r="AR181" s="302"/>
      <c r="AS181" s="302"/>
      <c r="AT181" s="302"/>
      <c r="AU181" s="302"/>
      <c r="AV181" s="302"/>
      <c r="AW181" s="302"/>
      <c r="AX181" s="302"/>
      <c r="AY181" s="302"/>
      <c r="AZ181" s="302"/>
      <c r="BA181" s="302"/>
      <c r="BB181" s="302"/>
      <c r="BC181" s="302"/>
      <c r="BD181" s="302"/>
      <c r="BE181" s="302"/>
      <c r="CE181" s="94"/>
    </row>
    <row r="182" spans="2:83" x14ac:dyDescent="0.15">
      <c r="B182" s="246" t="s">
        <v>605</v>
      </c>
      <c r="C182" s="246" t="s">
        <v>605</v>
      </c>
      <c r="D182" s="246"/>
      <c r="E182" s="246"/>
      <c r="F182" s="246"/>
      <c r="G182" s="246"/>
      <c r="H182" s="246"/>
      <c r="I182" s="246" t="s">
        <v>605</v>
      </c>
      <c r="J182" s="170" t="s">
        <v>764</v>
      </c>
      <c r="K182" s="170"/>
      <c r="L182" s="246"/>
      <c r="M182" s="246"/>
      <c r="N182" s="246"/>
      <c r="O182" s="246"/>
      <c r="P182" s="246"/>
      <c r="Q182" s="246"/>
      <c r="R182" s="246"/>
      <c r="S182" s="246"/>
      <c r="T182" s="246"/>
      <c r="U182" s="246"/>
      <c r="V182" s="246"/>
      <c r="W182" s="246"/>
      <c r="X182" s="246"/>
      <c r="Y182" s="246"/>
      <c r="Z182" s="246"/>
      <c r="AA182" s="246"/>
      <c r="AB182" s="246"/>
      <c r="AC182" s="246"/>
      <c r="AD182" s="246"/>
      <c r="AE182" s="246"/>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CE182" s="94"/>
    </row>
    <row r="183" spans="2:83" x14ac:dyDescent="0.15">
      <c r="B183" s="246" t="s">
        <v>605</v>
      </c>
      <c r="C183" s="246" t="s">
        <v>605</v>
      </c>
      <c r="D183" s="246"/>
      <c r="E183" s="246"/>
      <c r="F183" s="246"/>
      <c r="G183" s="246"/>
      <c r="H183" s="246"/>
      <c r="I183" s="246" t="s">
        <v>605</v>
      </c>
      <c r="J183" s="170" t="s">
        <v>900</v>
      </c>
      <c r="K183" s="170"/>
      <c r="L183" s="246"/>
      <c r="M183" s="246"/>
      <c r="N183" s="246"/>
      <c r="O183" s="246"/>
      <c r="P183" s="246"/>
      <c r="Q183" s="246"/>
      <c r="R183" s="246"/>
      <c r="S183" s="246"/>
      <c r="T183" s="246"/>
      <c r="U183" s="246"/>
      <c r="V183" s="246"/>
      <c r="W183" s="246"/>
      <c r="X183" s="246"/>
      <c r="Y183" s="246"/>
      <c r="Z183" s="246"/>
      <c r="AA183" s="246"/>
      <c r="AB183" s="246"/>
      <c r="AC183" s="246"/>
      <c r="AD183" s="246"/>
      <c r="AE183" s="246"/>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CE183" s="94"/>
    </row>
    <row r="184" spans="2:83" x14ac:dyDescent="0.15">
      <c r="B184" s="246"/>
      <c r="C184" s="246"/>
      <c r="D184" s="246"/>
      <c r="E184" s="246"/>
      <c r="F184" s="246"/>
      <c r="G184" s="246"/>
      <c r="H184" s="246"/>
      <c r="I184" s="246"/>
      <c r="J184" s="170"/>
      <c r="K184" s="170"/>
      <c r="L184" s="246"/>
      <c r="M184" s="246"/>
      <c r="N184" s="246"/>
      <c r="O184" s="246"/>
      <c r="P184" s="246"/>
      <c r="Q184" s="246"/>
      <c r="R184" s="246"/>
      <c r="S184" s="246"/>
      <c r="T184" s="246"/>
      <c r="U184" s="246"/>
      <c r="V184" s="246"/>
      <c r="W184" s="246"/>
      <c r="X184" s="246"/>
      <c r="Y184" s="246"/>
      <c r="Z184" s="246"/>
      <c r="AA184" s="246"/>
      <c r="AB184" s="246"/>
      <c r="AC184" s="246"/>
      <c r="AD184" s="246"/>
      <c r="AE184" s="246"/>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CE184" s="94"/>
    </row>
    <row r="185" spans="2:83" x14ac:dyDescent="0.15">
      <c r="B185" s="171"/>
      <c r="C185" s="171" t="s">
        <v>765</v>
      </c>
      <c r="D185" s="246"/>
      <c r="E185" s="246"/>
      <c r="F185" s="246"/>
      <c r="G185" s="246"/>
      <c r="H185" s="246"/>
      <c r="I185" s="171" t="s">
        <v>766</v>
      </c>
      <c r="J185" s="170"/>
      <c r="K185" s="170"/>
      <c r="L185" s="246"/>
      <c r="M185" s="246"/>
      <c r="N185" s="246"/>
      <c r="O185" s="246"/>
      <c r="P185" s="246"/>
      <c r="Q185" s="246"/>
      <c r="R185" s="246"/>
      <c r="S185" s="246"/>
      <c r="T185" s="246"/>
      <c r="U185" s="246"/>
      <c r="V185" s="246"/>
      <c r="W185" s="246"/>
      <c r="X185" s="246"/>
      <c r="Y185" s="246"/>
      <c r="Z185" s="246"/>
      <c r="AA185" s="246"/>
      <c r="AB185" s="246"/>
      <c r="AC185" s="246"/>
      <c r="AD185" s="246"/>
      <c r="AE185" s="246"/>
      <c r="AF185" s="301" t="s">
        <v>941</v>
      </c>
      <c r="AG185" s="302"/>
      <c r="AH185" s="302"/>
      <c r="AI185" s="302"/>
      <c r="AJ185" s="302"/>
      <c r="AK185" s="302"/>
      <c r="AL185" s="302"/>
      <c r="AM185" s="302"/>
      <c r="AN185" s="302"/>
      <c r="AO185" s="302"/>
      <c r="AP185" s="302"/>
      <c r="AQ185" s="302"/>
      <c r="AR185" s="302"/>
      <c r="AS185" s="302"/>
      <c r="AT185" s="302"/>
      <c r="AU185" s="302"/>
      <c r="AV185" s="302"/>
      <c r="AW185" s="302"/>
      <c r="AX185" s="302"/>
      <c r="AY185" s="302"/>
      <c r="AZ185" s="302"/>
      <c r="BA185" s="302"/>
      <c r="BB185" s="302"/>
      <c r="BC185" s="302"/>
      <c r="BD185" s="302"/>
      <c r="BE185" s="302"/>
      <c r="CE185" s="94"/>
    </row>
    <row r="186" spans="2:83" x14ac:dyDescent="0.15">
      <c r="B186" s="246" t="s">
        <v>605</v>
      </c>
      <c r="C186" s="246" t="s">
        <v>605</v>
      </c>
      <c r="D186" s="246"/>
      <c r="E186" s="246"/>
      <c r="F186" s="246"/>
      <c r="G186" s="246"/>
      <c r="H186" s="246"/>
      <c r="I186" s="246" t="s">
        <v>605</v>
      </c>
      <c r="J186" s="170" t="s">
        <v>767</v>
      </c>
      <c r="K186" s="170"/>
      <c r="L186" s="246"/>
      <c r="M186" s="246"/>
      <c r="N186" s="246"/>
      <c r="O186" s="246"/>
      <c r="P186" s="246"/>
      <c r="Q186" s="246"/>
      <c r="R186" s="246"/>
      <c r="S186" s="246"/>
      <c r="T186" s="246"/>
      <c r="U186" s="246"/>
      <c r="V186" s="246"/>
      <c r="W186" s="246"/>
      <c r="X186" s="246"/>
      <c r="Y186" s="246"/>
      <c r="Z186" s="246"/>
      <c r="AA186" s="246"/>
      <c r="AB186" s="246"/>
      <c r="AC186" s="246"/>
      <c r="AD186" s="246"/>
      <c r="AE186" s="246"/>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CE186" s="94"/>
    </row>
    <row r="187" spans="2:83" x14ac:dyDescent="0.15">
      <c r="B187" s="246"/>
      <c r="C187" s="246"/>
      <c r="D187" s="246"/>
      <c r="E187" s="246"/>
      <c r="F187" s="246"/>
      <c r="G187" s="246"/>
      <c r="H187" s="246"/>
      <c r="I187" s="246"/>
      <c r="J187" s="170"/>
      <c r="K187" s="170"/>
      <c r="L187" s="246"/>
      <c r="M187" s="246"/>
      <c r="N187" s="246"/>
      <c r="O187" s="246"/>
      <c r="P187" s="246"/>
      <c r="Q187" s="246"/>
      <c r="R187" s="246"/>
      <c r="S187" s="246"/>
      <c r="T187" s="246"/>
      <c r="U187" s="246"/>
      <c r="V187" s="246"/>
      <c r="W187" s="246"/>
      <c r="X187" s="246"/>
      <c r="Y187" s="246"/>
      <c r="Z187" s="246"/>
      <c r="AA187" s="246"/>
      <c r="AB187" s="246"/>
      <c r="AC187" s="246"/>
      <c r="AD187" s="246"/>
      <c r="AE187" s="246"/>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CE187" s="94"/>
    </row>
    <row r="188" spans="2:83" x14ac:dyDescent="0.15">
      <c r="B188" s="246"/>
      <c r="C188" s="246"/>
      <c r="D188" s="246"/>
      <c r="E188" s="246"/>
      <c r="F188" s="246"/>
      <c r="G188" s="246"/>
      <c r="H188" s="246"/>
      <c r="I188" s="246"/>
      <c r="J188" s="170"/>
      <c r="K188" s="170"/>
      <c r="L188" s="246"/>
      <c r="M188" s="246"/>
      <c r="N188" s="246"/>
      <c r="O188" s="246"/>
      <c r="P188" s="246"/>
      <c r="Q188" s="246"/>
      <c r="R188" s="246"/>
      <c r="S188" s="246"/>
      <c r="T188" s="246"/>
      <c r="U188" s="246"/>
      <c r="V188" s="246"/>
      <c r="W188" s="246"/>
      <c r="X188" s="246"/>
      <c r="Y188" s="246"/>
      <c r="Z188" s="246"/>
      <c r="AA188" s="246"/>
      <c r="AB188" s="246"/>
      <c r="AC188" s="246"/>
      <c r="AD188" s="246"/>
      <c r="AE188" s="246"/>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CE188" s="94"/>
    </row>
    <row r="189" spans="2:83" ht="12.75" x14ac:dyDescent="0.15">
      <c r="B189" s="119" t="s">
        <v>768</v>
      </c>
      <c r="C189" s="119"/>
      <c r="D189" s="246"/>
      <c r="E189" s="246"/>
      <c r="F189" s="246"/>
      <c r="G189" s="246"/>
      <c r="H189" s="246"/>
      <c r="I189" s="119" t="s">
        <v>769</v>
      </c>
      <c r="J189" s="170"/>
      <c r="K189" s="170"/>
      <c r="L189" s="246"/>
      <c r="M189" s="246"/>
      <c r="N189" s="246"/>
      <c r="O189" s="246"/>
      <c r="P189" s="246"/>
      <c r="Q189" s="246"/>
      <c r="R189" s="246"/>
      <c r="S189" s="246"/>
      <c r="T189" s="246"/>
      <c r="U189" s="246"/>
      <c r="V189" s="246"/>
      <c r="W189" s="246"/>
      <c r="X189" s="246"/>
      <c r="Y189" s="246"/>
      <c r="Z189" s="246"/>
      <c r="AA189" s="246"/>
      <c r="AB189" s="246"/>
      <c r="AC189" s="246"/>
      <c r="AD189" s="246"/>
      <c r="AE189" s="246"/>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CE189" s="94"/>
    </row>
    <row r="190" spans="2:83" x14ac:dyDescent="0.15">
      <c r="B190" s="246"/>
      <c r="C190" s="246"/>
      <c r="D190" s="246"/>
      <c r="E190" s="246"/>
      <c r="F190" s="246"/>
      <c r="G190" s="246"/>
      <c r="H190" s="246"/>
      <c r="I190" s="246"/>
      <c r="J190" s="170"/>
      <c r="K190" s="170"/>
      <c r="L190" s="246"/>
      <c r="M190" s="246"/>
      <c r="N190" s="246"/>
      <c r="O190" s="246"/>
      <c r="P190" s="246"/>
      <c r="Q190" s="246"/>
      <c r="R190" s="246"/>
      <c r="S190" s="246"/>
      <c r="T190" s="246"/>
      <c r="U190" s="246"/>
      <c r="V190" s="246"/>
      <c r="W190" s="246"/>
      <c r="X190" s="246"/>
      <c r="Y190" s="246"/>
      <c r="Z190" s="246"/>
      <c r="AA190" s="246"/>
      <c r="AB190" s="246"/>
      <c r="AC190" s="246"/>
      <c r="AD190" s="246"/>
      <c r="AE190" s="246"/>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CE190" s="94"/>
    </row>
    <row r="191" spans="2:83" x14ac:dyDescent="0.15">
      <c r="B191" s="171"/>
      <c r="C191" s="171" t="s">
        <v>770</v>
      </c>
      <c r="D191" s="246"/>
      <c r="E191" s="246"/>
      <c r="F191" s="246"/>
      <c r="G191" s="246"/>
      <c r="H191" s="246"/>
      <c r="I191" s="171" t="s">
        <v>771</v>
      </c>
      <c r="J191" s="170"/>
      <c r="K191" s="170"/>
      <c r="L191" s="246"/>
      <c r="M191" s="246"/>
      <c r="N191" s="246"/>
      <c r="O191" s="246"/>
      <c r="P191" s="246"/>
      <c r="Q191" s="246"/>
      <c r="R191" s="246"/>
      <c r="S191" s="246"/>
      <c r="T191" s="246"/>
      <c r="U191" s="246"/>
      <c r="V191" s="246"/>
      <c r="W191" s="246"/>
      <c r="X191" s="246"/>
      <c r="Y191" s="246"/>
      <c r="Z191" s="246"/>
      <c r="AA191" s="246"/>
      <c r="AB191" s="246"/>
      <c r="AC191" s="246"/>
      <c r="AD191" s="246"/>
      <c r="AE191" s="246"/>
      <c r="AF191" s="301" t="s">
        <v>943</v>
      </c>
      <c r="AG191" s="302"/>
      <c r="AH191" s="302"/>
      <c r="AI191" s="302"/>
      <c r="AJ191" s="302"/>
      <c r="AK191" s="302"/>
      <c r="AL191" s="302"/>
      <c r="AM191" s="302"/>
      <c r="AN191" s="302"/>
      <c r="AO191" s="302"/>
      <c r="AP191" s="302"/>
      <c r="AQ191" s="302"/>
      <c r="AR191" s="302"/>
      <c r="AS191" s="302"/>
      <c r="AT191" s="302"/>
      <c r="AU191" s="302"/>
      <c r="AV191" s="302"/>
      <c r="AW191" s="302"/>
      <c r="AX191" s="302"/>
      <c r="AY191" s="302"/>
      <c r="AZ191" s="302"/>
      <c r="BA191" s="302"/>
      <c r="BB191" s="302"/>
      <c r="BC191" s="302"/>
      <c r="BD191" s="302"/>
      <c r="BE191" s="302"/>
      <c r="CE191" s="94"/>
    </row>
    <row r="192" spans="2:83" x14ac:dyDescent="0.15">
      <c r="B192" s="246" t="s">
        <v>605</v>
      </c>
      <c r="C192" s="246" t="s">
        <v>605</v>
      </c>
      <c r="D192" s="246"/>
      <c r="E192" s="246"/>
      <c r="F192" s="246"/>
      <c r="G192" s="246"/>
      <c r="H192" s="246"/>
      <c r="I192" s="246" t="s">
        <v>605</v>
      </c>
      <c r="J192" s="170" t="s">
        <v>902</v>
      </c>
      <c r="K192" s="170"/>
      <c r="L192" s="246"/>
      <c r="M192" s="246"/>
      <c r="N192" s="246"/>
      <c r="O192" s="246"/>
      <c r="P192" s="246"/>
      <c r="Q192" s="246"/>
      <c r="R192" s="246"/>
      <c r="S192" s="246"/>
      <c r="T192" s="246"/>
      <c r="U192" s="246"/>
      <c r="V192" s="246"/>
      <c r="W192" s="246"/>
      <c r="X192" s="246"/>
      <c r="Y192" s="246"/>
      <c r="Z192" s="246"/>
      <c r="AA192" s="246"/>
      <c r="AB192" s="246"/>
      <c r="AC192" s="246"/>
      <c r="AD192" s="246"/>
      <c r="AE192" s="246"/>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CE192" s="94"/>
    </row>
    <row r="193" spans="2:83" x14ac:dyDescent="0.15">
      <c r="B193" s="246"/>
      <c r="C193" s="246"/>
      <c r="D193" s="246"/>
      <c r="E193" s="246"/>
      <c r="F193" s="246"/>
      <c r="G193" s="246"/>
      <c r="H193" s="246"/>
      <c r="I193" s="246"/>
      <c r="J193" s="170" t="s">
        <v>901</v>
      </c>
      <c r="K193" s="170"/>
      <c r="L193" s="246"/>
      <c r="M193" s="246"/>
      <c r="N193" s="246"/>
      <c r="O193" s="246"/>
      <c r="P193" s="246"/>
      <c r="Q193" s="246"/>
      <c r="R193" s="246"/>
      <c r="S193" s="246"/>
      <c r="T193" s="246"/>
      <c r="U193" s="246"/>
      <c r="V193" s="246"/>
      <c r="W193" s="246"/>
      <c r="X193" s="246"/>
      <c r="Y193" s="246"/>
      <c r="Z193" s="246"/>
      <c r="AA193" s="246"/>
      <c r="AB193" s="246"/>
      <c r="AC193" s="246"/>
      <c r="AD193" s="246"/>
      <c r="AE193" s="246"/>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CE193" s="94"/>
    </row>
    <row r="194" spans="2:83" s="15" customFormat="1" x14ac:dyDescent="0.15">
      <c r="B194" s="246"/>
      <c r="C194" s="246"/>
      <c r="D194" s="246"/>
      <c r="E194" s="246"/>
      <c r="F194" s="246"/>
      <c r="G194" s="246"/>
      <c r="H194" s="246"/>
      <c r="I194" s="246"/>
      <c r="J194" s="170"/>
      <c r="K194" s="170"/>
      <c r="L194" s="246"/>
      <c r="M194" s="246"/>
      <c r="N194" s="246"/>
      <c r="O194" s="246"/>
      <c r="P194" s="246"/>
      <c r="Q194" s="246"/>
      <c r="R194" s="246"/>
      <c r="S194" s="246"/>
      <c r="T194" s="246"/>
      <c r="U194" s="246"/>
      <c r="V194" s="246"/>
      <c r="W194" s="246"/>
      <c r="X194" s="246"/>
      <c r="Y194" s="246"/>
      <c r="Z194" s="246"/>
      <c r="AA194" s="246"/>
      <c r="AB194" s="246"/>
      <c r="AC194" s="246"/>
      <c r="AD194" s="246"/>
      <c r="AE194" s="246"/>
      <c r="CE194" s="94"/>
    </row>
    <row r="195" spans="2:83" x14ac:dyDescent="0.15">
      <c r="B195" s="171"/>
      <c r="C195" s="171" t="s">
        <v>772</v>
      </c>
      <c r="D195" s="246"/>
      <c r="E195" s="246"/>
      <c r="F195" s="246"/>
      <c r="G195" s="246"/>
      <c r="H195" s="246"/>
      <c r="I195" s="171" t="s">
        <v>773</v>
      </c>
      <c r="J195" s="170"/>
      <c r="K195" s="170"/>
      <c r="L195" s="246"/>
      <c r="M195" s="246"/>
      <c r="N195" s="246"/>
      <c r="O195" s="246"/>
      <c r="P195" s="246"/>
      <c r="Q195" s="246"/>
      <c r="R195" s="246"/>
      <c r="S195" s="246"/>
      <c r="T195" s="246"/>
      <c r="U195" s="246"/>
      <c r="V195" s="246"/>
      <c r="W195" s="246"/>
      <c r="X195" s="246"/>
      <c r="Y195" s="246"/>
      <c r="Z195" s="246"/>
      <c r="AA195" s="246"/>
      <c r="AB195" s="246"/>
      <c r="AC195" s="246"/>
      <c r="AD195" s="246"/>
      <c r="AE195" s="246"/>
      <c r="CE195" s="94"/>
    </row>
    <row r="196" spans="2:83" x14ac:dyDescent="0.15">
      <c r="B196" s="246" t="s">
        <v>605</v>
      </c>
      <c r="C196" s="246" t="s">
        <v>605</v>
      </c>
      <c r="D196" s="246"/>
      <c r="E196" s="246"/>
      <c r="F196" s="246"/>
      <c r="G196" s="246"/>
      <c r="H196" s="246"/>
      <c r="I196" s="246" t="s">
        <v>605</v>
      </c>
      <c r="J196" s="170" t="s">
        <v>774</v>
      </c>
      <c r="K196" s="170"/>
      <c r="L196" s="246"/>
      <c r="M196" s="246"/>
      <c r="N196" s="246"/>
      <c r="O196" s="246"/>
      <c r="P196" s="246"/>
      <c r="Q196" s="246"/>
      <c r="R196" s="246"/>
      <c r="S196" s="246"/>
      <c r="T196" s="246"/>
      <c r="U196" s="246"/>
      <c r="V196" s="246"/>
      <c r="W196" s="246"/>
      <c r="X196" s="246"/>
      <c r="Y196" s="246"/>
      <c r="Z196" s="246"/>
      <c r="AA196" s="246"/>
      <c r="AB196" s="246"/>
      <c r="AC196" s="246"/>
      <c r="AD196" s="246"/>
      <c r="AE196" s="246"/>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CE196" s="94"/>
    </row>
    <row r="197" spans="2:83" x14ac:dyDescent="0.15">
      <c r="B197" s="246"/>
      <c r="C197" s="246"/>
      <c r="D197" s="246"/>
      <c r="E197" s="246"/>
      <c r="F197" s="246"/>
      <c r="G197" s="246"/>
      <c r="H197" s="246"/>
      <c r="I197" s="246"/>
      <c r="J197" s="170"/>
      <c r="K197" s="170"/>
      <c r="L197" s="246"/>
      <c r="M197" s="246"/>
      <c r="N197" s="246"/>
      <c r="O197" s="246"/>
      <c r="P197" s="246"/>
      <c r="Q197" s="246"/>
      <c r="R197" s="246"/>
      <c r="S197" s="246"/>
      <c r="T197" s="246"/>
      <c r="U197" s="246"/>
      <c r="V197" s="246"/>
      <c r="W197" s="246"/>
      <c r="X197" s="246"/>
      <c r="Y197" s="246"/>
      <c r="Z197" s="246"/>
      <c r="AA197" s="246"/>
      <c r="AB197" s="246"/>
      <c r="AC197" s="246"/>
      <c r="AD197" s="246"/>
      <c r="AE197" s="246"/>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CE197" s="94"/>
    </row>
    <row r="198" spans="2:83" x14ac:dyDescent="0.15">
      <c r="B198" s="171"/>
      <c r="C198" s="171" t="s">
        <v>775</v>
      </c>
      <c r="D198" s="246"/>
      <c r="E198" s="246"/>
      <c r="F198" s="246"/>
      <c r="G198" s="246"/>
      <c r="H198" s="246"/>
      <c r="I198" s="171" t="s">
        <v>776</v>
      </c>
      <c r="J198" s="170"/>
      <c r="K198" s="170"/>
      <c r="L198" s="246"/>
      <c r="M198" s="246"/>
      <c r="N198" s="246"/>
      <c r="O198" s="246"/>
      <c r="P198" s="246"/>
      <c r="Q198" s="246"/>
      <c r="R198" s="246"/>
      <c r="S198" s="246"/>
      <c r="T198" s="246"/>
      <c r="U198" s="246"/>
      <c r="V198" s="246"/>
      <c r="W198" s="246"/>
      <c r="X198" s="246"/>
      <c r="Y198" s="246"/>
      <c r="Z198" s="246"/>
      <c r="AA198" s="246"/>
      <c r="AB198" s="246"/>
      <c r="AC198" s="246"/>
      <c r="AD198" s="246"/>
      <c r="AE198" s="246"/>
      <c r="AF198" s="301" t="s">
        <v>942</v>
      </c>
      <c r="AG198" s="302"/>
      <c r="AH198" s="302"/>
      <c r="AI198" s="302"/>
      <c r="AJ198" s="302"/>
      <c r="AK198" s="302"/>
      <c r="AL198" s="302"/>
      <c r="AM198" s="302"/>
      <c r="AN198" s="302"/>
      <c r="AO198" s="302"/>
      <c r="AP198" s="302"/>
      <c r="AQ198" s="302"/>
      <c r="AR198" s="302"/>
      <c r="AS198" s="302"/>
      <c r="AT198" s="302"/>
      <c r="AU198" s="302"/>
      <c r="AV198" s="302"/>
      <c r="AW198" s="302"/>
      <c r="AX198" s="302"/>
      <c r="AY198" s="302"/>
      <c r="AZ198" s="302"/>
      <c r="BA198" s="302"/>
      <c r="BB198" s="302"/>
      <c r="BC198" s="302"/>
      <c r="BD198" s="302"/>
      <c r="BE198" s="302"/>
      <c r="CE198" s="94"/>
    </row>
    <row r="199" spans="2:83" x14ac:dyDescent="0.15">
      <c r="B199" s="246" t="s">
        <v>605</v>
      </c>
      <c r="C199" s="246" t="s">
        <v>605</v>
      </c>
      <c r="D199" s="246"/>
      <c r="E199" s="246"/>
      <c r="F199" s="246"/>
      <c r="G199" s="246"/>
      <c r="H199" s="246"/>
      <c r="I199" s="246" t="s">
        <v>605</v>
      </c>
      <c r="J199" s="170" t="s">
        <v>777</v>
      </c>
      <c r="K199" s="170"/>
      <c r="L199" s="246"/>
      <c r="M199" s="246"/>
      <c r="N199" s="246"/>
      <c r="O199" s="246"/>
      <c r="P199" s="246"/>
      <c r="Q199" s="246"/>
      <c r="R199" s="246"/>
      <c r="S199" s="246"/>
      <c r="T199" s="246"/>
      <c r="U199" s="246"/>
      <c r="V199" s="246"/>
      <c r="W199" s="246"/>
      <c r="X199" s="246"/>
      <c r="Y199" s="246"/>
      <c r="Z199" s="246"/>
      <c r="AA199" s="246"/>
      <c r="AB199" s="246"/>
      <c r="AC199" s="246"/>
      <c r="AD199" s="246"/>
      <c r="AE199" s="246"/>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CE199" s="94"/>
    </row>
    <row r="200" spans="2:83" x14ac:dyDescent="0.15">
      <c r="B200" s="246"/>
      <c r="C200" s="246"/>
      <c r="D200" s="246"/>
      <c r="E200" s="246"/>
      <c r="F200" s="246"/>
      <c r="G200" s="246"/>
      <c r="H200" s="246"/>
      <c r="I200" s="246"/>
      <c r="J200" s="170"/>
      <c r="K200" s="170"/>
      <c r="L200" s="246"/>
      <c r="M200" s="246"/>
      <c r="N200" s="246"/>
      <c r="O200" s="246"/>
      <c r="P200" s="246"/>
      <c r="Q200" s="246"/>
      <c r="R200" s="246"/>
      <c r="S200" s="246"/>
      <c r="T200" s="246"/>
      <c r="U200" s="246"/>
      <c r="V200" s="246"/>
      <c r="W200" s="246"/>
      <c r="X200" s="246"/>
      <c r="Y200" s="246"/>
      <c r="Z200" s="246"/>
      <c r="AA200" s="246"/>
      <c r="AB200" s="246"/>
      <c r="AC200" s="246"/>
      <c r="AD200" s="246"/>
      <c r="AE200" s="246"/>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CE200" s="94"/>
    </row>
    <row r="201" spans="2:83" x14ac:dyDescent="0.15">
      <c r="B201" s="246"/>
      <c r="C201" s="246"/>
      <c r="D201" s="246"/>
      <c r="E201" s="246"/>
      <c r="F201" s="246"/>
      <c r="G201" s="246"/>
      <c r="H201" s="246"/>
      <c r="I201" s="246"/>
      <c r="J201" s="170"/>
      <c r="K201" s="170"/>
      <c r="L201" s="246"/>
      <c r="M201" s="246"/>
      <c r="N201" s="246"/>
      <c r="O201" s="246"/>
      <c r="P201" s="246"/>
      <c r="Q201" s="246"/>
      <c r="R201" s="246"/>
      <c r="S201" s="246"/>
      <c r="T201" s="246"/>
      <c r="U201" s="246"/>
      <c r="V201" s="246"/>
      <c r="W201" s="246"/>
      <c r="X201" s="246"/>
      <c r="Y201" s="246"/>
      <c r="Z201" s="246"/>
      <c r="AA201" s="246"/>
      <c r="AB201" s="246"/>
      <c r="AC201" s="246"/>
      <c r="AD201" s="246"/>
      <c r="AE201" s="246"/>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CE201" s="94"/>
    </row>
    <row r="202" spans="2:83" ht="12.75" x14ac:dyDescent="0.15">
      <c r="B202" s="119" t="s">
        <v>778</v>
      </c>
      <c r="C202" s="119"/>
      <c r="D202" s="246"/>
      <c r="E202" s="246"/>
      <c r="F202" s="246"/>
      <c r="G202" s="246"/>
      <c r="H202" s="246"/>
      <c r="I202" s="119" t="s">
        <v>779</v>
      </c>
      <c r="J202" s="170"/>
      <c r="K202" s="170"/>
      <c r="L202" s="246"/>
      <c r="M202" s="246"/>
      <c r="N202" s="246"/>
      <c r="O202" s="246"/>
      <c r="P202" s="246"/>
      <c r="Q202" s="246"/>
      <c r="R202" s="246"/>
      <c r="S202" s="246"/>
      <c r="T202" s="246"/>
      <c r="U202" s="246"/>
      <c r="V202" s="246"/>
      <c r="W202" s="246"/>
      <c r="X202" s="246"/>
      <c r="Y202" s="246"/>
      <c r="Z202" s="246"/>
      <c r="AA202" s="246"/>
      <c r="AB202" s="246"/>
      <c r="AC202" s="246"/>
      <c r="AD202" s="246"/>
      <c r="AE202" s="246"/>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CE202" s="94"/>
    </row>
    <row r="203" spans="2:83" x14ac:dyDescent="0.15">
      <c r="B203" s="246"/>
      <c r="C203" s="246"/>
      <c r="D203" s="246"/>
      <c r="E203" s="246"/>
      <c r="F203" s="246"/>
      <c r="G203" s="246"/>
      <c r="H203" s="246"/>
      <c r="I203" s="246"/>
      <c r="J203" s="170"/>
      <c r="K203" s="170"/>
      <c r="L203" s="246"/>
      <c r="M203" s="246"/>
      <c r="N203" s="246"/>
      <c r="O203" s="246"/>
      <c r="P203" s="246"/>
      <c r="Q203" s="246"/>
      <c r="R203" s="246"/>
      <c r="S203" s="246"/>
      <c r="T203" s="246"/>
      <c r="U203" s="246"/>
      <c r="V203" s="246"/>
      <c r="W203" s="246"/>
      <c r="X203" s="246"/>
      <c r="Y203" s="246"/>
      <c r="Z203" s="246"/>
      <c r="AA203" s="246"/>
      <c r="AB203" s="246"/>
      <c r="AC203" s="246"/>
      <c r="AD203" s="246"/>
      <c r="AE203" s="246"/>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CE203" s="94"/>
    </row>
    <row r="204" spans="2:83" x14ac:dyDescent="0.15">
      <c r="B204" s="171"/>
      <c r="C204" s="171" t="s">
        <v>780</v>
      </c>
      <c r="D204" s="246"/>
      <c r="E204" s="246"/>
      <c r="F204" s="246"/>
      <c r="G204" s="246"/>
      <c r="H204" s="246"/>
      <c r="I204" s="171" t="s">
        <v>781</v>
      </c>
      <c r="J204" s="170"/>
      <c r="K204" s="170"/>
      <c r="L204" s="246"/>
      <c r="M204" s="246"/>
      <c r="N204" s="246"/>
      <c r="O204" s="246"/>
      <c r="P204" s="246"/>
      <c r="Q204" s="246"/>
      <c r="R204" s="246"/>
      <c r="S204" s="246"/>
      <c r="T204" s="246"/>
      <c r="U204" s="246"/>
      <c r="V204" s="246"/>
      <c r="W204" s="246"/>
      <c r="X204" s="246"/>
      <c r="Y204" s="246"/>
      <c r="Z204" s="246"/>
      <c r="AA204" s="246"/>
      <c r="AB204" s="246"/>
      <c r="AC204" s="246"/>
      <c r="AD204" s="246"/>
      <c r="AE204" s="246"/>
      <c r="CE204" s="94"/>
    </row>
    <row r="205" spans="2:83" x14ac:dyDescent="0.15">
      <c r="B205" s="246" t="s">
        <v>605</v>
      </c>
      <c r="C205" s="246" t="s">
        <v>605</v>
      </c>
      <c r="D205" s="246"/>
      <c r="E205" s="246"/>
      <c r="F205" s="246"/>
      <c r="G205" s="246"/>
      <c r="H205" s="246"/>
      <c r="I205" s="246" t="s">
        <v>605</v>
      </c>
      <c r="J205" s="170" t="s">
        <v>782</v>
      </c>
      <c r="K205" s="170"/>
      <c r="L205" s="246"/>
      <c r="M205" s="246"/>
      <c r="N205" s="246"/>
      <c r="O205" s="246"/>
      <c r="P205" s="246"/>
      <c r="Q205" s="246"/>
      <c r="R205" s="246"/>
      <c r="S205" s="246"/>
      <c r="T205" s="246"/>
      <c r="U205" s="246"/>
      <c r="V205" s="246"/>
      <c r="W205" s="246"/>
      <c r="X205" s="246"/>
      <c r="Y205" s="246"/>
      <c r="Z205" s="246"/>
      <c r="AA205" s="246"/>
      <c r="AB205" s="246"/>
      <c r="AC205" s="246"/>
      <c r="AD205" s="246"/>
      <c r="AE205" s="246"/>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CE205" s="94"/>
    </row>
    <row r="206" spans="2:83" x14ac:dyDescent="0.15">
      <c r="B206" s="246" t="s">
        <v>605</v>
      </c>
      <c r="C206" s="246" t="s">
        <v>605</v>
      </c>
      <c r="D206" s="246"/>
      <c r="E206" s="246"/>
      <c r="F206" s="246"/>
      <c r="G206" s="246"/>
      <c r="H206" s="246"/>
      <c r="I206" s="246" t="s">
        <v>605</v>
      </c>
      <c r="J206" s="170"/>
      <c r="K206" s="170" t="s">
        <v>783</v>
      </c>
      <c r="L206" s="246"/>
      <c r="M206" s="246"/>
      <c r="N206" s="246"/>
      <c r="O206" s="246"/>
      <c r="P206" s="246"/>
      <c r="Q206" s="246"/>
      <c r="R206" s="246"/>
      <c r="S206" s="246"/>
      <c r="T206" s="246"/>
      <c r="U206" s="246"/>
      <c r="V206" s="246"/>
      <c r="W206" s="246"/>
      <c r="X206" s="246"/>
      <c r="Y206" s="246"/>
      <c r="Z206" s="246"/>
      <c r="AA206" s="246"/>
      <c r="AB206" s="246"/>
      <c r="AC206" s="246"/>
      <c r="AD206" s="246"/>
      <c r="AE206" s="246"/>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CE206" s="94"/>
    </row>
    <row r="207" spans="2:83" x14ac:dyDescent="0.15">
      <c r="B207" s="246" t="s">
        <v>605</v>
      </c>
      <c r="C207" s="246" t="s">
        <v>605</v>
      </c>
      <c r="D207" s="246"/>
      <c r="E207" s="246"/>
      <c r="F207" s="246"/>
      <c r="G207" s="246"/>
      <c r="H207" s="246"/>
      <c r="I207" s="246" t="s">
        <v>605</v>
      </c>
      <c r="J207" s="170"/>
      <c r="K207" s="170" t="s">
        <v>784</v>
      </c>
      <c r="L207" s="246"/>
      <c r="M207" s="246"/>
      <c r="N207" s="246"/>
      <c r="O207" s="246"/>
      <c r="P207" s="246"/>
      <c r="Q207" s="246"/>
      <c r="R207" s="246"/>
      <c r="S207" s="246"/>
      <c r="T207" s="246"/>
      <c r="U207" s="246"/>
      <c r="V207" s="246"/>
      <c r="W207" s="246"/>
      <c r="X207" s="246"/>
      <c r="Y207" s="246"/>
      <c r="Z207" s="246"/>
      <c r="AA207" s="246"/>
      <c r="AB207" s="246"/>
      <c r="AC207" s="246"/>
      <c r="AD207" s="246"/>
      <c r="AE207" s="246"/>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CE207" s="94"/>
    </row>
    <row r="208" spans="2:83" x14ac:dyDescent="0.15">
      <c r="B208" s="246" t="s">
        <v>605</v>
      </c>
      <c r="C208" s="246" t="s">
        <v>605</v>
      </c>
      <c r="D208" s="246"/>
      <c r="E208" s="246"/>
      <c r="F208" s="246"/>
      <c r="G208" s="246"/>
      <c r="H208" s="246"/>
      <c r="I208" s="246" t="s">
        <v>605</v>
      </c>
      <c r="J208" s="170"/>
      <c r="K208" s="170" t="s">
        <v>785</v>
      </c>
      <c r="L208" s="246"/>
      <c r="M208" s="246"/>
      <c r="N208" s="246"/>
      <c r="O208" s="246"/>
      <c r="P208" s="246"/>
      <c r="Q208" s="246"/>
      <c r="R208" s="246"/>
      <c r="S208" s="246"/>
      <c r="T208" s="246"/>
      <c r="U208" s="246"/>
      <c r="V208" s="246"/>
      <c r="W208" s="246"/>
      <c r="X208" s="246"/>
      <c r="Y208" s="246"/>
      <c r="Z208" s="246"/>
      <c r="AA208" s="246"/>
      <c r="AB208" s="246"/>
      <c r="AC208" s="246"/>
      <c r="AD208" s="246"/>
      <c r="AE208" s="246"/>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CE208" s="94"/>
    </row>
    <row r="209" spans="2:83" x14ac:dyDescent="0.15">
      <c r="B209" s="246"/>
      <c r="C209" s="246"/>
      <c r="D209" s="246"/>
      <c r="E209" s="246"/>
      <c r="F209" s="246"/>
      <c r="G209" s="246"/>
      <c r="H209" s="246"/>
      <c r="I209" s="246"/>
      <c r="J209" s="170"/>
      <c r="K209" s="170"/>
      <c r="L209" s="246"/>
      <c r="M209" s="246"/>
      <c r="N209" s="246"/>
      <c r="O209" s="246"/>
      <c r="P209" s="246"/>
      <c r="Q209" s="246"/>
      <c r="R209" s="246"/>
      <c r="S209" s="246"/>
      <c r="T209" s="246"/>
      <c r="U209" s="246"/>
      <c r="V209" s="246"/>
      <c r="W209" s="246"/>
      <c r="X209" s="246"/>
      <c r="Y209" s="246"/>
      <c r="Z209" s="246"/>
      <c r="AA209" s="246"/>
      <c r="AB209" s="246"/>
      <c r="AC209" s="246"/>
      <c r="AD209" s="246"/>
      <c r="AE209" s="246"/>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CE209" s="94"/>
    </row>
    <row r="210" spans="2:83" x14ac:dyDescent="0.15">
      <c r="B210" s="171"/>
      <c r="C210" s="171" t="s">
        <v>786</v>
      </c>
      <c r="D210" s="246"/>
      <c r="E210" s="246"/>
      <c r="F210" s="246"/>
      <c r="G210" s="246"/>
      <c r="H210" s="246"/>
      <c r="I210" s="171" t="s">
        <v>787</v>
      </c>
      <c r="J210" s="170"/>
      <c r="K210" s="170"/>
      <c r="L210" s="246"/>
      <c r="M210" s="246"/>
      <c r="N210" s="246"/>
      <c r="O210" s="246"/>
      <c r="P210" s="246"/>
      <c r="Q210" s="246"/>
      <c r="R210" s="246"/>
      <c r="S210" s="246"/>
      <c r="T210" s="246"/>
      <c r="U210" s="246"/>
      <c r="V210" s="246"/>
      <c r="W210" s="246"/>
      <c r="X210" s="246"/>
      <c r="Y210" s="246"/>
      <c r="Z210" s="246"/>
      <c r="AA210" s="246"/>
      <c r="AB210" s="246"/>
      <c r="AC210" s="246"/>
      <c r="AD210" s="246"/>
      <c r="AE210" s="246"/>
      <c r="AF210" s="301" t="s">
        <v>944</v>
      </c>
      <c r="AG210" s="302"/>
      <c r="AH210" s="302"/>
      <c r="AI210" s="302"/>
      <c r="AJ210" s="302"/>
      <c r="AK210" s="302"/>
      <c r="AL210" s="302"/>
      <c r="AM210" s="302"/>
      <c r="AN210" s="302"/>
      <c r="AO210" s="302"/>
      <c r="AP210" s="302"/>
      <c r="AQ210" s="302"/>
      <c r="AR210" s="302"/>
      <c r="AS210" s="302"/>
      <c r="AT210" s="302"/>
      <c r="AU210" s="302"/>
      <c r="AV210" s="302"/>
      <c r="AW210" s="302"/>
      <c r="AX210" s="302"/>
      <c r="AY210" s="302"/>
      <c r="AZ210" s="302"/>
      <c r="BA210" s="302"/>
      <c r="BB210" s="302"/>
      <c r="BC210" s="302"/>
      <c r="BD210" s="302"/>
      <c r="BE210" s="302"/>
      <c r="CE210" s="94"/>
    </row>
    <row r="211" spans="2:83" x14ac:dyDescent="0.15">
      <c r="B211" s="246" t="s">
        <v>605</v>
      </c>
      <c r="C211" s="246" t="s">
        <v>605</v>
      </c>
      <c r="D211" s="246"/>
      <c r="E211" s="246"/>
      <c r="F211" s="246"/>
      <c r="G211" s="246"/>
      <c r="H211" s="246"/>
      <c r="I211" s="246" t="s">
        <v>605</v>
      </c>
      <c r="J211" s="170" t="s">
        <v>788</v>
      </c>
      <c r="K211" s="170"/>
      <c r="L211" s="246"/>
      <c r="M211" s="246"/>
      <c r="N211" s="246"/>
      <c r="O211" s="246"/>
      <c r="P211" s="246"/>
      <c r="Q211" s="246"/>
      <c r="R211" s="246"/>
      <c r="S211" s="246"/>
      <c r="T211" s="246"/>
      <c r="U211" s="246"/>
      <c r="V211" s="246"/>
      <c r="W211" s="246"/>
      <c r="X211" s="246"/>
      <c r="Y211" s="246"/>
      <c r="Z211" s="246"/>
      <c r="AA211" s="246"/>
      <c r="AB211" s="246"/>
      <c r="AC211" s="246"/>
      <c r="AD211" s="246"/>
      <c r="AE211" s="246"/>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CE211" s="94"/>
    </row>
    <row r="212" spans="2:83" x14ac:dyDescent="0.15">
      <c r="B212" s="246"/>
      <c r="C212" s="246"/>
      <c r="D212" s="246"/>
      <c r="E212" s="246"/>
      <c r="F212" s="246"/>
      <c r="G212" s="246"/>
      <c r="H212" s="246"/>
      <c r="I212" s="246"/>
      <c r="J212" s="170"/>
      <c r="K212" s="170"/>
      <c r="L212" s="246"/>
      <c r="M212" s="246"/>
      <c r="N212" s="246"/>
      <c r="O212" s="246"/>
      <c r="P212" s="246"/>
      <c r="Q212" s="246"/>
      <c r="R212" s="246"/>
      <c r="S212" s="246"/>
      <c r="T212" s="246"/>
      <c r="U212" s="246"/>
      <c r="V212" s="246"/>
      <c r="W212" s="246"/>
      <c r="X212" s="246"/>
      <c r="Y212" s="246"/>
      <c r="Z212" s="246"/>
      <c r="AA212" s="246"/>
      <c r="AB212" s="246"/>
      <c r="AC212" s="246"/>
      <c r="AD212" s="246"/>
      <c r="AE212" s="246"/>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CE212" s="94"/>
    </row>
    <row r="213" spans="2:83" x14ac:dyDescent="0.15">
      <c r="B213" s="171"/>
      <c r="C213" s="171" t="s">
        <v>789</v>
      </c>
      <c r="D213" s="246"/>
      <c r="E213" s="246"/>
      <c r="F213" s="246"/>
      <c r="G213" s="246"/>
      <c r="H213" s="246"/>
      <c r="I213" s="171" t="s">
        <v>790</v>
      </c>
      <c r="J213" s="170"/>
      <c r="K213" s="170"/>
      <c r="L213" s="246"/>
      <c r="M213" s="246"/>
      <c r="N213" s="246"/>
      <c r="O213" s="246"/>
      <c r="P213" s="246"/>
      <c r="Q213" s="246"/>
      <c r="R213" s="246"/>
      <c r="S213" s="246"/>
      <c r="T213" s="246"/>
      <c r="U213" s="246"/>
      <c r="V213" s="246"/>
      <c r="W213" s="246"/>
      <c r="X213" s="246"/>
      <c r="Y213" s="246"/>
      <c r="Z213" s="246"/>
      <c r="AA213" s="246"/>
      <c r="AB213" s="246"/>
      <c r="AC213" s="246"/>
      <c r="AD213" s="246"/>
      <c r="AE213" s="246"/>
      <c r="AF213" s="301" t="s">
        <v>945</v>
      </c>
      <c r="AG213" s="302"/>
      <c r="AH213" s="302"/>
      <c r="AI213" s="302"/>
      <c r="AJ213" s="302"/>
      <c r="AK213" s="302"/>
      <c r="AL213" s="302"/>
      <c r="AM213" s="302"/>
      <c r="AN213" s="302"/>
      <c r="AO213" s="302"/>
      <c r="AP213" s="302"/>
      <c r="AQ213" s="302"/>
      <c r="AR213" s="302"/>
      <c r="AS213" s="302"/>
      <c r="AT213" s="302"/>
      <c r="AU213" s="302"/>
      <c r="AV213" s="302"/>
      <c r="AW213" s="302"/>
      <c r="AX213" s="302"/>
      <c r="AY213" s="302"/>
      <c r="AZ213" s="302"/>
      <c r="BA213" s="302"/>
      <c r="BB213" s="302"/>
      <c r="BC213" s="302"/>
      <c r="BD213" s="302"/>
      <c r="BE213" s="302"/>
      <c r="CE213" s="94"/>
    </row>
    <row r="214" spans="2:83" x14ac:dyDescent="0.15">
      <c r="B214" s="246" t="s">
        <v>605</v>
      </c>
      <c r="C214" s="246" t="s">
        <v>605</v>
      </c>
      <c r="D214" s="246"/>
      <c r="E214" s="246"/>
      <c r="F214" s="246"/>
      <c r="G214" s="246"/>
      <c r="H214" s="246"/>
      <c r="I214" s="246" t="s">
        <v>605</v>
      </c>
      <c r="J214" s="170" t="s">
        <v>791</v>
      </c>
      <c r="K214" s="170"/>
      <c r="L214" s="246"/>
      <c r="M214" s="246"/>
      <c r="N214" s="246"/>
      <c r="O214" s="246"/>
      <c r="P214" s="246"/>
      <c r="Q214" s="246"/>
      <c r="R214" s="246"/>
      <c r="S214" s="246"/>
      <c r="T214" s="246"/>
      <c r="U214" s="246"/>
      <c r="V214" s="246"/>
      <c r="W214" s="246"/>
      <c r="X214" s="246"/>
      <c r="Y214" s="246"/>
      <c r="Z214" s="246"/>
      <c r="AA214" s="246"/>
      <c r="AB214" s="246"/>
      <c r="AC214" s="246"/>
      <c r="AD214" s="246"/>
      <c r="AE214" s="246"/>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CE214" s="94"/>
    </row>
    <row r="215" spans="2:83" x14ac:dyDescent="0.15">
      <c r="B215" s="246"/>
      <c r="C215" s="246"/>
      <c r="D215" s="246"/>
      <c r="E215" s="246"/>
      <c r="F215" s="246"/>
      <c r="G215" s="246"/>
      <c r="H215" s="246"/>
      <c r="I215" s="246"/>
      <c r="J215" s="170"/>
      <c r="K215" s="170"/>
      <c r="L215" s="246"/>
      <c r="M215" s="246"/>
      <c r="N215" s="246"/>
      <c r="O215" s="246"/>
      <c r="P215" s="246"/>
      <c r="Q215" s="246"/>
      <c r="R215" s="246"/>
      <c r="S215" s="246"/>
      <c r="T215" s="246"/>
      <c r="U215" s="246"/>
      <c r="V215" s="246"/>
      <c r="W215" s="246"/>
      <c r="X215" s="246"/>
      <c r="Y215" s="246"/>
      <c r="Z215" s="246"/>
      <c r="AA215" s="246"/>
      <c r="AB215" s="246"/>
      <c r="AC215" s="246"/>
      <c r="AD215" s="246"/>
      <c r="AE215" s="246"/>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CE215" s="94"/>
    </row>
    <row r="216" spans="2:83" x14ac:dyDescent="0.15">
      <c r="B216" s="171"/>
      <c r="C216" s="171" t="s">
        <v>792</v>
      </c>
      <c r="D216" s="246"/>
      <c r="E216" s="246"/>
      <c r="F216" s="246"/>
      <c r="G216" s="246"/>
      <c r="H216" s="246"/>
      <c r="I216" s="171" t="s">
        <v>793</v>
      </c>
      <c r="J216" s="170"/>
      <c r="K216" s="170"/>
      <c r="L216" s="246"/>
      <c r="M216" s="246"/>
      <c r="N216" s="246"/>
      <c r="O216" s="246"/>
      <c r="P216" s="246"/>
      <c r="Q216" s="246"/>
      <c r="R216" s="246"/>
      <c r="S216" s="246"/>
      <c r="T216" s="246"/>
      <c r="U216" s="246"/>
      <c r="V216" s="246"/>
      <c r="W216" s="246"/>
      <c r="X216" s="246"/>
      <c r="Y216" s="246"/>
      <c r="Z216" s="246"/>
      <c r="AA216" s="246"/>
      <c r="AB216" s="246"/>
      <c r="AC216" s="246"/>
      <c r="AD216" s="246"/>
      <c r="AE216" s="246"/>
      <c r="AF216" s="301" t="s">
        <v>946</v>
      </c>
      <c r="AG216" s="302"/>
      <c r="AH216" s="302"/>
      <c r="AI216" s="302"/>
      <c r="AJ216" s="302"/>
      <c r="AK216" s="302"/>
      <c r="AL216" s="302"/>
      <c r="AM216" s="302"/>
      <c r="AN216" s="302"/>
      <c r="AO216" s="302"/>
      <c r="AP216" s="302"/>
      <c r="AQ216" s="302"/>
      <c r="AR216" s="302"/>
      <c r="AS216" s="302"/>
      <c r="AT216" s="302"/>
      <c r="AU216" s="302"/>
      <c r="AV216" s="302"/>
      <c r="AW216" s="302"/>
      <c r="AX216" s="302"/>
      <c r="AY216" s="302"/>
      <c r="AZ216" s="302"/>
      <c r="BA216" s="302"/>
      <c r="BB216" s="302"/>
      <c r="BC216" s="302"/>
      <c r="BD216" s="302"/>
      <c r="BE216" s="302"/>
      <c r="CE216" s="94"/>
    </row>
    <row r="217" spans="2:83" x14ac:dyDescent="0.15">
      <c r="B217" s="246" t="s">
        <v>605</v>
      </c>
      <c r="C217" s="246" t="s">
        <v>605</v>
      </c>
      <c r="D217" s="246"/>
      <c r="E217" s="246"/>
      <c r="F217" s="246"/>
      <c r="G217" s="246"/>
      <c r="H217" s="246"/>
      <c r="I217" s="246" t="s">
        <v>605</v>
      </c>
      <c r="J217" s="170" t="s">
        <v>794</v>
      </c>
      <c r="K217" s="170"/>
      <c r="L217" s="246"/>
      <c r="M217" s="246"/>
      <c r="N217" s="246"/>
      <c r="O217" s="246"/>
      <c r="P217" s="246"/>
      <c r="Q217" s="246"/>
      <c r="R217" s="246"/>
      <c r="S217" s="246"/>
      <c r="T217" s="246"/>
      <c r="U217" s="246"/>
      <c r="V217" s="246"/>
      <c r="W217" s="246"/>
      <c r="X217" s="246"/>
      <c r="Y217" s="246"/>
      <c r="Z217" s="246"/>
      <c r="AA217" s="246"/>
      <c r="AB217" s="246"/>
      <c r="AC217" s="246"/>
      <c r="AD217" s="246"/>
      <c r="AE217" s="246"/>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CE217" s="94"/>
    </row>
    <row r="218" spans="2:83" x14ac:dyDescent="0.15">
      <c r="B218" s="246"/>
      <c r="C218" s="246"/>
      <c r="D218" s="246"/>
      <c r="E218" s="246"/>
      <c r="F218" s="246"/>
      <c r="G218" s="246"/>
      <c r="H218" s="246"/>
      <c r="I218" s="246"/>
      <c r="J218" s="170"/>
      <c r="K218" s="170"/>
      <c r="L218" s="246"/>
      <c r="M218" s="246"/>
      <c r="N218" s="246"/>
      <c r="O218" s="246"/>
      <c r="P218" s="246"/>
      <c r="Q218" s="246"/>
      <c r="R218" s="246"/>
      <c r="S218" s="246"/>
      <c r="T218" s="246"/>
      <c r="U218" s="246"/>
      <c r="V218" s="246"/>
      <c r="W218" s="246"/>
      <c r="X218" s="246"/>
      <c r="Y218" s="246"/>
      <c r="Z218" s="246"/>
      <c r="AA218" s="246"/>
      <c r="AB218" s="246"/>
      <c r="AC218" s="246"/>
      <c r="AD218" s="246"/>
      <c r="AE218" s="246"/>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CE218" s="94"/>
    </row>
    <row r="219" spans="2:83" x14ac:dyDescent="0.15">
      <c r="B219" s="246"/>
      <c r="C219" s="246"/>
      <c r="D219" s="246"/>
      <c r="E219" s="246"/>
      <c r="F219" s="246"/>
      <c r="G219" s="246"/>
      <c r="H219" s="246"/>
      <c r="I219" s="246"/>
      <c r="J219" s="170"/>
      <c r="K219" s="170"/>
      <c r="L219" s="246"/>
      <c r="M219" s="246"/>
      <c r="N219" s="246"/>
      <c r="O219" s="246"/>
      <c r="P219" s="246"/>
      <c r="Q219" s="246"/>
      <c r="R219" s="246"/>
      <c r="S219" s="246"/>
      <c r="T219" s="246"/>
      <c r="U219" s="246"/>
      <c r="V219" s="246"/>
      <c r="W219" s="246"/>
      <c r="X219" s="246"/>
      <c r="Y219" s="246"/>
      <c r="Z219" s="246"/>
      <c r="AA219" s="246"/>
      <c r="AB219" s="246"/>
      <c r="AC219" s="246"/>
      <c r="AD219" s="246"/>
      <c r="AE219" s="246"/>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CE219" s="94"/>
    </row>
    <row r="220" spans="2:83" ht="12.75" x14ac:dyDescent="0.15">
      <c r="B220" s="119" t="s">
        <v>795</v>
      </c>
      <c r="C220" s="119"/>
      <c r="D220" s="246"/>
      <c r="E220" s="246"/>
      <c r="F220" s="246"/>
      <c r="G220" s="246"/>
      <c r="H220" s="246"/>
      <c r="I220" s="119" t="s">
        <v>796</v>
      </c>
      <c r="J220" s="170"/>
      <c r="K220" s="170"/>
      <c r="L220" s="246"/>
      <c r="M220" s="246"/>
      <c r="N220" s="246"/>
      <c r="O220" s="246"/>
      <c r="P220" s="246"/>
      <c r="Q220" s="246"/>
      <c r="R220" s="246"/>
      <c r="S220" s="246"/>
      <c r="T220" s="246"/>
      <c r="U220" s="246"/>
      <c r="V220" s="246"/>
      <c r="W220" s="246"/>
      <c r="X220" s="246"/>
      <c r="Y220" s="246"/>
      <c r="Z220" s="246"/>
      <c r="AA220" s="246"/>
      <c r="AB220" s="246"/>
      <c r="AC220" s="246"/>
      <c r="AD220" s="246"/>
      <c r="AE220" s="246"/>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CE220" s="94"/>
    </row>
    <row r="221" spans="2:83" x14ac:dyDescent="0.15">
      <c r="B221" s="246"/>
      <c r="C221" s="246"/>
      <c r="D221" s="246"/>
      <c r="E221" s="246"/>
      <c r="F221" s="246"/>
      <c r="G221" s="246"/>
      <c r="H221" s="246"/>
      <c r="I221" s="246"/>
      <c r="J221" s="170"/>
      <c r="K221" s="170"/>
      <c r="L221" s="246"/>
      <c r="M221" s="246"/>
      <c r="N221" s="246"/>
      <c r="O221" s="246"/>
      <c r="P221" s="246"/>
      <c r="Q221" s="246"/>
      <c r="R221" s="246"/>
      <c r="S221" s="246"/>
      <c r="T221" s="246"/>
      <c r="U221" s="246"/>
      <c r="V221" s="246"/>
      <c r="W221" s="246"/>
      <c r="X221" s="246"/>
      <c r="Y221" s="246"/>
      <c r="Z221" s="246"/>
      <c r="AA221" s="246"/>
      <c r="AB221" s="246"/>
      <c r="AC221" s="246"/>
      <c r="AD221" s="246"/>
      <c r="AE221" s="246"/>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CE221" s="94"/>
    </row>
    <row r="222" spans="2:83" x14ac:dyDescent="0.15">
      <c r="B222" s="171"/>
      <c r="C222" s="171" t="s">
        <v>797</v>
      </c>
      <c r="D222" s="246"/>
      <c r="E222" s="246"/>
      <c r="F222" s="246"/>
      <c r="G222" s="246"/>
      <c r="H222" s="246"/>
      <c r="I222" s="171" t="s">
        <v>353</v>
      </c>
      <c r="J222" s="170"/>
      <c r="K222" s="170"/>
      <c r="L222" s="246"/>
      <c r="M222" s="246"/>
      <c r="N222" s="246"/>
      <c r="O222" s="246"/>
      <c r="P222" s="246"/>
      <c r="Q222" s="246"/>
      <c r="R222" s="246"/>
      <c r="S222" s="246"/>
      <c r="T222" s="246"/>
      <c r="U222" s="246"/>
      <c r="V222" s="246"/>
      <c r="W222" s="246"/>
      <c r="X222" s="246"/>
      <c r="Y222" s="246"/>
      <c r="Z222" s="246"/>
      <c r="AA222" s="246"/>
      <c r="AB222" s="246"/>
      <c r="AC222" s="246"/>
      <c r="AD222" s="246"/>
      <c r="AE222" s="246"/>
      <c r="AF222" s="301" t="s">
        <v>947</v>
      </c>
      <c r="AG222" s="302"/>
      <c r="AH222" s="302"/>
      <c r="AI222" s="302"/>
      <c r="AJ222" s="302"/>
      <c r="AK222" s="302"/>
      <c r="AL222" s="302"/>
      <c r="AM222" s="302"/>
      <c r="AN222" s="302"/>
      <c r="AO222" s="302"/>
      <c r="AP222" s="302"/>
      <c r="AQ222" s="302"/>
      <c r="AR222" s="302"/>
      <c r="AS222" s="302"/>
      <c r="AT222" s="302"/>
      <c r="AU222" s="302"/>
      <c r="AV222" s="302"/>
      <c r="AW222" s="302"/>
      <c r="AX222" s="302"/>
      <c r="AY222" s="302"/>
      <c r="AZ222" s="302"/>
      <c r="BA222" s="302"/>
      <c r="BB222" s="302"/>
      <c r="BC222" s="302"/>
      <c r="BD222" s="302"/>
      <c r="BE222" s="302"/>
      <c r="CE222" s="94"/>
    </row>
    <row r="223" spans="2:83" x14ac:dyDescent="0.15">
      <c r="B223" s="246" t="s">
        <v>605</v>
      </c>
      <c r="C223" s="246" t="s">
        <v>605</v>
      </c>
      <c r="D223" s="246"/>
      <c r="E223" s="246"/>
      <c r="F223" s="246"/>
      <c r="G223" s="246"/>
      <c r="H223" s="246"/>
      <c r="I223" s="246" t="s">
        <v>605</v>
      </c>
      <c r="J223" s="170" t="s">
        <v>798</v>
      </c>
      <c r="K223" s="170"/>
      <c r="L223" s="246"/>
      <c r="M223" s="246"/>
      <c r="N223" s="246"/>
      <c r="O223" s="246"/>
      <c r="P223" s="246"/>
      <c r="Q223" s="246"/>
      <c r="R223" s="246"/>
      <c r="S223" s="246"/>
      <c r="T223" s="246"/>
      <c r="U223" s="246"/>
      <c r="V223" s="246"/>
      <c r="W223" s="246"/>
      <c r="X223" s="246"/>
      <c r="Y223" s="246"/>
      <c r="Z223" s="246"/>
      <c r="AA223" s="246"/>
      <c r="AB223" s="246"/>
      <c r="AC223" s="246"/>
      <c r="AD223" s="246"/>
      <c r="AE223" s="246"/>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CE223" s="94"/>
    </row>
    <row r="224" spans="2:83" x14ac:dyDescent="0.15">
      <c r="B224" s="246" t="s">
        <v>605</v>
      </c>
      <c r="C224" s="246" t="s">
        <v>605</v>
      </c>
      <c r="D224" s="246"/>
      <c r="E224" s="246"/>
      <c r="F224" s="246"/>
      <c r="G224" s="246"/>
      <c r="H224" s="246"/>
      <c r="I224" s="246" t="s">
        <v>605</v>
      </c>
      <c r="J224" s="170"/>
      <c r="K224" s="170" t="s">
        <v>799</v>
      </c>
      <c r="L224" s="246"/>
      <c r="M224" s="246"/>
      <c r="N224" s="246"/>
      <c r="O224" s="246"/>
      <c r="P224" s="246"/>
      <c r="Q224" s="246"/>
      <c r="R224" s="246"/>
      <c r="S224" s="246"/>
      <c r="T224" s="246"/>
      <c r="U224" s="246"/>
      <c r="V224" s="246"/>
      <c r="W224" s="246"/>
      <c r="X224" s="246"/>
      <c r="Y224" s="246"/>
      <c r="Z224" s="246"/>
      <c r="AA224" s="246"/>
      <c r="AB224" s="246"/>
      <c r="AC224" s="246"/>
      <c r="AD224" s="246"/>
      <c r="AE224" s="246"/>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CE224" s="94"/>
    </row>
    <row r="225" spans="2:83" x14ac:dyDescent="0.15">
      <c r="B225" s="246" t="s">
        <v>605</v>
      </c>
      <c r="C225" s="246" t="s">
        <v>605</v>
      </c>
      <c r="D225" s="246"/>
      <c r="E225" s="246"/>
      <c r="F225" s="246"/>
      <c r="G225" s="246"/>
      <c r="H225" s="246"/>
      <c r="I225" s="246" t="s">
        <v>605</v>
      </c>
      <c r="J225" s="170"/>
      <c r="K225" s="170" t="s">
        <v>800</v>
      </c>
      <c r="L225" s="246"/>
      <c r="M225" s="246"/>
      <c r="N225" s="246"/>
      <c r="O225" s="246"/>
      <c r="P225" s="246"/>
      <c r="Q225" s="246"/>
      <c r="R225" s="246"/>
      <c r="S225" s="246"/>
      <c r="T225" s="246"/>
      <c r="U225" s="246"/>
      <c r="V225" s="246"/>
      <c r="W225" s="246"/>
      <c r="X225" s="246"/>
      <c r="Y225" s="246"/>
      <c r="Z225" s="246"/>
      <c r="AA225" s="246"/>
      <c r="AB225" s="246"/>
      <c r="AC225" s="246"/>
      <c r="AD225" s="246"/>
      <c r="AE225" s="246"/>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CE225" s="94"/>
    </row>
    <row r="226" spans="2:83" x14ac:dyDescent="0.15">
      <c r="B226" s="246"/>
      <c r="C226" s="246"/>
      <c r="D226" s="246"/>
      <c r="E226" s="246"/>
      <c r="F226" s="246"/>
      <c r="G226" s="246"/>
      <c r="H226" s="246"/>
      <c r="I226" s="246"/>
      <c r="J226" s="170"/>
      <c r="K226" s="170"/>
      <c r="L226" s="246"/>
      <c r="M226" s="246"/>
      <c r="N226" s="246"/>
      <c r="O226" s="246"/>
      <c r="P226" s="246"/>
      <c r="Q226" s="246"/>
      <c r="R226" s="246"/>
      <c r="S226" s="246"/>
      <c r="T226" s="246"/>
      <c r="U226" s="246"/>
      <c r="V226" s="246"/>
      <c r="W226" s="246"/>
      <c r="X226" s="246"/>
      <c r="Y226" s="246"/>
      <c r="Z226" s="246"/>
      <c r="AA226" s="246"/>
      <c r="AB226" s="246"/>
      <c r="AC226" s="246"/>
      <c r="AD226" s="246"/>
      <c r="AE226" s="246"/>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CE226" s="94"/>
    </row>
    <row r="227" spans="2:83" x14ac:dyDescent="0.15">
      <c r="B227" s="171"/>
      <c r="C227" s="171" t="s">
        <v>801</v>
      </c>
      <c r="D227" s="246"/>
      <c r="E227" s="246"/>
      <c r="F227" s="246"/>
      <c r="G227" s="246"/>
      <c r="H227" s="246"/>
      <c r="I227" s="171" t="s">
        <v>802</v>
      </c>
      <c r="J227" s="170"/>
      <c r="K227" s="170"/>
      <c r="L227" s="246"/>
      <c r="M227" s="246"/>
      <c r="N227" s="246"/>
      <c r="O227" s="246"/>
      <c r="P227" s="246"/>
      <c r="Q227" s="246"/>
      <c r="R227" s="246"/>
      <c r="S227" s="246"/>
      <c r="T227" s="246"/>
      <c r="U227" s="246"/>
      <c r="V227" s="246"/>
      <c r="W227" s="246"/>
      <c r="X227" s="246"/>
      <c r="Y227" s="246"/>
      <c r="Z227" s="246"/>
      <c r="AA227" s="246"/>
      <c r="AB227" s="246"/>
      <c r="AC227" s="246"/>
      <c r="AD227" s="246"/>
      <c r="AE227" s="246"/>
      <c r="AF227" s="301" t="s">
        <v>948</v>
      </c>
      <c r="AG227" s="302"/>
      <c r="AH227" s="302"/>
      <c r="AI227" s="302"/>
      <c r="AJ227" s="302"/>
      <c r="AK227" s="302"/>
      <c r="AL227" s="302"/>
      <c r="AM227" s="302"/>
      <c r="AN227" s="302"/>
      <c r="AO227" s="302"/>
      <c r="AP227" s="302"/>
      <c r="AQ227" s="302"/>
      <c r="AR227" s="302"/>
      <c r="AS227" s="302"/>
      <c r="AT227" s="302"/>
      <c r="AU227" s="302"/>
      <c r="AV227" s="302"/>
      <c r="AW227" s="302"/>
      <c r="AX227" s="302"/>
      <c r="AY227" s="302"/>
      <c r="AZ227" s="302"/>
      <c r="BA227" s="302"/>
      <c r="BB227" s="302"/>
      <c r="BC227" s="302"/>
      <c r="BD227" s="302"/>
      <c r="BE227" s="302"/>
      <c r="CE227" s="94"/>
    </row>
    <row r="228" spans="2:83" x14ac:dyDescent="0.15">
      <c r="B228" s="246" t="s">
        <v>605</v>
      </c>
      <c r="C228" s="246" t="s">
        <v>605</v>
      </c>
      <c r="D228" s="246"/>
      <c r="E228" s="246"/>
      <c r="F228" s="246"/>
      <c r="G228" s="246"/>
      <c r="H228" s="246"/>
      <c r="I228" s="246" t="s">
        <v>605</v>
      </c>
      <c r="J228" s="170" t="s">
        <v>803</v>
      </c>
      <c r="K228" s="170"/>
      <c r="L228" s="246"/>
      <c r="M228" s="246"/>
      <c r="N228" s="246"/>
      <c r="O228" s="246"/>
      <c r="P228" s="246"/>
      <c r="Q228" s="246"/>
      <c r="R228" s="246"/>
      <c r="S228" s="246"/>
      <c r="T228" s="246"/>
      <c r="U228" s="246"/>
      <c r="V228" s="246"/>
      <c r="W228" s="246"/>
      <c r="X228" s="246"/>
      <c r="Y228" s="246"/>
      <c r="Z228" s="246"/>
      <c r="AA228" s="246"/>
      <c r="AB228" s="246"/>
      <c r="AC228" s="246"/>
      <c r="AD228" s="246"/>
      <c r="AE228" s="246"/>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CE228" s="94"/>
    </row>
    <row r="229" spans="2:83" x14ac:dyDescent="0.15">
      <c r="B229" s="246" t="s">
        <v>605</v>
      </c>
      <c r="C229" s="246" t="s">
        <v>605</v>
      </c>
      <c r="D229" s="246"/>
      <c r="E229" s="246"/>
      <c r="F229" s="246"/>
      <c r="G229" s="246"/>
      <c r="H229" s="246"/>
      <c r="I229" s="246" t="s">
        <v>605</v>
      </c>
      <c r="J229" s="170" t="s">
        <v>804</v>
      </c>
      <c r="K229" s="170"/>
      <c r="L229" s="246"/>
      <c r="M229" s="246"/>
      <c r="N229" s="246"/>
      <c r="O229" s="246"/>
      <c r="P229" s="246"/>
      <c r="Q229" s="246"/>
      <c r="R229" s="246"/>
      <c r="S229" s="246"/>
      <c r="T229" s="246"/>
      <c r="U229" s="246"/>
      <c r="V229" s="246"/>
      <c r="W229" s="246"/>
      <c r="X229" s="246"/>
      <c r="Y229" s="246"/>
      <c r="Z229" s="246"/>
      <c r="AA229" s="246"/>
      <c r="AB229" s="246"/>
      <c r="AC229" s="246"/>
      <c r="AD229" s="246"/>
      <c r="AE229" s="246"/>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CE229" s="94"/>
    </row>
    <row r="230" spans="2:83" x14ac:dyDescent="0.15">
      <c r="B230" s="246" t="s">
        <v>605</v>
      </c>
      <c r="C230" s="246" t="s">
        <v>605</v>
      </c>
      <c r="D230" s="246"/>
      <c r="E230" s="246"/>
      <c r="F230" s="246"/>
      <c r="G230" s="246"/>
      <c r="H230" s="246"/>
      <c r="I230" s="246" t="s">
        <v>605</v>
      </c>
      <c r="J230" s="170"/>
      <c r="K230" s="170" t="s">
        <v>805</v>
      </c>
      <c r="L230" s="246"/>
      <c r="M230" s="246"/>
      <c r="N230" s="246"/>
      <c r="O230" s="246"/>
      <c r="P230" s="246"/>
      <c r="Q230" s="246"/>
      <c r="R230" s="246"/>
      <c r="S230" s="246"/>
      <c r="T230" s="246"/>
      <c r="U230" s="246"/>
      <c r="V230" s="246"/>
      <c r="W230" s="246"/>
      <c r="X230" s="246"/>
      <c r="Y230" s="246"/>
      <c r="Z230" s="246"/>
      <c r="AA230" s="246"/>
      <c r="AB230" s="246"/>
      <c r="AC230" s="246"/>
      <c r="AD230" s="246"/>
      <c r="AE230" s="246"/>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CE230" s="94"/>
    </row>
    <row r="231" spans="2:83" x14ac:dyDescent="0.15">
      <c r="B231" s="246" t="s">
        <v>605</v>
      </c>
      <c r="C231" s="246" t="s">
        <v>605</v>
      </c>
      <c r="D231" s="246"/>
      <c r="E231" s="246"/>
      <c r="F231" s="246"/>
      <c r="G231" s="246"/>
      <c r="H231" s="246"/>
      <c r="I231" s="246" t="s">
        <v>605</v>
      </c>
      <c r="J231" s="170"/>
      <c r="K231" s="170" t="s">
        <v>806</v>
      </c>
      <c r="L231" s="246"/>
      <c r="M231" s="246"/>
      <c r="N231" s="246"/>
      <c r="O231" s="246"/>
      <c r="P231" s="246"/>
      <c r="Q231" s="246"/>
      <c r="R231" s="246"/>
      <c r="S231" s="246"/>
      <c r="T231" s="246"/>
      <c r="U231" s="246"/>
      <c r="V231" s="246"/>
      <c r="W231" s="246"/>
      <c r="X231" s="246"/>
      <c r="Y231" s="246"/>
      <c r="Z231" s="246"/>
      <c r="AA231" s="246"/>
      <c r="AB231" s="246"/>
      <c r="AC231" s="246"/>
      <c r="AD231" s="246"/>
      <c r="AE231" s="246"/>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CE231" s="94"/>
    </row>
    <row r="232" spans="2:83" x14ac:dyDescent="0.15">
      <c r="B232" s="246" t="s">
        <v>605</v>
      </c>
      <c r="C232" s="246" t="s">
        <v>605</v>
      </c>
      <c r="D232" s="246"/>
      <c r="E232" s="246"/>
      <c r="F232" s="246"/>
      <c r="G232" s="246"/>
      <c r="H232" s="246"/>
      <c r="I232" s="246" t="s">
        <v>605</v>
      </c>
      <c r="J232" s="170"/>
      <c r="K232" s="170" t="s">
        <v>807</v>
      </c>
      <c r="L232" s="246"/>
      <c r="M232" s="246"/>
      <c r="N232" s="246"/>
      <c r="O232" s="246"/>
      <c r="P232" s="246"/>
      <c r="Q232" s="246"/>
      <c r="R232" s="246"/>
      <c r="S232" s="246"/>
      <c r="T232" s="246"/>
      <c r="U232" s="246"/>
      <c r="V232" s="246"/>
      <c r="W232" s="246"/>
      <c r="X232" s="246"/>
      <c r="Y232" s="246"/>
      <c r="Z232" s="246"/>
      <c r="AA232" s="246"/>
      <c r="AB232" s="246"/>
      <c r="AC232" s="246"/>
      <c r="AD232" s="246"/>
      <c r="AE232" s="246"/>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CE232" s="94"/>
    </row>
    <row r="233" spans="2:83" x14ac:dyDescent="0.15">
      <c r="B233" s="246"/>
      <c r="C233" s="246"/>
      <c r="D233" s="246"/>
      <c r="E233" s="246"/>
      <c r="F233" s="246"/>
      <c r="G233" s="246"/>
      <c r="H233" s="246"/>
      <c r="I233" s="246"/>
      <c r="J233" s="170"/>
      <c r="K233" s="170"/>
      <c r="L233" s="246"/>
      <c r="M233" s="246"/>
      <c r="N233" s="246"/>
      <c r="O233" s="246"/>
      <c r="P233" s="246"/>
      <c r="Q233" s="246"/>
      <c r="R233" s="246"/>
      <c r="S233" s="246"/>
      <c r="T233" s="246"/>
      <c r="U233" s="246"/>
      <c r="V233" s="246"/>
      <c r="W233" s="246"/>
      <c r="X233" s="246"/>
      <c r="Y233" s="246"/>
      <c r="Z233" s="246"/>
      <c r="AA233" s="246"/>
      <c r="AB233" s="246"/>
      <c r="AC233" s="246"/>
      <c r="AD233" s="246"/>
      <c r="AE233" s="246"/>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CE233" s="94"/>
    </row>
    <row r="234" spans="2:83" x14ac:dyDescent="0.15">
      <c r="B234" s="171"/>
      <c r="C234" s="171" t="s">
        <v>808</v>
      </c>
      <c r="D234" s="246"/>
      <c r="E234" s="246"/>
      <c r="F234" s="246"/>
      <c r="G234" s="246"/>
      <c r="H234" s="246"/>
      <c r="I234" s="171" t="s">
        <v>809</v>
      </c>
      <c r="J234" s="170"/>
      <c r="K234" s="170"/>
      <c r="L234" s="246"/>
      <c r="M234" s="246"/>
      <c r="N234" s="246"/>
      <c r="O234" s="246"/>
      <c r="P234" s="246"/>
      <c r="Q234" s="246"/>
      <c r="R234" s="246"/>
      <c r="S234" s="246"/>
      <c r="T234" s="246"/>
      <c r="U234" s="246"/>
      <c r="V234" s="246"/>
      <c r="W234" s="246"/>
      <c r="X234" s="246"/>
      <c r="Y234" s="246"/>
      <c r="Z234" s="246"/>
      <c r="AA234" s="246"/>
      <c r="AB234" s="246"/>
      <c r="AC234" s="246"/>
      <c r="AD234" s="246"/>
      <c r="AE234" s="246"/>
      <c r="AF234" s="301" t="s">
        <v>949</v>
      </c>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CE234" s="94"/>
    </row>
    <row r="235" spans="2:83" x14ac:dyDescent="0.15">
      <c r="B235" s="246" t="s">
        <v>605</v>
      </c>
      <c r="C235" s="246" t="s">
        <v>605</v>
      </c>
      <c r="D235" s="246"/>
      <c r="E235" s="246"/>
      <c r="F235" s="246"/>
      <c r="G235" s="246"/>
      <c r="H235" s="246"/>
      <c r="I235" s="246" t="s">
        <v>605</v>
      </c>
      <c r="J235" s="170" t="s">
        <v>810</v>
      </c>
      <c r="K235" s="170"/>
      <c r="L235" s="246"/>
      <c r="M235" s="246"/>
      <c r="N235" s="246"/>
      <c r="O235" s="246"/>
      <c r="P235" s="246"/>
      <c r="Q235" s="246"/>
      <c r="R235" s="246"/>
      <c r="S235" s="246"/>
      <c r="T235" s="246"/>
      <c r="U235" s="246"/>
      <c r="V235" s="246"/>
      <c r="W235" s="246"/>
      <c r="X235" s="246"/>
      <c r="Y235" s="246"/>
      <c r="Z235" s="246"/>
      <c r="AA235" s="246"/>
      <c r="AB235" s="246"/>
      <c r="AC235" s="246"/>
      <c r="AD235" s="246"/>
      <c r="AE235" s="246"/>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CE235" s="94"/>
    </row>
    <row r="236" spans="2:83" x14ac:dyDescent="0.15">
      <c r="B236" s="246"/>
      <c r="C236" s="246"/>
      <c r="D236" s="246"/>
      <c r="E236" s="246"/>
      <c r="F236" s="246"/>
      <c r="G236" s="246"/>
      <c r="H236" s="246"/>
      <c r="I236" s="246"/>
      <c r="J236" s="170"/>
      <c r="K236" s="170"/>
      <c r="L236" s="246"/>
      <c r="M236" s="246"/>
      <c r="N236" s="246"/>
      <c r="O236" s="246"/>
      <c r="P236" s="246"/>
      <c r="Q236" s="246"/>
      <c r="R236" s="246"/>
      <c r="S236" s="246"/>
      <c r="T236" s="246"/>
      <c r="U236" s="246"/>
      <c r="V236" s="246"/>
      <c r="W236" s="246"/>
      <c r="X236" s="246"/>
      <c r="Y236" s="246"/>
      <c r="Z236" s="246"/>
      <c r="AA236" s="246"/>
      <c r="AB236" s="246"/>
      <c r="AC236" s="246"/>
      <c r="AD236" s="246"/>
      <c r="AE236" s="246"/>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CE236" s="94"/>
    </row>
    <row r="237" spans="2:83" x14ac:dyDescent="0.15">
      <c r="B237" s="171"/>
      <c r="C237" s="171" t="s">
        <v>811</v>
      </c>
      <c r="D237" s="246"/>
      <c r="E237" s="246"/>
      <c r="F237" s="246"/>
      <c r="G237" s="246"/>
      <c r="H237" s="246"/>
      <c r="I237" s="171" t="s">
        <v>812</v>
      </c>
      <c r="J237" s="170"/>
      <c r="K237" s="170"/>
      <c r="L237" s="246"/>
      <c r="M237" s="246"/>
      <c r="N237" s="246"/>
      <c r="O237" s="246"/>
      <c r="P237" s="246"/>
      <c r="Q237" s="246"/>
      <c r="R237" s="246"/>
      <c r="S237" s="246"/>
      <c r="T237" s="246"/>
      <c r="U237" s="246"/>
      <c r="V237" s="246"/>
      <c r="W237" s="246"/>
      <c r="X237" s="246"/>
      <c r="Y237" s="246"/>
      <c r="Z237" s="246"/>
      <c r="AA237" s="246"/>
      <c r="AB237" s="246"/>
      <c r="AC237" s="246"/>
      <c r="AD237" s="246"/>
      <c r="AE237" s="246"/>
      <c r="AF237" s="301" t="s">
        <v>950</v>
      </c>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CE237" s="94"/>
    </row>
    <row r="238" spans="2:83" x14ac:dyDescent="0.15">
      <c r="B238" s="246" t="s">
        <v>605</v>
      </c>
      <c r="C238" s="246" t="s">
        <v>605</v>
      </c>
      <c r="D238" s="246"/>
      <c r="E238" s="246"/>
      <c r="F238" s="246"/>
      <c r="G238" s="246"/>
      <c r="H238" s="246"/>
      <c r="I238" s="246" t="s">
        <v>605</v>
      </c>
      <c r="J238" s="170" t="s">
        <v>813</v>
      </c>
      <c r="K238" s="170"/>
      <c r="L238" s="246"/>
      <c r="M238" s="246"/>
      <c r="N238" s="246"/>
      <c r="O238" s="246"/>
      <c r="P238" s="246"/>
      <c r="Q238" s="246"/>
      <c r="R238" s="246"/>
      <c r="S238" s="246"/>
      <c r="T238" s="246"/>
      <c r="U238" s="246"/>
      <c r="V238" s="246"/>
      <c r="W238" s="246"/>
      <c r="X238" s="246"/>
      <c r="Y238" s="246"/>
      <c r="Z238" s="246"/>
      <c r="AA238" s="246"/>
      <c r="AB238" s="246"/>
      <c r="AC238" s="246"/>
      <c r="AD238" s="246"/>
      <c r="AE238" s="246"/>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CE238" s="94"/>
    </row>
    <row r="239" spans="2:83" x14ac:dyDescent="0.15">
      <c r="B239" s="246"/>
      <c r="C239" s="246"/>
      <c r="D239" s="246"/>
      <c r="E239" s="246"/>
      <c r="F239" s="246"/>
      <c r="G239" s="246"/>
      <c r="H239" s="246"/>
      <c r="I239" s="246"/>
      <c r="J239" s="170"/>
      <c r="K239" s="170"/>
      <c r="L239" s="246"/>
      <c r="M239" s="246"/>
      <c r="N239" s="246"/>
      <c r="O239" s="246"/>
      <c r="P239" s="246"/>
      <c r="Q239" s="246"/>
      <c r="R239" s="246"/>
      <c r="S239" s="246"/>
      <c r="T239" s="246"/>
      <c r="U239" s="246"/>
      <c r="V239" s="246"/>
      <c r="W239" s="246"/>
      <c r="X239" s="246"/>
      <c r="Y239" s="246"/>
      <c r="Z239" s="246"/>
      <c r="AA239" s="246"/>
      <c r="AB239" s="246"/>
      <c r="AC239" s="246"/>
      <c r="AD239" s="246"/>
      <c r="AE239" s="246"/>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CE239" s="94"/>
    </row>
    <row r="240" spans="2:83" x14ac:dyDescent="0.15">
      <c r="B240" s="171"/>
      <c r="C240" s="171" t="s">
        <v>814</v>
      </c>
      <c r="D240" s="246"/>
      <c r="E240" s="246"/>
      <c r="F240" s="246"/>
      <c r="G240" s="246"/>
      <c r="H240" s="246"/>
      <c r="I240" s="171" t="s">
        <v>815</v>
      </c>
      <c r="J240" s="170"/>
      <c r="K240" s="170"/>
      <c r="L240" s="246"/>
      <c r="M240" s="246"/>
      <c r="N240" s="246"/>
      <c r="O240" s="246"/>
      <c r="P240" s="246"/>
      <c r="Q240" s="246"/>
      <c r="R240" s="246"/>
      <c r="S240" s="246"/>
      <c r="T240" s="246"/>
      <c r="U240" s="246"/>
      <c r="V240" s="246"/>
      <c r="W240" s="246"/>
      <c r="X240" s="246"/>
      <c r="Y240" s="246"/>
      <c r="Z240" s="246"/>
      <c r="AA240" s="246"/>
      <c r="AB240" s="246"/>
      <c r="AC240" s="246"/>
      <c r="AD240" s="246"/>
      <c r="AE240" s="246"/>
      <c r="AF240" s="301" t="s">
        <v>951</v>
      </c>
      <c r="AG240" s="302"/>
      <c r="AH240" s="302"/>
      <c r="AI240" s="302"/>
      <c r="AJ240" s="302"/>
      <c r="AK240" s="302"/>
      <c r="AL240" s="302"/>
      <c r="AM240" s="302"/>
      <c r="AN240" s="302"/>
      <c r="AO240" s="302"/>
      <c r="AP240" s="302"/>
      <c r="AQ240" s="302"/>
      <c r="AR240" s="302"/>
      <c r="AS240" s="302"/>
      <c r="AT240" s="302"/>
      <c r="AU240" s="302"/>
      <c r="AV240" s="302"/>
      <c r="AW240" s="302"/>
      <c r="AX240" s="302"/>
      <c r="AY240" s="302"/>
      <c r="AZ240" s="302"/>
      <c r="BA240" s="302"/>
      <c r="BB240" s="302"/>
      <c r="BC240" s="302"/>
      <c r="BD240" s="302"/>
      <c r="BE240" s="302"/>
      <c r="CE240" s="94"/>
    </row>
    <row r="241" spans="2:83" x14ac:dyDescent="0.15">
      <c r="B241" s="246" t="s">
        <v>605</v>
      </c>
      <c r="C241" s="246" t="s">
        <v>605</v>
      </c>
      <c r="D241" s="246"/>
      <c r="E241" s="246"/>
      <c r="F241" s="246"/>
      <c r="G241" s="246"/>
      <c r="H241" s="246"/>
      <c r="I241" s="246" t="s">
        <v>605</v>
      </c>
      <c r="J241" s="170" t="s">
        <v>816</v>
      </c>
      <c r="K241" s="170"/>
      <c r="L241" s="246"/>
      <c r="M241" s="246"/>
      <c r="N241" s="246"/>
      <c r="O241" s="246"/>
      <c r="P241" s="246"/>
      <c r="Q241" s="246"/>
      <c r="R241" s="246"/>
      <c r="S241" s="246"/>
      <c r="T241" s="246"/>
      <c r="U241" s="246"/>
      <c r="V241" s="246"/>
      <c r="W241" s="246"/>
      <c r="X241" s="246"/>
      <c r="Y241" s="246"/>
      <c r="Z241" s="246"/>
      <c r="AA241" s="246"/>
      <c r="AB241" s="246"/>
      <c r="AC241" s="246"/>
      <c r="AD241" s="246"/>
      <c r="AE241" s="246"/>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CE241" s="94"/>
    </row>
    <row r="242" spans="2:83" x14ac:dyDescent="0.15">
      <c r="B242" s="246"/>
      <c r="C242" s="246"/>
      <c r="D242" s="246"/>
      <c r="E242" s="246"/>
      <c r="F242" s="246"/>
      <c r="G242" s="246"/>
      <c r="H242" s="246"/>
      <c r="I242" s="246"/>
      <c r="J242" s="170"/>
      <c r="K242" s="170"/>
      <c r="L242" s="246"/>
      <c r="M242" s="246"/>
      <c r="N242" s="246"/>
      <c r="O242" s="246"/>
      <c r="P242" s="246"/>
      <c r="Q242" s="246"/>
      <c r="R242" s="246"/>
      <c r="S242" s="246"/>
      <c r="T242" s="246"/>
      <c r="U242" s="246"/>
      <c r="V242" s="246"/>
      <c r="W242" s="246"/>
      <c r="X242" s="246"/>
      <c r="Y242" s="246"/>
      <c r="Z242" s="246"/>
      <c r="AA242" s="246"/>
      <c r="AB242" s="246"/>
      <c r="AC242" s="246"/>
      <c r="AD242" s="246"/>
      <c r="AE242" s="246"/>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CE242" s="94"/>
    </row>
    <row r="243" spans="2:83" x14ac:dyDescent="0.15">
      <c r="B243" s="171"/>
      <c r="C243" s="171" t="s">
        <v>817</v>
      </c>
      <c r="D243" s="246"/>
      <c r="E243" s="246"/>
      <c r="F243" s="246"/>
      <c r="G243" s="246"/>
      <c r="H243" s="246"/>
      <c r="I243" s="171" t="s">
        <v>818</v>
      </c>
      <c r="J243" s="170"/>
      <c r="K243" s="170"/>
      <c r="L243" s="246"/>
      <c r="M243" s="246"/>
      <c r="N243" s="246"/>
      <c r="O243" s="246"/>
      <c r="P243" s="246"/>
      <c r="Q243" s="246"/>
      <c r="R243" s="246"/>
      <c r="S243" s="246"/>
      <c r="T243" s="246"/>
      <c r="U243" s="246"/>
      <c r="V243" s="246"/>
      <c r="W243" s="246"/>
      <c r="X243" s="246"/>
      <c r="Y243" s="246"/>
      <c r="Z243" s="246"/>
      <c r="AA243" s="246"/>
      <c r="AB243" s="246"/>
      <c r="AC243" s="246"/>
      <c r="AD243" s="246"/>
      <c r="AE243" s="246"/>
      <c r="AF243" s="301" t="s">
        <v>952</v>
      </c>
      <c r="AG243" s="302"/>
      <c r="AH243" s="302"/>
      <c r="AI243" s="302"/>
      <c r="AJ243" s="302"/>
      <c r="AK243" s="302"/>
      <c r="AL243" s="302"/>
      <c r="AM243" s="302"/>
      <c r="AN243" s="302"/>
      <c r="AO243" s="302"/>
      <c r="AP243" s="302"/>
      <c r="AQ243" s="302"/>
      <c r="AR243" s="302"/>
      <c r="AS243" s="302"/>
      <c r="AT243" s="302"/>
      <c r="AU243" s="302"/>
      <c r="AV243" s="302"/>
      <c r="AW243" s="302"/>
      <c r="AX243" s="302"/>
      <c r="AY243" s="302"/>
      <c r="AZ243" s="302"/>
      <c r="BA243" s="302"/>
      <c r="BB243" s="302"/>
      <c r="BC243" s="302"/>
      <c r="BD243" s="302"/>
      <c r="BE243" s="302"/>
      <c r="CE243" s="94"/>
    </row>
    <row r="244" spans="2:83" x14ac:dyDescent="0.15">
      <c r="B244" s="246" t="s">
        <v>605</v>
      </c>
      <c r="C244" s="246" t="s">
        <v>605</v>
      </c>
      <c r="D244" s="246"/>
      <c r="E244" s="246"/>
      <c r="F244" s="246"/>
      <c r="G244" s="246"/>
      <c r="H244" s="246"/>
      <c r="I244" s="246" t="s">
        <v>605</v>
      </c>
      <c r="J244" s="170" t="s">
        <v>819</v>
      </c>
      <c r="K244" s="170"/>
      <c r="L244" s="246"/>
      <c r="M244" s="246"/>
      <c r="N244" s="246"/>
      <c r="O244" s="246"/>
      <c r="P244" s="246"/>
      <c r="Q244" s="246"/>
      <c r="R244" s="246"/>
      <c r="S244" s="246"/>
      <c r="T244" s="246"/>
      <c r="U244" s="246"/>
      <c r="V244" s="246"/>
      <c r="W244" s="246"/>
      <c r="X244" s="246"/>
      <c r="Y244" s="246"/>
      <c r="Z244" s="246"/>
      <c r="AA244" s="246"/>
      <c r="AB244" s="246"/>
      <c r="AC244" s="246"/>
      <c r="AD244" s="246"/>
      <c r="AE244" s="246"/>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CE244" s="94"/>
    </row>
    <row r="245" spans="2:83" x14ac:dyDescent="0.15">
      <c r="B245" s="246" t="s">
        <v>605</v>
      </c>
      <c r="C245" s="246" t="s">
        <v>605</v>
      </c>
      <c r="D245" s="246"/>
      <c r="E245" s="246"/>
      <c r="F245" s="246"/>
      <c r="G245" s="246"/>
      <c r="H245" s="246"/>
      <c r="I245" s="246" t="s">
        <v>605</v>
      </c>
      <c r="J245" s="170"/>
      <c r="K245" s="170" t="s">
        <v>820</v>
      </c>
      <c r="L245" s="246"/>
      <c r="M245" s="246"/>
      <c r="N245" s="246"/>
      <c r="O245" s="246"/>
      <c r="P245" s="246"/>
      <c r="Q245" s="246"/>
      <c r="R245" s="246"/>
      <c r="S245" s="246"/>
      <c r="T245" s="246"/>
      <c r="U245" s="246"/>
      <c r="V245" s="246"/>
      <c r="W245" s="246"/>
      <c r="X245" s="246"/>
      <c r="Y245" s="246"/>
      <c r="Z245" s="246"/>
      <c r="AA245" s="246"/>
      <c r="AB245" s="246"/>
      <c r="AC245" s="246"/>
      <c r="AD245" s="246"/>
      <c r="AE245" s="246"/>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CE245" s="94"/>
    </row>
    <row r="246" spans="2:83" x14ac:dyDescent="0.15">
      <c r="B246" s="246" t="s">
        <v>605</v>
      </c>
      <c r="C246" s="246" t="s">
        <v>605</v>
      </c>
      <c r="D246" s="246"/>
      <c r="E246" s="246"/>
      <c r="F246" s="246"/>
      <c r="G246" s="246"/>
      <c r="H246" s="246"/>
      <c r="I246" s="246" t="s">
        <v>605</v>
      </c>
      <c r="J246" s="170"/>
      <c r="K246" s="170" t="s">
        <v>821</v>
      </c>
      <c r="L246" s="246"/>
      <c r="M246" s="246"/>
      <c r="N246" s="246"/>
      <c r="O246" s="246"/>
      <c r="P246" s="246"/>
      <c r="Q246" s="246"/>
      <c r="R246" s="246"/>
      <c r="S246" s="246"/>
      <c r="T246" s="246"/>
      <c r="U246" s="246"/>
      <c r="V246" s="246"/>
      <c r="W246" s="246"/>
      <c r="X246" s="246"/>
      <c r="Y246" s="246"/>
      <c r="Z246" s="246"/>
      <c r="AA246" s="246"/>
      <c r="AB246" s="246"/>
      <c r="AC246" s="246"/>
      <c r="AD246" s="246"/>
      <c r="AE246" s="246"/>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CE246" s="94"/>
    </row>
    <row r="247" spans="2:83" x14ac:dyDescent="0.15">
      <c r="B247" s="246"/>
      <c r="C247" s="246"/>
      <c r="D247" s="246"/>
      <c r="E247" s="246"/>
      <c r="F247" s="246"/>
      <c r="G247" s="246"/>
      <c r="H247" s="246"/>
      <c r="I247" s="246"/>
      <c r="J247" s="170"/>
      <c r="K247" s="170"/>
      <c r="L247" s="246"/>
      <c r="M247" s="246"/>
      <c r="N247" s="246"/>
      <c r="O247" s="246"/>
      <c r="P247" s="246"/>
      <c r="Q247" s="246"/>
      <c r="R247" s="246"/>
      <c r="S247" s="246"/>
      <c r="T247" s="246"/>
      <c r="U247" s="246"/>
      <c r="V247" s="246"/>
      <c r="W247" s="246"/>
      <c r="X247" s="246"/>
      <c r="Y247" s="246"/>
      <c r="Z247" s="246"/>
      <c r="AA247" s="246"/>
      <c r="AB247" s="246"/>
      <c r="AC247" s="246"/>
      <c r="AD247" s="246"/>
      <c r="AE247" s="246"/>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CE247" s="94"/>
    </row>
    <row r="248" spans="2:83" x14ac:dyDescent="0.15">
      <c r="B248" s="246"/>
      <c r="C248" s="246"/>
      <c r="D248" s="246"/>
      <c r="E248" s="246"/>
      <c r="F248" s="246"/>
      <c r="G248" s="246"/>
      <c r="H248" s="246"/>
      <c r="I248" s="246"/>
      <c r="J248" s="170"/>
      <c r="K248" s="170"/>
      <c r="L248" s="246"/>
      <c r="M248" s="246"/>
      <c r="N248" s="246"/>
      <c r="O248" s="246"/>
      <c r="P248" s="246"/>
      <c r="Q248" s="246"/>
      <c r="R248" s="246"/>
      <c r="S248" s="246"/>
      <c r="T248" s="246"/>
      <c r="U248" s="246"/>
      <c r="V248" s="246"/>
      <c r="W248" s="246"/>
      <c r="X248" s="246"/>
      <c r="Y248" s="246"/>
      <c r="Z248" s="246"/>
      <c r="AA248" s="246"/>
      <c r="AB248" s="246"/>
      <c r="AC248" s="246"/>
      <c r="AD248" s="246"/>
      <c r="AE248" s="246"/>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CE248" s="94"/>
    </row>
    <row r="249" spans="2:83" ht="12.75" x14ac:dyDescent="0.15">
      <c r="B249" s="119" t="s">
        <v>822</v>
      </c>
      <c r="C249" s="119"/>
      <c r="D249" s="246"/>
      <c r="E249" s="246"/>
      <c r="F249" s="246"/>
      <c r="G249" s="246"/>
      <c r="H249" s="246"/>
      <c r="I249" s="119" t="s">
        <v>204</v>
      </c>
      <c r="J249" s="170"/>
      <c r="K249" s="170"/>
      <c r="L249" s="246"/>
      <c r="M249" s="246"/>
      <c r="N249" s="246"/>
      <c r="O249" s="246"/>
      <c r="P249" s="246"/>
      <c r="Q249" s="246"/>
      <c r="R249" s="246"/>
      <c r="S249" s="246"/>
      <c r="T249" s="246"/>
      <c r="U249" s="246"/>
      <c r="V249" s="246"/>
      <c r="W249" s="246"/>
      <c r="X249" s="246"/>
      <c r="Y249" s="246"/>
      <c r="Z249" s="246"/>
      <c r="AA249" s="246"/>
      <c r="AB249" s="246"/>
      <c r="AC249" s="246"/>
      <c r="AD249" s="246"/>
      <c r="AE249" s="246"/>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CE249" s="94"/>
    </row>
    <row r="250" spans="2:83" x14ac:dyDescent="0.15">
      <c r="B250" s="246"/>
      <c r="C250" s="246"/>
      <c r="D250" s="246"/>
      <c r="E250" s="246"/>
      <c r="F250" s="246"/>
      <c r="G250" s="246"/>
      <c r="H250" s="246"/>
      <c r="I250" s="246"/>
      <c r="J250" s="170"/>
      <c r="K250" s="170"/>
      <c r="L250" s="246"/>
      <c r="M250" s="246"/>
      <c r="N250" s="246"/>
      <c r="O250" s="246"/>
      <c r="P250" s="246"/>
      <c r="Q250" s="246"/>
      <c r="R250" s="246"/>
      <c r="S250" s="246"/>
      <c r="T250" s="246"/>
      <c r="U250" s="246"/>
      <c r="V250" s="246"/>
      <c r="W250" s="246"/>
      <c r="X250" s="246"/>
      <c r="Y250" s="246"/>
      <c r="Z250" s="246"/>
      <c r="AA250" s="246"/>
      <c r="AB250" s="246"/>
      <c r="AC250" s="246"/>
      <c r="AD250" s="246"/>
      <c r="AE250" s="246"/>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CE250" s="94"/>
    </row>
    <row r="251" spans="2:83" x14ac:dyDescent="0.15">
      <c r="B251" s="171"/>
      <c r="C251" s="171" t="s">
        <v>823</v>
      </c>
      <c r="D251" s="246"/>
      <c r="E251" s="246"/>
      <c r="F251" s="246"/>
      <c r="G251" s="246"/>
      <c r="H251" s="246"/>
      <c r="I251" s="171" t="s">
        <v>824</v>
      </c>
      <c r="J251" s="170"/>
      <c r="K251" s="170"/>
      <c r="L251" s="246"/>
      <c r="M251" s="246"/>
      <c r="N251" s="246"/>
      <c r="O251" s="246"/>
      <c r="P251" s="246"/>
      <c r="Q251" s="246"/>
      <c r="R251" s="246"/>
      <c r="S251" s="246"/>
      <c r="T251" s="246"/>
      <c r="U251" s="246"/>
      <c r="V251" s="246"/>
      <c r="W251" s="246"/>
      <c r="X251" s="246"/>
      <c r="Y251" s="246"/>
      <c r="Z251" s="246"/>
      <c r="AA251" s="246"/>
      <c r="AB251" s="246"/>
      <c r="AC251" s="246"/>
      <c r="AD251" s="246"/>
      <c r="AE251" s="246"/>
      <c r="AF251" s="301" t="s">
        <v>953</v>
      </c>
      <c r="AG251" s="302"/>
      <c r="AH251" s="302"/>
      <c r="AI251" s="302"/>
      <c r="AJ251" s="302"/>
      <c r="AK251" s="302"/>
      <c r="AL251" s="302"/>
      <c r="AM251" s="302"/>
      <c r="AN251" s="302"/>
      <c r="AO251" s="302"/>
      <c r="AP251" s="302"/>
      <c r="AQ251" s="302"/>
      <c r="AR251" s="302"/>
      <c r="AS251" s="302"/>
      <c r="AT251" s="302"/>
      <c r="AU251" s="302"/>
      <c r="AV251" s="302"/>
      <c r="AW251" s="302"/>
      <c r="AX251" s="302"/>
      <c r="AY251" s="302"/>
      <c r="AZ251" s="302"/>
      <c r="BA251" s="302"/>
      <c r="BB251" s="302"/>
      <c r="BC251" s="302"/>
      <c r="BD251" s="302"/>
      <c r="BE251" s="302"/>
      <c r="CE251" s="94"/>
    </row>
    <row r="252" spans="2:83" x14ac:dyDescent="0.15">
      <c r="B252" s="246" t="s">
        <v>605</v>
      </c>
      <c r="C252" s="246" t="s">
        <v>605</v>
      </c>
      <c r="D252" s="246"/>
      <c r="E252" s="246"/>
      <c r="F252" s="246"/>
      <c r="G252" s="246"/>
      <c r="H252" s="246"/>
      <c r="I252" s="246" t="s">
        <v>605</v>
      </c>
      <c r="J252" s="170" t="s">
        <v>825</v>
      </c>
      <c r="K252" s="170"/>
      <c r="L252" s="246"/>
      <c r="M252" s="246"/>
      <c r="N252" s="246"/>
      <c r="O252" s="246"/>
      <c r="P252" s="246"/>
      <c r="Q252" s="246"/>
      <c r="R252" s="246"/>
      <c r="S252" s="246"/>
      <c r="T252" s="246"/>
      <c r="U252" s="246"/>
      <c r="V252" s="246"/>
      <c r="W252" s="246"/>
      <c r="X252" s="246"/>
      <c r="Y252" s="246"/>
      <c r="Z252" s="246"/>
      <c r="AA252" s="246"/>
      <c r="AB252" s="246"/>
      <c r="AC252" s="246"/>
      <c r="AD252" s="246"/>
      <c r="AE252" s="246"/>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CE252" s="94"/>
    </row>
    <row r="253" spans="2:83" x14ac:dyDescent="0.15">
      <c r="B253" s="246" t="s">
        <v>605</v>
      </c>
      <c r="C253" s="246" t="s">
        <v>605</v>
      </c>
      <c r="D253" s="246"/>
      <c r="E253" s="246"/>
      <c r="F253" s="246"/>
      <c r="G253" s="246"/>
      <c r="H253" s="246"/>
      <c r="I253" s="246" t="s">
        <v>605</v>
      </c>
      <c r="J253" s="170"/>
      <c r="K253" s="170" t="s">
        <v>826</v>
      </c>
      <c r="L253" s="246"/>
      <c r="M253" s="246"/>
      <c r="N253" s="246"/>
      <c r="O253" s="246"/>
      <c r="P253" s="246"/>
      <c r="Q253" s="246"/>
      <c r="R253" s="246"/>
      <c r="S253" s="246"/>
      <c r="T253" s="246"/>
      <c r="U253" s="246"/>
      <c r="V253" s="246"/>
      <c r="W253" s="246"/>
      <c r="X253" s="246"/>
      <c r="Y253" s="246"/>
      <c r="Z253" s="246"/>
      <c r="AA253" s="246"/>
      <c r="AB253" s="246"/>
      <c r="AC253" s="246"/>
      <c r="AD253" s="246"/>
      <c r="AE253" s="246"/>
      <c r="AF253" s="301" t="s">
        <v>954</v>
      </c>
      <c r="AG253" s="302"/>
      <c r="AH253" s="302"/>
      <c r="AI253" s="302"/>
      <c r="AJ253" s="302"/>
      <c r="AK253" s="302"/>
      <c r="AL253" s="302"/>
      <c r="AM253" s="302"/>
      <c r="AN253" s="302"/>
      <c r="AO253" s="302"/>
      <c r="AP253" s="302"/>
      <c r="AQ253" s="302"/>
      <c r="AR253" s="302"/>
      <c r="AS253" s="302"/>
      <c r="AT253" s="302"/>
      <c r="AU253" s="302"/>
      <c r="AV253" s="302"/>
      <c r="AW253" s="302"/>
      <c r="AX253" s="302"/>
      <c r="AY253" s="302"/>
      <c r="AZ253" s="302"/>
      <c r="BA253" s="302"/>
      <c r="BB253" s="302"/>
      <c r="BC253" s="302"/>
      <c r="BD253" s="302"/>
      <c r="BE253" s="302"/>
      <c r="CE253" s="94"/>
    </row>
    <row r="254" spans="2:83" x14ac:dyDescent="0.15">
      <c r="B254" s="246" t="s">
        <v>605</v>
      </c>
      <c r="C254" s="246" t="s">
        <v>605</v>
      </c>
      <c r="D254" s="246"/>
      <c r="E254" s="246"/>
      <c r="F254" s="246"/>
      <c r="G254" s="246"/>
      <c r="H254" s="246"/>
      <c r="I254" s="246" t="s">
        <v>605</v>
      </c>
      <c r="J254" s="170"/>
      <c r="K254" s="170" t="s">
        <v>827</v>
      </c>
      <c r="L254" s="246"/>
      <c r="M254" s="246"/>
      <c r="N254" s="246"/>
      <c r="O254" s="246"/>
      <c r="P254" s="246"/>
      <c r="Q254" s="246"/>
      <c r="R254" s="246"/>
      <c r="S254" s="246"/>
      <c r="T254" s="246"/>
      <c r="U254" s="246"/>
      <c r="V254" s="246"/>
      <c r="W254" s="246"/>
      <c r="X254" s="246"/>
      <c r="Y254" s="246"/>
      <c r="Z254" s="246"/>
      <c r="AA254" s="246"/>
      <c r="AB254" s="246"/>
      <c r="AC254" s="246"/>
      <c r="AD254" s="246"/>
      <c r="AE254" s="246"/>
      <c r="AF254" s="304"/>
      <c r="AG254" s="304"/>
      <c r="AH254" s="304"/>
      <c r="AI254" s="304"/>
      <c r="AJ254" s="304"/>
      <c r="AK254" s="304"/>
      <c r="AL254" s="304"/>
      <c r="AM254" s="304"/>
      <c r="AN254" s="304"/>
      <c r="AO254" s="304"/>
      <c r="AP254" s="304"/>
      <c r="AQ254" s="304"/>
      <c r="AR254" s="304"/>
      <c r="AS254" s="304"/>
      <c r="AT254" s="304"/>
      <c r="AU254" s="304"/>
      <c r="AV254" s="304"/>
      <c r="AW254" s="304"/>
      <c r="AX254" s="304"/>
      <c r="AY254" s="304"/>
      <c r="AZ254" s="304"/>
      <c r="BA254" s="304"/>
      <c r="BB254" s="304"/>
      <c r="BC254" s="304"/>
      <c r="BD254" s="304"/>
      <c r="BE254" s="304"/>
      <c r="CE254" s="94"/>
    </row>
    <row r="255" spans="2:83" x14ac:dyDescent="0.15">
      <c r="B255" s="246" t="s">
        <v>605</v>
      </c>
      <c r="C255" s="246" t="s">
        <v>605</v>
      </c>
      <c r="D255" s="246"/>
      <c r="E255" s="246"/>
      <c r="F255" s="246"/>
      <c r="G255" s="246"/>
      <c r="H255" s="246"/>
      <c r="I255" s="246" t="s">
        <v>605</v>
      </c>
      <c r="J255" s="170"/>
      <c r="K255" s="170" t="s">
        <v>828</v>
      </c>
      <c r="L255" s="246"/>
      <c r="M255" s="246"/>
      <c r="N255" s="246"/>
      <c r="O255" s="246"/>
      <c r="P255" s="246"/>
      <c r="Q255" s="246"/>
      <c r="R255" s="246"/>
      <c r="S255" s="246"/>
      <c r="T255" s="246"/>
      <c r="U255" s="246"/>
      <c r="V255" s="246"/>
      <c r="W255" s="246"/>
      <c r="X255" s="246"/>
      <c r="Y255" s="246"/>
      <c r="Z255" s="246"/>
      <c r="AA255" s="246"/>
      <c r="AB255" s="246"/>
      <c r="AC255" s="246"/>
      <c r="AD255" s="246"/>
      <c r="AE255" s="246"/>
      <c r="AF255" s="303" t="s">
        <v>955</v>
      </c>
      <c r="AG255" s="270"/>
      <c r="AH255" s="270"/>
      <c r="AI255" s="270"/>
      <c r="AJ255" s="270"/>
      <c r="AK255" s="270"/>
      <c r="AL255" s="270"/>
      <c r="AM255" s="270"/>
      <c r="AN255" s="270"/>
      <c r="AO255" s="270"/>
      <c r="AP255" s="270"/>
      <c r="AQ255" s="270"/>
      <c r="AR255" s="270"/>
      <c r="AS255" s="270"/>
      <c r="AT255" s="270"/>
      <c r="AU255" s="270"/>
      <c r="AV255" s="270"/>
      <c r="AW255" s="270"/>
      <c r="AX255" s="270"/>
      <c r="AY255" s="270"/>
      <c r="AZ255" s="270"/>
      <c r="BA255" s="270"/>
      <c r="BB255" s="270"/>
      <c r="BC255" s="270"/>
      <c r="BD255" s="270"/>
      <c r="BE255" s="270"/>
      <c r="CE255" s="94"/>
    </row>
    <row r="256" spans="2:83" x14ac:dyDescent="0.15">
      <c r="B256" s="246"/>
      <c r="C256" s="246"/>
      <c r="D256" s="246"/>
      <c r="E256" s="246"/>
      <c r="F256" s="246"/>
      <c r="G256" s="246"/>
      <c r="H256" s="246"/>
      <c r="I256" s="246"/>
      <c r="J256" s="170"/>
      <c r="K256" s="170"/>
      <c r="L256" s="246"/>
      <c r="M256" s="246"/>
      <c r="N256" s="246"/>
      <c r="O256" s="246"/>
      <c r="P256" s="246"/>
      <c r="Q256" s="246"/>
      <c r="R256" s="246"/>
      <c r="S256" s="246"/>
      <c r="T256" s="246"/>
      <c r="U256" s="246"/>
      <c r="V256" s="246"/>
      <c r="W256" s="246"/>
      <c r="X256" s="246"/>
      <c r="Y256" s="246"/>
      <c r="Z256" s="246"/>
      <c r="AA256" s="246"/>
      <c r="AB256" s="246"/>
      <c r="AC256" s="246"/>
      <c r="AD256" s="246"/>
      <c r="AE256" s="246"/>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CE256" s="94"/>
    </row>
    <row r="257" spans="2:83" x14ac:dyDescent="0.15">
      <c r="B257" s="171"/>
      <c r="C257" s="171" t="s">
        <v>829</v>
      </c>
      <c r="D257" s="246"/>
      <c r="E257" s="246"/>
      <c r="F257" s="246"/>
      <c r="G257" s="246"/>
      <c r="H257" s="246"/>
      <c r="I257" s="171" t="s">
        <v>246</v>
      </c>
      <c r="J257" s="170"/>
      <c r="K257" s="170"/>
      <c r="L257" s="246"/>
      <c r="M257" s="246"/>
      <c r="N257" s="246"/>
      <c r="O257" s="246"/>
      <c r="P257" s="246"/>
      <c r="Q257" s="246"/>
      <c r="R257" s="246"/>
      <c r="S257" s="246"/>
      <c r="T257" s="246"/>
      <c r="U257" s="246"/>
      <c r="V257" s="246"/>
      <c r="W257" s="246"/>
      <c r="X257" s="246"/>
      <c r="Y257" s="246"/>
      <c r="Z257" s="246"/>
      <c r="AA257" s="246"/>
      <c r="AB257" s="246"/>
      <c r="AC257" s="246"/>
      <c r="AD257" s="246"/>
      <c r="AE257" s="246"/>
      <c r="AF257" s="301" t="s">
        <v>954</v>
      </c>
      <c r="AG257" s="302"/>
      <c r="AH257" s="302"/>
      <c r="AI257" s="302"/>
      <c r="AJ257" s="302"/>
      <c r="AK257" s="302"/>
      <c r="AL257" s="302"/>
      <c r="AM257" s="302"/>
      <c r="AN257" s="302"/>
      <c r="AO257" s="302"/>
      <c r="AP257" s="302"/>
      <c r="AQ257" s="302"/>
      <c r="AR257" s="302"/>
      <c r="AS257" s="302"/>
      <c r="AT257" s="302"/>
      <c r="AU257" s="302"/>
      <c r="AV257" s="302"/>
      <c r="AW257" s="302"/>
      <c r="AX257" s="302"/>
      <c r="AY257" s="302"/>
      <c r="AZ257" s="302"/>
      <c r="BA257" s="302"/>
      <c r="BB257" s="302"/>
      <c r="BC257" s="302"/>
      <c r="BD257" s="302"/>
      <c r="BE257" s="302"/>
      <c r="CE257" s="94"/>
    </row>
    <row r="258" spans="2:83" x14ac:dyDescent="0.15">
      <c r="B258" s="246" t="s">
        <v>605</v>
      </c>
      <c r="C258" s="246" t="s">
        <v>605</v>
      </c>
      <c r="D258" s="246"/>
      <c r="E258" s="246"/>
      <c r="F258" s="246"/>
      <c r="G258" s="246"/>
      <c r="H258" s="246"/>
      <c r="I258" s="246" t="s">
        <v>605</v>
      </c>
      <c r="J258" s="170" t="s">
        <v>830</v>
      </c>
      <c r="K258" s="170"/>
      <c r="L258" s="246"/>
      <c r="M258" s="246"/>
      <c r="N258" s="246"/>
      <c r="O258" s="246"/>
      <c r="P258" s="246"/>
      <c r="Q258" s="246"/>
      <c r="R258" s="246"/>
      <c r="S258" s="246"/>
      <c r="T258" s="246"/>
      <c r="U258" s="246"/>
      <c r="V258" s="246"/>
      <c r="W258" s="246"/>
      <c r="X258" s="246"/>
      <c r="Y258" s="246"/>
      <c r="Z258" s="246"/>
      <c r="AA258" s="246"/>
      <c r="AB258" s="246"/>
      <c r="AC258" s="246"/>
      <c r="AD258" s="246"/>
      <c r="AE258" s="246"/>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CE258" s="94"/>
    </row>
    <row r="259" spans="2:83" x14ac:dyDescent="0.15">
      <c r="B259" s="246"/>
      <c r="C259" s="246"/>
      <c r="D259" s="246"/>
      <c r="E259" s="246"/>
      <c r="F259" s="246"/>
      <c r="G259" s="246"/>
      <c r="H259" s="246"/>
      <c r="I259" s="246"/>
      <c r="J259" s="170"/>
      <c r="K259" s="170"/>
      <c r="L259" s="246"/>
      <c r="M259" s="246"/>
      <c r="N259" s="246"/>
      <c r="O259" s="246"/>
      <c r="P259" s="246"/>
      <c r="Q259" s="246"/>
      <c r="R259" s="246"/>
      <c r="S259" s="246"/>
      <c r="T259" s="246"/>
      <c r="U259" s="246"/>
      <c r="V259" s="246"/>
      <c r="W259" s="246"/>
      <c r="X259" s="246"/>
      <c r="Y259" s="246"/>
      <c r="Z259" s="246"/>
      <c r="AA259" s="246"/>
      <c r="AB259" s="246"/>
      <c r="AC259" s="246"/>
      <c r="AD259" s="246"/>
      <c r="AE259" s="246"/>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CE259" s="94"/>
    </row>
    <row r="260" spans="2:83" x14ac:dyDescent="0.15">
      <c r="B260" s="171"/>
      <c r="C260" s="171" t="s">
        <v>831</v>
      </c>
      <c r="D260" s="246"/>
      <c r="E260" s="246"/>
      <c r="F260" s="246"/>
      <c r="G260" s="246"/>
      <c r="H260" s="246"/>
      <c r="I260" s="171" t="s">
        <v>251</v>
      </c>
      <c r="J260" s="170"/>
      <c r="K260" s="170"/>
      <c r="L260" s="246"/>
      <c r="M260" s="246"/>
      <c r="N260" s="246"/>
      <c r="O260" s="246"/>
      <c r="P260" s="246"/>
      <c r="Q260" s="246"/>
      <c r="R260" s="246"/>
      <c r="S260" s="246"/>
      <c r="T260" s="246"/>
      <c r="U260" s="246"/>
      <c r="V260" s="246"/>
      <c r="W260" s="246"/>
      <c r="X260" s="246"/>
      <c r="Y260" s="246"/>
      <c r="Z260" s="246"/>
      <c r="AA260" s="246"/>
      <c r="AB260" s="246"/>
      <c r="AC260" s="246"/>
      <c r="AD260" s="246"/>
      <c r="AE260" s="246"/>
      <c r="CE260" s="94"/>
    </row>
    <row r="261" spans="2:83" x14ac:dyDescent="0.15">
      <c r="B261" s="246" t="s">
        <v>605</v>
      </c>
      <c r="C261" s="246" t="s">
        <v>605</v>
      </c>
      <c r="D261" s="246"/>
      <c r="E261" s="246"/>
      <c r="F261" s="246"/>
      <c r="G261" s="246"/>
      <c r="H261" s="246"/>
      <c r="I261" s="246" t="s">
        <v>605</v>
      </c>
      <c r="J261" s="170" t="s">
        <v>832</v>
      </c>
      <c r="K261" s="170"/>
      <c r="L261" s="246"/>
      <c r="M261" s="246"/>
      <c r="N261" s="246"/>
      <c r="O261" s="246"/>
      <c r="P261" s="246"/>
      <c r="Q261" s="246"/>
      <c r="R261" s="246"/>
      <c r="S261" s="246"/>
      <c r="T261" s="246"/>
      <c r="U261" s="246"/>
      <c r="V261" s="246"/>
      <c r="W261" s="246"/>
      <c r="X261" s="246"/>
      <c r="Y261" s="246"/>
      <c r="Z261" s="246"/>
      <c r="AA261" s="246"/>
      <c r="AB261" s="246"/>
      <c r="AC261" s="246"/>
      <c r="AD261" s="246"/>
      <c r="AE261" s="246"/>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CE261" s="94"/>
    </row>
    <row r="262" spans="2:83" x14ac:dyDescent="0.15">
      <c r="B262" s="246"/>
      <c r="C262" s="246"/>
      <c r="D262" s="246"/>
      <c r="E262" s="246"/>
      <c r="F262" s="246"/>
      <c r="G262" s="246"/>
      <c r="H262" s="246"/>
      <c r="I262" s="246"/>
      <c r="J262" s="170"/>
      <c r="K262" s="170"/>
      <c r="L262" s="246"/>
      <c r="M262" s="246"/>
      <c r="N262" s="246"/>
      <c r="O262" s="246"/>
      <c r="P262" s="246"/>
      <c r="Q262" s="246"/>
      <c r="R262" s="246"/>
      <c r="S262" s="246"/>
      <c r="T262" s="246"/>
      <c r="U262" s="246"/>
      <c r="V262" s="246"/>
      <c r="W262" s="246"/>
      <c r="X262" s="246"/>
      <c r="Y262" s="246"/>
      <c r="Z262" s="246"/>
      <c r="AA262" s="246"/>
      <c r="AB262" s="246"/>
      <c r="AC262" s="246"/>
      <c r="AD262" s="246"/>
      <c r="AE262" s="246"/>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CE262" s="94"/>
    </row>
    <row r="263" spans="2:83" x14ac:dyDescent="0.15">
      <c r="B263" s="171"/>
      <c r="C263" s="171" t="s">
        <v>833</v>
      </c>
      <c r="D263" s="246"/>
      <c r="E263" s="246"/>
      <c r="F263" s="246"/>
      <c r="G263" s="246"/>
      <c r="H263" s="246"/>
      <c r="I263" s="171" t="s">
        <v>834</v>
      </c>
      <c r="J263" s="170"/>
      <c r="K263" s="170"/>
      <c r="L263" s="246"/>
      <c r="M263" s="246"/>
      <c r="N263" s="246"/>
      <c r="O263" s="246"/>
      <c r="P263" s="246"/>
      <c r="Q263" s="246"/>
      <c r="R263" s="246"/>
      <c r="S263" s="246"/>
      <c r="T263" s="246"/>
      <c r="U263" s="246"/>
      <c r="V263" s="246"/>
      <c r="W263" s="246"/>
      <c r="X263" s="246"/>
      <c r="Y263" s="246"/>
      <c r="Z263" s="246"/>
      <c r="AA263" s="246"/>
      <c r="AB263" s="246"/>
      <c r="AC263" s="246"/>
      <c r="AD263" s="246"/>
      <c r="AE263" s="246"/>
      <c r="AF263" s="303" t="s">
        <v>955</v>
      </c>
      <c r="AG263" s="270"/>
      <c r="AH263" s="270"/>
      <c r="AI263" s="270"/>
      <c r="AJ263" s="270"/>
      <c r="AK263" s="270"/>
      <c r="AL263" s="270"/>
      <c r="AM263" s="270"/>
      <c r="AN263" s="270"/>
      <c r="AO263" s="270"/>
      <c r="AP263" s="270"/>
      <c r="AQ263" s="270"/>
      <c r="AR263" s="270"/>
      <c r="AS263" s="270"/>
      <c r="AT263" s="270"/>
      <c r="AU263" s="270"/>
      <c r="AV263" s="270"/>
      <c r="AW263" s="270"/>
      <c r="AX263" s="270"/>
      <c r="AY263" s="270"/>
      <c r="AZ263" s="270"/>
      <c r="BA263" s="270"/>
      <c r="BB263" s="270"/>
      <c r="BC263" s="270"/>
      <c r="BD263" s="270"/>
      <c r="BE263" s="270"/>
      <c r="CE263" s="94"/>
    </row>
    <row r="264" spans="2:83" x14ac:dyDescent="0.15">
      <c r="B264" s="246" t="s">
        <v>605</v>
      </c>
      <c r="C264" s="246" t="s">
        <v>605</v>
      </c>
      <c r="D264" s="246"/>
      <c r="E264" s="246"/>
      <c r="F264" s="246"/>
      <c r="G264" s="246"/>
      <c r="H264" s="246"/>
      <c r="I264" s="246" t="s">
        <v>605</v>
      </c>
      <c r="J264" s="170" t="s">
        <v>835</v>
      </c>
      <c r="K264" s="170"/>
      <c r="L264" s="246"/>
      <c r="M264" s="246"/>
      <c r="N264" s="246"/>
      <c r="O264" s="246"/>
      <c r="P264" s="246"/>
      <c r="Q264" s="246"/>
      <c r="R264" s="246"/>
      <c r="S264" s="246"/>
      <c r="T264" s="246"/>
      <c r="U264" s="246"/>
      <c r="V264" s="246"/>
      <c r="W264" s="246"/>
      <c r="X264" s="246"/>
      <c r="Y264" s="246"/>
      <c r="Z264" s="246"/>
      <c r="AA264" s="246"/>
      <c r="AB264" s="246"/>
      <c r="AC264" s="246"/>
      <c r="AD264" s="246"/>
      <c r="AE264" s="246"/>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CE264" s="94"/>
    </row>
    <row r="265" spans="2:83" x14ac:dyDescent="0.15">
      <c r="B265" s="246"/>
      <c r="C265" s="246"/>
      <c r="D265" s="246"/>
      <c r="E265" s="246"/>
      <c r="F265" s="246"/>
      <c r="G265" s="246"/>
      <c r="H265" s="246"/>
      <c r="I265" s="246"/>
      <c r="J265" s="170"/>
      <c r="K265" s="170"/>
      <c r="L265" s="246"/>
      <c r="M265" s="246"/>
      <c r="N265" s="246"/>
      <c r="O265" s="246"/>
      <c r="P265" s="246"/>
      <c r="Q265" s="246"/>
      <c r="R265" s="246"/>
      <c r="S265" s="246"/>
      <c r="T265" s="246"/>
      <c r="U265" s="246"/>
      <c r="V265" s="246"/>
      <c r="W265" s="246"/>
      <c r="X265" s="246"/>
      <c r="Y265" s="246"/>
      <c r="Z265" s="246"/>
      <c r="AA265" s="246"/>
      <c r="AB265" s="246"/>
      <c r="AC265" s="246"/>
      <c r="AD265" s="246"/>
      <c r="AE265" s="246"/>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CE265" s="94"/>
    </row>
    <row r="266" spans="2:83" x14ac:dyDescent="0.15">
      <c r="B266" s="171"/>
      <c r="C266" s="171" t="s">
        <v>836</v>
      </c>
      <c r="D266" s="246"/>
      <c r="E266" s="246"/>
      <c r="F266" s="246"/>
      <c r="G266" s="246"/>
      <c r="H266" s="246"/>
      <c r="I266" s="171" t="s">
        <v>837</v>
      </c>
      <c r="J266" s="170"/>
      <c r="K266" s="170"/>
      <c r="L266" s="246"/>
      <c r="M266" s="246"/>
      <c r="N266" s="246"/>
      <c r="O266" s="246"/>
      <c r="P266" s="246"/>
      <c r="Q266" s="246"/>
      <c r="R266" s="246"/>
      <c r="S266" s="246"/>
      <c r="T266" s="246"/>
      <c r="U266" s="246"/>
      <c r="V266" s="246"/>
      <c r="W266" s="246"/>
      <c r="X266" s="246"/>
      <c r="Y266" s="246"/>
      <c r="Z266" s="246"/>
      <c r="AA266" s="246"/>
      <c r="AB266" s="246"/>
      <c r="AC266" s="246"/>
      <c r="AD266" s="246"/>
      <c r="AE266" s="246"/>
      <c r="AF266" s="301" t="s">
        <v>956</v>
      </c>
      <c r="AG266" s="302"/>
      <c r="AH266" s="302"/>
      <c r="AI266" s="302"/>
      <c r="AJ266" s="302"/>
      <c r="AK266" s="302"/>
      <c r="AL266" s="302"/>
      <c r="AM266" s="302"/>
      <c r="AN266" s="302"/>
      <c r="AO266" s="302"/>
      <c r="AP266" s="302"/>
      <c r="AQ266" s="302"/>
      <c r="AR266" s="302"/>
      <c r="AS266" s="302"/>
      <c r="AT266" s="302"/>
      <c r="AU266" s="302"/>
      <c r="AV266" s="302"/>
      <c r="AW266" s="302"/>
      <c r="AX266" s="302"/>
      <c r="AY266" s="302"/>
      <c r="AZ266" s="302"/>
      <c r="BA266" s="302"/>
      <c r="BB266" s="302"/>
      <c r="BC266" s="302"/>
      <c r="BD266" s="302"/>
      <c r="BE266" s="302"/>
      <c r="CE266" s="94"/>
    </row>
    <row r="267" spans="2:83" x14ac:dyDescent="0.15">
      <c r="B267" s="246" t="s">
        <v>605</v>
      </c>
      <c r="C267" s="246" t="s">
        <v>605</v>
      </c>
      <c r="D267" s="246"/>
      <c r="E267" s="246"/>
      <c r="F267" s="246"/>
      <c r="G267" s="246"/>
      <c r="H267" s="246"/>
      <c r="I267" s="246" t="s">
        <v>605</v>
      </c>
      <c r="J267" s="170" t="s">
        <v>838</v>
      </c>
      <c r="K267" s="170"/>
      <c r="L267" s="246"/>
      <c r="M267" s="246"/>
      <c r="N267" s="246"/>
      <c r="O267" s="246"/>
      <c r="P267" s="246"/>
      <c r="Q267" s="246"/>
      <c r="R267" s="246"/>
      <c r="S267" s="246"/>
      <c r="T267" s="246"/>
      <c r="U267" s="246"/>
      <c r="V267" s="246"/>
      <c r="W267" s="246"/>
      <c r="X267" s="246"/>
      <c r="Y267" s="246"/>
      <c r="Z267" s="246"/>
      <c r="AA267" s="246"/>
      <c r="AB267" s="246"/>
      <c r="AC267" s="246"/>
      <c r="AD267" s="246"/>
      <c r="AE267" s="246"/>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CE267" s="94"/>
    </row>
    <row r="268" spans="2:83" x14ac:dyDescent="0.15">
      <c r="B268" s="246"/>
      <c r="C268" s="246"/>
      <c r="D268" s="246"/>
      <c r="E268" s="246"/>
      <c r="F268" s="246"/>
      <c r="G268" s="246"/>
      <c r="H268" s="246"/>
      <c r="I268" s="246"/>
      <c r="J268" s="170"/>
      <c r="K268" s="170"/>
      <c r="L268" s="246"/>
      <c r="M268" s="246"/>
      <c r="N268" s="246"/>
      <c r="O268" s="246"/>
      <c r="P268" s="246"/>
      <c r="Q268" s="246"/>
      <c r="R268" s="246"/>
      <c r="S268" s="246"/>
      <c r="T268" s="246"/>
      <c r="U268" s="246"/>
      <c r="V268" s="246"/>
      <c r="W268" s="246"/>
      <c r="X268" s="246"/>
      <c r="Y268" s="246"/>
      <c r="Z268" s="246"/>
      <c r="AA268" s="246"/>
      <c r="AB268" s="246"/>
      <c r="AC268" s="246"/>
      <c r="AD268" s="246"/>
      <c r="AE268" s="246"/>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CE268" s="94"/>
    </row>
    <row r="269" spans="2:83" x14ac:dyDescent="0.15">
      <c r="B269" s="171"/>
      <c r="C269" s="171" t="s">
        <v>839</v>
      </c>
      <c r="D269" s="246"/>
      <c r="E269" s="246"/>
      <c r="F269" s="246"/>
      <c r="G269" s="246"/>
      <c r="H269" s="246"/>
      <c r="I269" s="171" t="s">
        <v>840</v>
      </c>
      <c r="J269" s="170"/>
      <c r="K269" s="170"/>
      <c r="L269" s="246"/>
      <c r="M269" s="246"/>
      <c r="N269" s="246"/>
      <c r="O269" s="246"/>
      <c r="P269" s="246"/>
      <c r="Q269" s="246"/>
      <c r="R269" s="246"/>
      <c r="S269" s="246"/>
      <c r="T269" s="246"/>
      <c r="U269" s="246"/>
      <c r="V269" s="246"/>
      <c r="W269" s="246"/>
      <c r="X269" s="246"/>
      <c r="Y269" s="246"/>
      <c r="Z269" s="246"/>
      <c r="AA269" s="246"/>
      <c r="AB269" s="246"/>
      <c r="AC269" s="246"/>
      <c r="AD269" s="246"/>
      <c r="AE269" s="246"/>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CE269" s="94"/>
    </row>
    <row r="270" spans="2:83" x14ac:dyDescent="0.15">
      <c r="B270" s="246" t="s">
        <v>605</v>
      </c>
      <c r="C270" s="246" t="s">
        <v>605</v>
      </c>
      <c r="D270" s="246"/>
      <c r="E270" s="246"/>
      <c r="F270" s="246"/>
      <c r="G270" s="246"/>
      <c r="H270" s="246"/>
      <c r="I270" s="246" t="s">
        <v>605</v>
      </c>
      <c r="J270" s="170" t="s">
        <v>841</v>
      </c>
      <c r="K270" s="170"/>
      <c r="L270" s="246"/>
      <c r="M270" s="246"/>
      <c r="N270" s="246"/>
      <c r="O270" s="246"/>
      <c r="P270" s="246"/>
      <c r="Q270" s="246"/>
      <c r="R270" s="246"/>
      <c r="S270" s="246"/>
      <c r="T270" s="246"/>
      <c r="U270" s="246"/>
      <c r="V270" s="246"/>
      <c r="W270" s="246"/>
      <c r="X270" s="246"/>
      <c r="Y270" s="246"/>
      <c r="Z270" s="246"/>
      <c r="AA270" s="246"/>
      <c r="AB270" s="246"/>
      <c r="AC270" s="246"/>
      <c r="AD270" s="246"/>
      <c r="AE270" s="246"/>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CE270" s="94"/>
    </row>
    <row r="271" spans="2:83" x14ac:dyDescent="0.15">
      <c r="B271" s="246"/>
      <c r="C271" s="246"/>
      <c r="D271" s="246"/>
      <c r="E271" s="246"/>
      <c r="F271" s="246"/>
      <c r="G271" s="246"/>
      <c r="H271" s="246"/>
      <c r="I271" s="246"/>
      <c r="J271" s="170"/>
      <c r="K271" s="170"/>
      <c r="L271" s="246"/>
      <c r="M271" s="246"/>
      <c r="N271" s="246"/>
      <c r="O271" s="246"/>
      <c r="P271" s="246"/>
      <c r="Q271" s="246"/>
      <c r="R271" s="246"/>
      <c r="S271" s="246"/>
      <c r="T271" s="246"/>
      <c r="U271" s="246"/>
      <c r="V271" s="246"/>
      <c r="W271" s="246"/>
      <c r="X271" s="246"/>
      <c r="Y271" s="246"/>
      <c r="Z271" s="246"/>
      <c r="AA271" s="246"/>
      <c r="AB271" s="246"/>
      <c r="AC271" s="246"/>
      <c r="AD271" s="246"/>
      <c r="AE271" s="246"/>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CE271" s="94"/>
    </row>
    <row r="272" spans="2:83" x14ac:dyDescent="0.15">
      <c r="B272" s="171"/>
      <c r="C272" s="171" t="s">
        <v>842</v>
      </c>
      <c r="D272" s="246"/>
      <c r="E272" s="246"/>
      <c r="F272" s="246"/>
      <c r="G272" s="246"/>
      <c r="H272" s="246"/>
      <c r="I272" s="171" t="s">
        <v>843</v>
      </c>
      <c r="J272" s="170"/>
      <c r="K272" s="170"/>
      <c r="L272" s="246"/>
      <c r="M272" s="246"/>
      <c r="N272" s="246"/>
      <c r="O272" s="246"/>
      <c r="P272" s="246"/>
      <c r="Q272" s="246"/>
      <c r="R272" s="246"/>
      <c r="S272" s="246"/>
      <c r="T272" s="246"/>
      <c r="U272" s="246"/>
      <c r="V272" s="246"/>
      <c r="W272" s="246"/>
      <c r="X272" s="246"/>
      <c r="Y272" s="246"/>
      <c r="Z272" s="246"/>
      <c r="AA272" s="246"/>
      <c r="AB272" s="246"/>
      <c r="AC272" s="246"/>
      <c r="AD272" s="246"/>
      <c r="AE272" s="246"/>
      <c r="AF272" s="301" t="s">
        <v>957</v>
      </c>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CE272" s="94"/>
    </row>
    <row r="273" spans="2:83" x14ac:dyDescent="0.15">
      <c r="B273" s="246" t="s">
        <v>605</v>
      </c>
      <c r="C273" s="246" t="s">
        <v>605</v>
      </c>
      <c r="D273" s="246"/>
      <c r="E273" s="246"/>
      <c r="F273" s="246"/>
      <c r="G273" s="246"/>
      <c r="H273" s="246"/>
      <c r="I273" s="246" t="s">
        <v>605</v>
      </c>
      <c r="J273" s="170" t="s">
        <v>844</v>
      </c>
      <c r="K273" s="170"/>
      <c r="L273" s="246"/>
      <c r="M273" s="246"/>
      <c r="N273" s="246"/>
      <c r="O273" s="246"/>
      <c r="P273" s="246"/>
      <c r="Q273" s="246"/>
      <c r="R273" s="246"/>
      <c r="S273" s="246"/>
      <c r="T273" s="246"/>
      <c r="U273" s="246"/>
      <c r="V273" s="246"/>
      <c r="W273" s="246"/>
      <c r="X273" s="246"/>
      <c r="Y273" s="246"/>
      <c r="Z273" s="246"/>
      <c r="AA273" s="246"/>
      <c r="AB273" s="246"/>
      <c r="AC273" s="246"/>
      <c r="AD273" s="246"/>
      <c r="AE273" s="246"/>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CE273" s="94"/>
    </row>
    <row r="274" spans="2:83" x14ac:dyDescent="0.15">
      <c r="B274" s="246"/>
      <c r="C274" s="246"/>
      <c r="D274" s="246"/>
      <c r="E274" s="246"/>
      <c r="F274" s="246"/>
      <c r="G274" s="246"/>
      <c r="H274" s="246"/>
      <c r="I274" s="246"/>
      <c r="J274" s="170"/>
      <c r="K274" s="170"/>
      <c r="L274" s="246"/>
      <c r="M274" s="246"/>
      <c r="N274" s="246"/>
      <c r="O274" s="246"/>
      <c r="P274" s="246"/>
      <c r="Q274" s="246"/>
      <c r="R274" s="246"/>
      <c r="S274" s="246"/>
      <c r="T274" s="246"/>
      <c r="U274" s="246"/>
      <c r="V274" s="246"/>
      <c r="W274" s="246"/>
      <c r="X274" s="246"/>
      <c r="Y274" s="246"/>
      <c r="Z274" s="246"/>
      <c r="AA274" s="246"/>
      <c r="AB274" s="246"/>
      <c r="AC274" s="246"/>
      <c r="AD274" s="246"/>
      <c r="AE274" s="246"/>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CE274" s="94"/>
    </row>
    <row r="275" spans="2:83" x14ac:dyDescent="0.15">
      <c r="B275" s="171"/>
      <c r="C275" s="171" t="s">
        <v>845</v>
      </c>
      <c r="D275" s="246"/>
      <c r="E275" s="246"/>
      <c r="F275" s="246"/>
      <c r="G275" s="246"/>
      <c r="H275" s="246"/>
      <c r="I275" s="171" t="s">
        <v>846</v>
      </c>
      <c r="J275" s="170"/>
      <c r="K275" s="170"/>
      <c r="L275" s="246"/>
      <c r="M275" s="246"/>
      <c r="N275" s="246"/>
      <c r="O275" s="246"/>
      <c r="P275" s="246"/>
      <c r="Q275" s="246"/>
      <c r="R275" s="246"/>
      <c r="S275" s="246"/>
      <c r="T275" s="246"/>
      <c r="U275" s="246"/>
      <c r="V275" s="246"/>
      <c r="W275" s="246"/>
      <c r="X275" s="246"/>
      <c r="Y275" s="246"/>
      <c r="Z275" s="246"/>
      <c r="AA275" s="246"/>
      <c r="AB275" s="246"/>
      <c r="AC275" s="246"/>
      <c r="AD275" s="246"/>
      <c r="AE275" s="246"/>
      <c r="AF275" s="301" t="s">
        <v>958</v>
      </c>
      <c r="AG275" s="302"/>
      <c r="AH275" s="302"/>
      <c r="AI275" s="302"/>
      <c r="AJ275" s="302"/>
      <c r="AK275" s="302"/>
      <c r="AL275" s="302"/>
      <c r="AM275" s="302"/>
      <c r="AN275" s="302"/>
      <c r="AO275" s="302"/>
      <c r="AP275" s="302"/>
      <c r="AQ275" s="302"/>
      <c r="AR275" s="302"/>
      <c r="AS275" s="302"/>
      <c r="AT275" s="302"/>
      <c r="AU275" s="302"/>
      <c r="AV275" s="302"/>
      <c r="AW275" s="302"/>
      <c r="AX275" s="302"/>
      <c r="AY275" s="302"/>
      <c r="AZ275" s="302"/>
      <c r="BA275" s="302"/>
      <c r="BB275" s="302"/>
      <c r="BC275" s="302"/>
      <c r="BD275" s="302"/>
      <c r="BE275" s="302"/>
      <c r="CE275" s="94"/>
    </row>
    <row r="276" spans="2:83" x14ac:dyDescent="0.15">
      <c r="B276" s="246" t="s">
        <v>605</v>
      </c>
      <c r="C276" s="246" t="s">
        <v>605</v>
      </c>
      <c r="D276" s="246"/>
      <c r="E276" s="246"/>
      <c r="F276" s="246"/>
      <c r="G276" s="246"/>
      <c r="H276" s="246"/>
      <c r="I276" s="246" t="s">
        <v>605</v>
      </c>
      <c r="J276" s="170" t="s">
        <v>847</v>
      </c>
      <c r="K276" s="170"/>
      <c r="L276" s="246"/>
      <c r="M276" s="246"/>
      <c r="N276" s="246"/>
      <c r="O276" s="246"/>
      <c r="P276" s="246"/>
      <c r="Q276" s="246"/>
      <c r="R276" s="246"/>
      <c r="S276" s="246"/>
      <c r="T276" s="246"/>
      <c r="U276" s="246"/>
      <c r="V276" s="246"/>
      <c r="W276" s="246"/>
      <c r="X276" s="246"/>
      <c r="Y276" s="246"/>
      <c r="Z276" s="246"/>
      <c r="AA276" s="246"/>
      <c r="AB276" s="246"/>
      <c r="AC276" s="246"/>
      <c r="AD276" s="246"/>
      <c r="AE276" s="246"/>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CE276" s="94"/>
    </row>
    <row r="277" spans="2:83" x14ac:dyDescent="0.15">
      <c r="B277" s="246"/>
      <c r="C277" s="246"/>
      <c r="D277" s="246"/>
      <c r="E277" s="246"/>
      <c r="F277" s="246"/>
      <c r="G277" s="246"/>
      <c r="H277" s="246"/>
      <c r="I277" s="246"/>
      <c r="J277" s="170"/>
      <c r="K277" s="170"/>
      <c r="L277" s="246"/>
      <c r="M277" s="246"/>
      <c r="N277" s="246"/>
      <c r="O277" s="246"/>
      <c r="P277" s="246"/>
      <c r="Q277" s="246"/>
      <c r="R277" s="246"/>
      <c r="S277" s="246"/>
      <c r="T277" s="246"/>
      <c r="U277" s="246"/>
      <c r="V277" s="246"/>
      <c r="W277" s="246"/>
      <c r="X277" s="246"/>
      <c r="Y277" s="246"/>
      <c r="Z277" s="246"/>
      <c r="AA277" s="246"/>
      <c r="AB277" s="246"/>
      <c r="AC277" s="246"/>
      <c r="AD277" s="246"/>
      <c r="AE277" s="246"/>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CE277" s="94"/>
    </row>
    <row r="278" spans="2:83" x14ac:dyDescent="0.15">
      <c r="B278" s="171"/>
      <c r="C278" s="171" t="s">
        <v>848</v>
      </c>
      <c r="D278" s="246"/>
      <c r="E278" s="246"/>
      <c r="F278" s="246"/>
      <c r="G278" s="246"/>
      <c r="H278" s="246"/>
      <c r="I278" s="171" t="s">
        <v>849</v>
      </c>
      <c r="J278" s="170"/>
      <c r="K278" s="170"/>
      <c r="L278" s="246"/>
      <c r="M278" s="246"/>
      <c r="N278" s="246"/>
      <c r="O278" s="246"/>
      <c r="P278" s="246"/>
      <c r="Q278" s="246"/>
      <c r="R278" s="246"/>
      <c r="S278" s="246"/>
      <c r="T278" s="246"/>
      <c r="U278" s="246"/>
      <c r="V278" s="246"/>
      <c r="W278" s="246"/>
      <c r="X278" s="246"/>
      <c r="Y278" s="246"/>
      <c r="Z278" s="246"/>
      <c r="AA278" s="246"/>
      <c r="AB278" s="246"/>
      <c r="AC278" s="246"/>
      <c r="AD278" s="246"/>
      <c r="AE278" s="246"/>
      <c r="AF278" s="301" t="s">
        <v>959</v>
      </c>
      <c r="AG278" s="302"/>
      <c r="AH278" s="302"/>
      <c r="AI278" s="302"/>
      <c r="AJ278" s="302"/>
      <c r="AK278" s="302"/>
      <c r="AL278" s="302"/>
      <c r="AM278" s="302"/>
      <c r="AN278" s="302"/>
      <c r="AO278" s="302"/>
      <c r="AP278" s="302"/>
      <c r="AQ278" s="302"/>
      <c r="AR278" s="302"/>
      <c r="AS278" s="302"/>
      <c r="AT278" s="302"/>
      <c r="AU278" s="302"/>
      <c r="AV278" s="302"/>
      <c r="AW278" s="302"/>
      <c r="AX278" s="302"/>
      <c r="AY278" s="302"/>
      <c r="AZ278" s="302"/>
      <c r="BA278" s="302"/>
      <c r="BB278" s="302"/>
      <c r="BC278" s="302"/>
      <c r="BD278" s="302"/>
      <c r="BE278" s="302"/>
      <c r="CE278" s="94"/>
    </row>
    <row r="279" spans="2:83" x14ac:dyDescent="0.15">
      <c r="B279" s="246" t="s">
        <v>605</v>
      </c>
      <c r="C279" s="246" t="s">
        <v>605</v>
      </c>
      <c r="D279" s="246"/>
      <c r="E279" s="246"/>
      <c r="F279" s="246"/>
      <c r="G279" s="246"/>
      <c r="H279" s="246"/>
      <c r="I279" s="246" t="s">
        <v>605</v>
      </c>
      <c r="J279" s="170" t="s">
        <v>850</v>
      </c>
      <c r="K279" s="170"/>
      <c r="L279" s="246"/>
      <c r="M279" s="246"/>
      <c r="N279" s="246"/>
      <c r="O279" s="246"/>
      <c r="P279" s="246"/>
      <c r="Q279" s="246"/>
      <c r="R279" s="246"/>
      <c r="S279" s="246"/>
      <c r="T279" s="246"/>
      <c r="U279" s="246"/>
      <c r="V279" s="246"/>
      <c r="W279" s="246"/>
      <c r="X279" s="246"/>
      <c r="Y279" s="246"/>
      <c r="Z279" s="246"/>
      <c r="AA279" s="246"/>
      <c r="AB279" s="246"/>
      <c r="AC279" s="246"/>
      <c r="AD279" s="246"/>
      <c r="AE279" s="246"/>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CE279" s="94"/>
    </row>
    <row r="280" spans="2:83" x14ac:dyDescent="0.15">
      <c r="B280" s="246"/>
      <c r="C280" s="246"/>
      <c r="D280" s="246"/>
      <c r="E280" s="246"/>
      <c r="F280" s="246"/>
      <c r="G280" s="246"/>
      <c r="H280" s="246"/>
      <c r="I280" s="246"/>
      <c r="J280" s="170"/>
      <c r="K280" s="170"/>
      <c r="L280" s="246"/>
      <c r="M280" s="246"/>
      <c r="N280" s="246"/>
      <c r="O280" s="246"/>
      <c r="P280" s="246"/>
      <c r="Q280" s="246"/>
      <c r="R280" s="246"/>
      <c r="S280" s="246"/>
      <c r="T280" s="246"/>
      <c r="U280" s="246"/>
      <c r="V280" s="246"/>
      <c r="W280" s="246"/>
      <c r="X280" s="246"/>
      <c r="Y280" s="246"/>
      <c r="Z280" s="246"/>
      <c r="AA280" s="246"/>
      <c r="AB280" s="246"/>
      <c r="AC280" s="246"/>
      <c r="AD280" s="246"/>
      <c r="AE280" s="246"/>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CE280" s="94"/>
    </row>
    <row r="281" spans="2:83" x14ac:dyDescent="0.15">
      <c r="B281" s="171"/>
      <c r="C281" s="171" t="s">
        <v>851</v>
      </c>
      <c r="D281" s="246"/>
      <c r="E281" s="246"/>
      <c r="F281" s="246"/>
      <c r="G281" s="246"/>
      <c r="H281" s="246"/>
      <c r="I281" s="171" t="s">
        <v>852</v>
      </c>
      <c r="J281" s="170"/>
      <c r="K281" s="170"/>
      <c r="L281" s="246"/>
      <c r="M281" s="246"/>
      <c r="N281" s="246"/>
      <c r="O281" s="246"/>
      <c r="P281" s="246"/>
      <c r="Q281" s="246"/>
      <c r="R281" s="246"/>
      <c r="S281" s="246"/>
      <c r="T281" s="246"/>
      <c r="U281" s="246"/>
      <c r="V281" s="246"/>
      <c r="W281" s="246"/>
      <c r="X281" s="246"/>
      <c r="Y281" s="246"/>
      <c r="Z281" s="246"/>
      <c r="AA281" s="246"/>
      <c r="AB281" s="246"/>
      <c r="AC281" s="246"/>
      <c r="AD281" s="246"/>
      <c r="AE281" s="246"/>
      <c r="AF281" s="301" t="s">
        <v>960</v>
      </c>
      <c r="AG281" s="302"/>
      <c r="AH281" s="302"/>
      <c r="AI281" s="302"/>
      <c r="AJ281" s="302"/>
      <c r="AK281" s="302"/>
      <c r="AL281" s="302"/>
      <c r="AM281" s="302"/>
      <c r="AN281" s="302"/>
      <c r="AO281" s="302"/>
      <c r="AP281" s="302"/>
      <c r="AQ281" s="302"/>
      <c r="AR281" s="302"/>
      <c r="AS281" s="302"/>
      <c r="AT281" s="302"/>
      <c r="AU281" s="302"/>
      <c r="AV281" s="302"/>
      <c r="AW281" s="302"/>
      <c r="AX281" s="302"/>
      <c r="AY281" s="302"/>
      <c r="AZ281" s="302"/>
      <c r="BA281" s="302"/>
      <c r="BB281" s="302"/>
      <c r="BC281" s="302"/>
      <c r="BD281" s="302"/>
      <c r="BE281" s="302"/>
      <c r="CE281" s="94"/>
    </row>
    <row r="282" spans="2:83" x14ac:dyDescent="0.15">
      <c r="B282" s="246" t="s">
        <v>605</v>
      </c>
      <c r="C282" s="246" t="s">
        <v>605</v>
      </c>
      <c r="D282" s="246"/>
      <c r="E282" s="246"/>
      <c r="F282" s="246"/>
      <c r="G282" s="246"/>
      <c r="H282" s="246"/>
      <c r="I282" s="246" t="s">
        <v>605</v>
      </c>
      <c r="J282" s="170" t="s">
        <v>853</v>
      </c>
      <c r="K282" s="170"/>
      <c r="L282" s="246"/>
      <c r="M282" s="246"/>
      <c r="N282" s="246"/>
      <c r="O282" s="246"/>
      <c r="P282" s="246"/>
      <c r="Q282" s="246"/>
      <c r="R282" s="246"/>
      <c r="S282" s="246"/>
      <c r="T282" s="246"/>
      <c r="U282" s="246"/>
      <c r="V282" s="246"/>
      <c r="W282" s="246"/>
      <c r="X282" s="246"/>
      <c r="Y282" s="246"/>
      <c r="Z282" s="246"/>
      <c r="AA282" s="246"/>
      <c r="AB282" s="246"/>
      <c r="AC282" s="246"/>
      <c r="AD282" s="246"/>
      <c r="AE282" s="246"/>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CE282" s="94"/>
    </row>
    <row r="283" spans="2:83" x14ac:dyDescent="0.15">
      <c r="B283" s="246" t="s">
        <v>605</v>
      </c>
      <c r="C283" s="246" t="s">
        <v>605</v>
      </c>
      <c r="D283" s="246"/>
      <c r="E283" s="246"/>
      <c r="F283" s="246"/>
      <c r="G283" s="246"/>
      <c r="H283" s="246"/>
      <c r="I283" s="246" t="s">
        <v>605</v>
      </c>
      <c r="J283" s="170"/>
      <c r="K283" s="170" t="s">
        <v>854</v>
      </c>
      <c r="L283" s="246"/>
      <c r="M283" s="246"/>
      <c r="N283" s="246"/>
      <c r="O283" s="246"/>
      <c r="P283" s="246"/>
      <c r="Q283" s="246"/>
      <c r="R283" s="246"/>
      <c r="S283" s="246"/>
      <c r="T283" s="246"/>
      <c r="U283" s="246"/>
      <c r="V283" s="246"/>
      <c r="W283" s="246"/>
      <c r="X283" s="246"/>
      <c r="Y283" s="246"/>
      <c r="Z283" s="246"/>
      <c r="AA283" s="246"/>
      <c r="AB283" s="246"/>
      <c r="AC283" s="246"/>
      <c r="AD283" s="246"/>
      <c r="AE283" s="246"/>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CE283" s="94"/>
    </row>
    <row r="284" spans="2:83" x14ac:dyDescent="0.15">
      <c r="B284" s="246" t="s">
        <v>605</v>
      </c>
      <c r="C284" s="246" t="s">
        <v>605</v>
      </c>
      <c r="D284" s="246"/>
      <c r="E284" s="246"/>
      <c r="F284" s="246"/>
      <c r="G284" s="246"/>
      <c r="H284" s="246"/>
      <c r="I284" s="246" t="s">
        <v>605</v>
      </c>
      <c r="J284" s="170"/>
      <c r="K284" s="170" t="s">
        <v>855</v>
      </c>
      <c r="L284" s="246"/>
      <c r="M284" s="246"/>
      <c r="N284" s="246"/>
      <c r="O284" s="246"/>
      <c r="P284" s="246"/>
      <c r="Q284" s="246"/>
      <c r="R284" s="246"/>
      <c r="S284" s="246"/>
      <c r="T284" s="246"/>
      <c r="U284" s="246"/>
      <c r="V284" s="246"/>
      <c r="W284" s="246"/>
      <c r="X284" s="246"/>
      <c r="Y284" s="246"/>
      <c r="Z284" s="246"/>
      <c r="AA284" s="246"/>
      <c r="AB284" s="246"/>
      <c r="AC284" s="246"/>
      <c r="AD284" s="246"/>
      <c r="AE284" s="246"/>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CE284" s="94"/>
    </row>
    <row r="285" spans="2:83" x14ac:dyDescent="0.15">
      <c r="B285" s="246" t="s">
        <v>605</v>
      </c>
      <c r="C285" s="246" t="s">
        <v>605</v>
      </c>
      <c r="D285" s="246"/>
      <c r="E285" s="246"/>
      <c r="F285" s="246"/>
      <c r="G285" s="246"/>
      <c r="H285" s="246"/>
      <c r="I285" s="246" t="s">
        <v>605</v>
      </c>
      <c r="J285" s="170"/>
      <c r="K285" s="170" t="s">
        <v>856</v>
      </c>
      <c r="L285" s="246"/>
      <c r="M285" s="246"/>
      <c r="N285" s="246"/>
      <c r="O285" s="246"/>
      <c r="P285" s="246"/>
      <c r="Q285" s="246"/>
      <c r="R285" s="246"/>
      <c r="S285" s="246"/>
      <c r="T285" s="246"/>
      <c r="U285" s="246"/>
      <c r="V285" s="246"/>
      <c r="W285" s="246"/>
      <c r="X285" s="246"/>
      <c r="Y285" s="246"/>
      <c r="Z285" s="246"/>
      <c r="AA285" s="246"/>
      <c r="AB285" s="246"/>
      <c r="AC285" s="246"/>
      <c r="AD285" s="246"/>
      <c r="AE285" s="246"/>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CE285" s="94"/>
    </row>
    <row r="286" spans="2:83" x14ac:dyDescent="0.15">
      <c r="B286" s="246"/>
      <c r="C286" s="246"/>
      <c r="D286" s="246"/>
      <c r="E286" s="246"/>
      <c r="F286" s="246"/>
      <c r="G286" s="246"/>
      <c r="H286" s="246"/>
      <c r="I286" s="246"/>
      <c r="J286" s="170"/>
      <c r="K286" s="170"/>
      <c r="L286" s="246"/>
      <c r="M286" s="246"/>
      <c r="N286" s="246"/>
      <c r="O286" s="246"/>
      <c r="P286" s="246"/>
      <c r="Q286" s="246"/>
      <c r="R286" s="246"/>
      <c r="S286" s="246"/>
      <c r="T286" s="246"/>
      <c r="U286" s="246"/>
      <c r="V286" s="246"/>
      <c r="W286" s="246"/>
      <c r="X286" s="246"/>
      <c r="Y286" s="246"/>
      <c r="Z286" s="246"/>
      <c r="AA286" s="246"/>
      <c r="AB286" s="246"/>
      <c r="AC286" s="246"/>
      <c r="AD286" s="246"/>
      <c r="AE286" s="246"/>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CE286" s="94"/>
    </row>
    <row r="287" spans="2:83" x14ac:dyDescent="0.15">
      <c r="B287" s="246"/>
      <c r="C287" s="246"/>
      <c r="D287" s="246"/>
      <c r="E287" s="246"/>
      <c r="F287" s="246"/>
      <c r="G287" s="246"/>
      <c r="H287" s="246"/>
      <c r="I287" s="246"/>
      <c r="J287" s="170"/>
      <c r="K287" s="170"/>
      <c r="L287" s="246"/>
      <c r="M287" s="246"/>
      <c r="N287" s="246"/>
      <c r="O287" s="246"/>
      <c r="P287" s="246"/>
      <c r="Q287" s="246"/>
      <c r="R287" s="246"/>
      <c r="S287" s="246"/>
      <c r="T287" s="246"/>
      <c r="U287" s="246"/>
      <c r="V287" s="246"/>
      <c r="W287" s="246"/>
      <c r="X287" s="246"/>
      <c r="Y287" s="246"/>
      <c r="Z287" s="246"/>
      <c r="AA287" s="246"/>
      <c r="AB287" s="246"/>
      <c r="AC287" s="246"/>
      <c r="AD287" s="246"/>
      <c r="AE287" s="246"/>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CE287" s="94"/>
    </row>
    <row r="288" spans="2:83" ht="12.75" x14ac:dyDescent="0.15">
      <c r="B288" s="119" t="s">
        <v>857</v>
      </c>
      <c r="C288" s="119"/>
      <c r="D288" s="246"/>
      <c r="E288" s="246"/>
      <c r="F288" s="246"/>
      <c r="G288" s="246"/>
      <c r="H288" s="246"/>
      <c r="I288" s="119" t="s">
        <v>858</v>
      </c>
      <c r="J288" s="170"/>
      <c r="K288" s="170"/>
      <c r="L288" s="246"/>
      <c r="M288" s="246"/>
      <c r="N288" s="246"/>
      <c r="O288" s="246"/>
      <c r="P288" s="246"/>
      <c r="Q288" s="246"/>
      <c r="R288" s="246"/>
      <c r="S288" s="246"/>
      <c r="T288" s="246"/>
      <c r="U288" s="246"/>
      <c r="V288" s="246"/>
      <c r="W288" s="246"/>
      <c r="X288" s="246"/>
      <c r="Y288" s="246"/>
      <c r="Z288" s="246"/>
      <c r="AA288" s="246"/>
      <c r="AB288" s="246"/>
      <c r="AC288" s="246"/>
      <c r="AD288" s="246"/>
      <c r="AE288" s="246"/>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CE288" s="94"/>
    </row>
    <row r="289" spans="2:83" x14ac:dyDescent="0.15">
      <c r="B289" s="246"/>
      <c r="C289" s="246"/>
      <c r="D289" s="246"/>
      <c r="E289" s="246"/>
      <c r="F289" s="246"/>
      <c r="G289" s="246"/>
      <c r="H289" s="246"/>
      <c r="I289" s="246"/>
      <c r="J289" s="170"/>
      <c r="K289" s="170"/>
      <c r="L289" s="246"/>
      <c r="M289" s="246"/>
      <c r="N289" s="246"/>
      <c r="O289" s="246"/>
      <c r="P289" s="246"/>
      <c r="Q289" s="246"/>
      <c r="R289" s="246"/>
      <c r="S289" s="246"/>
      <c r="T289" s="246"/>
      <c r="U289" s="246"/>
      <c r="V289" s="246"/>
      <c r="W289" s="246"/>
      <c r="X289" s="246"/>
      <c r="Y289" s="246"/>
      <c r="Z289" s="246"/>
      <c r="AA289" s="246"/>
      <c r="AB289" s="246"/>
      <c r="AC289" s="246"/>
      <c r="AD289" s="246"/>
      <c r="AE289" s="246"/>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CE289" s="94"/>
    </row>
    <row r="290" spans="2:83" x14ac:dyDescent="0.15">
      <c r="B290" s="171"/>
      <c r="C290" s="171" t="s">
        <v>859</v>
      </c>
      <c r="D290" s="246"/>
      <c r="E290" s="246"/>
      <c r="F290" s="246"/>
      <c r="G290" s="246"/>
      <c r="H290" s="246"/>
      <c r="I290" s="171" t="s">
        <v>860</v>
      </c>
      <c r="J290" s="170"/>
      <c r="K290" s="170"/>
      <c r="L290" s="246"/>
      <c r="M290" s="246"/>
      <c r="N290" s="246"/>
      <c r="O290" s="246"/>
      <c r="P290" s="246"/>
      <c r="Q290" s="246"/>
      <c r="R290" s="246"/>
      <c r="S290" s="246"/>
      <c r="T290" s="246"/>
      <c r="U290" s="246"/>
      <c r="V290" s="246"/>
      <c r="W290" s="246"/>
      <c r="X290" s="246"/>
      <c r="Y290" s="246"/>
      <c r="Z290" s="246"/>
      <c r="AA290" s="246"/>
      <c r="AB290" s="246"/>
      <c r="AC290" s="246"/>
      <c r="AD290" s="246"/>
      <c r="AE290" s="246"/>
      <c r="AF290" s="301" t="s">
        <v>961</v>
      </c>
      <c r="AG290" s="302"/>
      <c r="AH290" s="302"/>
      <c r="AI290" s="302"/>
      <c r="AJ290" s="302"/>
      <c r="AK290" s="302"/>
      <c r="AL290" s="302"/>
      <c r="AM290" s="302"/>
      <c r="AN290" s="302"/>
      <c r="AO290" s="302"/>
      <c r="AP290" s="302"/>
      <c r="AQ290" s="302"/>
      <c r="AR290" s="302"/>
      <c r="AS290" s="302"/>
      <c r="AT290" s="302"/>
      <c r="AU290" s="302"/>
      <c r="AV290" s="302"/>
      <c r="AW290" s="302"/>
      <c r="AX290" s="302"/>
      <c r="AY290" s="302"/>
      <c r="AZ290" s="302"/>
      <c r="BA290" s="302"/>
      <c r="BB290" s="302"/>
      <c r="BC290" s="302"/>
      <c r="BD290" s="302"/>
      <c r="BE290" s="302"/>
      <c r="CE290" s="94"/>
    </row>
    <row r="291" spans="2:83" x14ac:dyDescent="0.15">
      <c r="B291" s="246" t="s">
        <v>605</v>
      </c>
      <c r="C291" s="246" t="s">
        <v>605</v>
      </c>
      <c r="D291" s="246"/>
      <c r="E291" s="246"/>
      <c r="F291" s="246"/>
      <c r="G291" s="246"/>
      <c r="H291" s="246"/>
      <c r="I291" s="246" t="s">
        <v>605</v>
      </c>
      <c r="J291" s="170" t="s">
        <v>903</v>
      </c>
      <c r="K291" s="170"/>
      <c r="L291" s="246"/>
      <c r="M291" s="246"/>
      <c r="N291" s="246"/>
      <c r="O291" s="246"/>
      <c r="P291" s="246"/>
      <c r="Q291" s="246"/>
      <c r="R291" s="246"/>
      <c r="S291" s="246"/>
      <c r="T291" s="246"/>
      <c r="U291" s="246"/>
      <c r="V291" s="246"/>
      <c r="W291" s="246"/>
      <c r="X291" s="246"/>
      <c r="Y291" s="246"/>
      <c r="Z291" s="246"/>
      <c r="AA291" s="246"/>
      <c r="AB291" s="246"/>
      <c r="AC291" s="246"/>
      <c r="AD291" s="246"/>
      <c r="AE291" s="246"/>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CE291" s="94"/>
    </row>
    <row r="292" spans="2:83" s="15" customFormat="1" x14ac:dyDescent="0.15">
      <c r="B292" s="246"/>
      <c r="C292" s="246"/>
      <c r="D292" s="246"/>
      <c r="E292" s="246"/>
      <c r="F292" s="246"/>
      <c r="G292" s="246"/>
      <c r="H292" s="246"/>
      <c r="I292" s="246"/>
      <c r="J292" s="170" t="s">
        <v>904</v>
      </c>
      <c r="K292" s="170"/>
      <c r="L292" s="246"/>
      <c r="M292" s="246"/>
      <c r="N292" s="246"/>
      <c r="O292" s="246"/>
      <c r="P292" s="246"/>
      <c r="Q292" s="246"/>
      <c r="R292" s="246"/>
      <c r="S292" s="246"/>
      <c r="T292" s="246"/>
      <c r="U292" s="246"/>
      <c r="V292" s="246"/>
      <c r="W292" s="246"/>
      <c r="X292" s="246"/>
      <c r="Y292" s="246"/>
      <c r="Z292" s="246"/>
      <c r="AA292" s="246"/>
      <c r="AB292" s="246"/>
      <c r="AC292" s="246"/>
      <c r="AD292" s="246"/>
      <c r="AE292" s="246"/>
      <c r="CE292" s="94"/>
    </row>
    <row r="293" spans="2:83" x14ac:dyDescent="0.15">
      <c r="B293" s="246"/>
      <c r="C293" s="246"/>
      <c r="D293" s="246"/>
      <c r="E293" s="246"/>
      <c r="F293" s="246"/>
      <c r="G293" s="246"/>
      <c r="H293" s="246"/>
      <c r="I293" s="246"/>
      <c r="J293" s="170"/>
      <c r="K293" s="170"/>
      <c r="L293" s="246"/>
      <c r="M293" s="246"/>
      <c r="N293" s="246"/>
      <c r="O293" s="246"/>
      <c r="P293" s="246"/>
      <c r="Q293" s="246"/>
      <c r="R293" s="246"/>
      <c r="S293" s="246"/>
      <c r="T293" s="246"/>
      <c r="U293" s="246"/>
      <c r="V293" s="246"/>
      <c r="W293" s="246"/>
      <c r="X293" s="246"/>
      <c r="Y293" s="246"/>
      <c r="Z293" s="246"/>
      <c r="AA293" s="246"/>
      <c r="AB293" s="246"/>
      <c r="AC293" s="246"/>
      <c r="AD293" s="246"/>
      <c r="AE293" s="246"/>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CE293" s="94"/>
    </row>
    <row r="294" spans="2:83" x14ac:dyDescent="0.15">
      <c r="B294" s="171"/>
      <c r="C294" s="171" t="s">
        <v>861</v>
      </c>
      <c r="D294" s="246"/>
      <c r="E294" s="246"/>
      <c r="F294" s="246"/>
      <c r="G294" s="246"/>
      <c r="H294" s="246"/>
      <c r="I294" s="171" t="s">
        <v>862</v>
      </c>
      <c r="J294" s="170"/>
      <c r="K294" s="170"/>
      <c r="L294" s="246"/>
      <c r="M294" s="246"/>
      <c r="N294" s="246"/>
      <c r="O294" s="246"/>
      <c r="P294" s="246"/>
      <c r="Q294" s="246"/>
      <c r="R294" s="246"/>
      <c r="S294" s="246"/>
      <c r="T294" s="246"/>
      <c r="U294" s="246"/>
      <c r="V294" s="246"/>
      <c r="W294" s="246"/>
      <c r="X294" s="246"/>
      <c r="Y294" s="246"/>
      <c r="Z294" s="246"/>
      <c r="AA294" s="246"/>
      <c r="AB294" s="246"/>
      <c r="AC294" s="246"/>
      <c r="AD294" s="246"/>
      <c r="AE294" s="246"/>
      <c r="AF294" s="301" t="s">
        <v>962</v>
      </c>
      <c r="AG294" s="302"/>
      <c r="AH294" s="302"/>
      <c r="AI294" s="302"/>
      <c r="AJ294" s="302"/>
      <c r="AK294" s="302"/>
      <c r="AL294" s="302"/>
      <c r="AM294" s="302"/>
      <c r="AN294" s="302"/>
      <c r="AO294" s="302"/>
      <c r="AP294" s="302"/>
      <c r="AQ294" s="302"/>
      <c r="AR294" s="302"/>
      <c r="AS294" s="302"/>
      <c r="AT294" s="302"/>
      <c r="AU294" s="302"/>
      <c r="AV294" s="302"/>
      <c r="AW294" s="302"/>
      <c r="AX294" s="302"/>
      <c r="AY294" s="302"/>
      <c r="AZ294" s="302"/>
      <c r="BA294" s="302"/>
      <c r="BB294" s="302"/>
      <c r="BC294" s="302"/>
      <c r="BD294" s="302"/>
      <c r="BE294" s="302"/>
      <c r="CE294" s="94"/>
    </row>
    <row r="295" spans="2:83" x14ac:dyDescent="0.15">
      <c r="B295" s="246" t="s">
        <v>605</v>
      </c>
      <c r="C295" s="246" t="s">
        <v>605</v>
      </c>
      <c r="D295" s="246"/>
      <c r="E295" s="246"/>
      <c r="F295" s="246"/>
      <c r="G295" s="246"/>
      <c r="H295" s="246"/>
      <c r="I295" s="246" t="s">
        <v>605</v>
      </c>
      <c r="J295" s="170" t="s">
        <v>863</v>
      </c>
      <c r="K295" s="170"/>
      <c r="L295" s="246"/>
      <c r="M295" s="246"/>
      <c r="N295" s="246"/>
      <c r="O295" s="246"/>
      <c r="P295" s="246"/>
      <c r="Q295" s="246"/>
      <c r="R295" s="246"/>
      <c r="S295" s="246"/>
      <c r="T295" s="246"/>
      <c r="U295" s="246"/>
      <c r="V295" s="246"/>
      <c r="W295" s="246"/>
      <c r="X295" s="246"/>
      <c r="Y295" s="246"/>
      <c r="Z295" s="246"/>
      <c r="AA295" s="246"/>
      <c r="AB295" s="246"/>
      <c r="AC295" s="246"/>
      <c r="AD295" s="246"/>
      <c r="AE295" s="246"/>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CE295" s="94"/>
    </row>
    <row r="296" spans="2:83" x14ac:dyDescent="0.15">
      <c r="B296" s="246"/>
      <c r="C296" s="246"/>
      <c r="D296" s="246"/>
      <c r="E296" s="246"/>
      <c r="F296" s="246"/>
      <c r="G296" s="246"/>
      <c r="H296" s="246"/>
      <c r="I296" s="246"/>
      <c r="J296" s="170"/>
      <c r="K296" s="170"/>
      <c r="L296" s="246"/>
      <c r="M296" s="246"/>
      <c r="N296" s="246"/>
      <c r="O296" s="246"/>
      <c r="P296" s="246"/>
      <c r="Q296" s="246"/>
      <c r="R296" s="246"/>
      <c r="S296" s="246"/>
      <c r="T296" s="246"/>
      <c r="U296" s="246"/>
      <c r="V296" s="246"/>
      <c r="W296" s="246"/>
      <c r="X296" s="246"/>
      <c r="Y296" s="246"/>
      <c r="Z296" s="246"/>
      <c r="AA296" s="246"/>
      <c r="AB296" s="246"/>
      <c r="AC296" s="246"/>
      <c r="AD296" s="246"/>
      <c r="AE296" s="246"/>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CE296" s="94"/>
    </row>
    <row r="297" spans="2:83" x14ac:dyDescent="0.15">
      <c r="B297" s="171"/>
      <c r="C297" s="171" t="s">
        <v>864</v>
      </c>
      <c r="D297" s="246"/>
      <c r="E297" s="246"/>
      <c r="F297" s="246"/>
      <c r="G297" s="246"/>
      <c r="H297" s="246"/>
      <c r="I297" s="171" t="s">
        <v>865</v>
      </c>
      <c r="J297" s="170"/>
      <c r="K297" s="170"/>
      <c r="L297" s="246"/>
      <c r="M297" s="246"/>
      <c r="N297" s="246"/>
      <c r="O297" s="246"/>
      <c r="P297" s="246"/>
      <c r="Q297" s="246"/>
      <c r="R297" s="246"/>
      <c r="S297" s="246"/>
      <c r="T297" s="246"/>
      <c r="U297" s="246"/>
      <c r="V297" s="246"/>
      <c r="W297" s="246"/>
      <c r="X297" s="246"/>
      <c r="Y297" s="246"/>
      <c r="Z297" s="246"/>
      <c r="AA297" s="246"/>
      <c r="AB297" s="246"/>
      <c r="AC297" s="246"/>
      <c r="AD297" s="246"/>
      <c r="AE297" s="246"/>
      <c r="CE297" s="94"/>
    </row>
    <row r="298" spans="2:83" x14ac:dyDescent="0.15">
      <c r="B298" s="246" t="s">
        <v>605</v>
      </c>
      <c r="C298" s="246" t="s">
        <v>605</v>
      </c>
      <c r="D298" s="246"/>
      <c r="E298" s="246"/>
      <c r="F298" s="246"/>
      <c r="G298" s="246"/>
      <c r="H298" s="246"/>
      <c r="I298" s="246" t="s">
        <v>605</v>
      </c>
      <c r="J298" s="170" t="s">
        <v>866</v>
      </c>
      <c r="K298" s="170"/>
      <c r="L298" s="246"/>
      <c r="M298" s="246"/>
      <c r="N298" s="246"/>
      <c r="O298" s="246"/>
      <c r="P298" s="246"/>
      <c r="Q298" s="246"/>
      <c r="R298" s="246"/>
      <c r="S298" s="246"/>
      <c r="T298" s="246"/>
      <c r="U298" s="246"/>
      <c r="V298" s="246"/>
      <c r="W298" s="246"/>
      <c r="X298" s="246"/>
      <c r="Y298" s="246"/>
      <c r="Z298" s="246"/>
      <c r="AA298" s="246"/>
      <c r="AB298" s="246"/>
      <c r="AC298" s="246"/>
      <c r="AD298" s="246"/>
      <c r="AE298" s="246"/>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CE298" s="94"/>
    </row>
    <row r="299" spans="2:83" x14ac:dyDescent="0.15">
      <c r="B299" s="246"/>
      <c r="C299" s="246"/>
      <c r="D299" s="246"/>
      <c r="E299" s="246"/>
      <c r="F299" s="246"/>
      <c r="G299" s="246"/>
      <c r="H299" s="246"/>
      <c r="I299" s="246"/>
      <c r="J299" s="170"/>
      <c r="K299" s="170"/>
      <c r="L299" s="246"/>
      <c r="M299" s="246"/>
      <c r="N299" s="246"/>
      <c r="O299" s="246"/>
      <c r="P299" s="246"/>
      <c r="Q299" s="246"/>
      <c r="R299" s="246"/>
      <c r="S299" s="246"/>
      <c r="T299" s="246"/>
      <c r="U299" s="246"/>
      <c r="V299" s="246"/>
      <c r="W299" s="246"/>
      <c r="X299" s="246"/>
      <c r="Y299" s="246"/>
      <c r="Z299" s="246"/>
      <c r="AA299" s="246"/>
      <c r="AB299" s="246"/>
      <c r="AC299" s="246"/>
      <c r="AD299" s="246"/>
      <c r="AE299" s="246"/>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CE299" s="94"/>
    </row>
    <row r="300" spans="2:83" x14ac:dyDescent="0.15">
      <c r="B300" s="171"/>
      <c r="C300" s="171" t="s">
        <v>867</v>
      </c>
      <c r="D300" s="246"/>
      <c r="E300" s="246"/>
      <c r="F300" s="246"/>
      <c r="G300" s="246"/>
      <c r="H300" s="246"/>
      <c r="I300" s="171" t="s">
        <v>868</v>
      </c>
      <c r="J300" s="170"/>
      <c r="K300" s="170"/>
      <c r="L300" s="246"/>
      <c r="M300" s="246"/>
      <c r="N300" s="246"/>
      <c r="O300" s="246"/>
      <c r="P300" s="246"/>
      <c r="Q300" s="246"/>
      <c r="R300" s="246"/>
      <c r="S300" s="246"/>
      <c r="T300" s="246"/>
      <c r="U300" s="246"/>
      <c r="V300" s="246"/>
      <c r="W300" s="246"/>
      <c r="X300" s="246"/>
      <c r="Y300" s="246"/>
      <c r="Z300" s="246"/>
      <c r="AA300" s="246"/>
      <c r="AB300" s="246"/>
      <c r="AC300" s="246"/>
      <c r="AD300" s="246"/>
      <c r="AE300" s="246"/>
      <c r="CE300" s="94"/>
    </row>
    <row r="301" spans="2:83" x14ac:dyDescent="0.15">
      <c r="B301" s="246" t="s">
        <v>605</v>
      </c>
      <c r="C301" s="246" t="s">
        <v>605</v>
      </c>
      <c r="D301" s="246"/>
      <c r="E301" s="246"/>
      <c r="F301" s="246"/>
      <c r="G301" s="246"/>
      <c r="H301" s="246"/>
      <c r="I301" s="246" t="s">
        <v>605</v>
      </c>
      <c r="J301" s="170" t="s">
        <v>869</v>
      </c>
      <c r="K301" s="170"/>
      <c r="L301" s="246"/>
      <c r="M301" s="246"/>
      <c r="N301" s="246"/>
      <c r="O301" s="246"/>
      <c r="P301" s="246"/>
      <c r="Q301" s="246"/>
      <c r="R301" s="246"/>
      <c r="S301" s="246"/>
      <c r="T301" s="246"/>
      <c r="U301" s="246"/>
      <c r="V301" s="246"/>
      <c r="W301" s="246"/>
      <c r="X301" s="246"/>
      <c r="Y301" s="246"/>
      <c r="Z301" s="246"/>
      <c r="AA301" s="246"/>
      <c r="AB301" s="246"/>
      <c r="AC301" s="246"/>
      <c r="AD301" s="246"/>
      <c r="AE301" s="246"/>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CE301" s="94"/>
    </row>
    <row r="302" spans="2:83" x14ac:dyDescent="0.15">
      <c r="B302" s="246"/>
      <c r="C302" s="246"/>
      <c r="D302" s="246"/>
      <c r="E302" s="246"/>
      <c r="F302" s="246"/>
      <c r="G302" s="246"/>
      <c r="H302" s="246"/>
      <c r="I302" s="246"/>
      <c r="J302" s="170"/>
      <c r="K302" s="170"/>
      <c r="L302" s="246"/>
      <c r="M302" s="246"/>
      <c r="N302" s="246"/>
      <c r="O302" s="246"/>
      <c r="P302" s="246"/>
      <c r="Q302" s="246"/>
      <c r="R302" s="246"/>
      <c r="S302" s="246"/>
      <c r="T302" s="246"/>
      <c r="U302" s="246"/>
      <c r="V302" s="246"/>
      <c r="W302" s="246"/>
      <c r="X302" s="246"/>
      <c r="Y302" s="246"/>
      <c r="Z302" s="246"/>
      <c r="AA302" s="246"/>
      <c r="AB302" s="246"/>
      <c r="AC302" s="246"/>
      <c r="AD302" s="246"/>
      <c r="AE302" s="246"/>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CE302" s="94"/>
    </row>
    <row r="303" spans="2:83" x14ac:dyDescent="0.15">
      <c r="B303" s="171"/>
      <c r="C303" s="171" t="s">
        <v>870</v>
      </c>
      <c r="D303" s="246"/>
      <c r="E303" s="246"/>
      <c r="F303" s="246"/>
      <c r="G303" s="246"/>
      <c r="H303" s="246"/>
      <c r="I303" s="171" t="s">
        <v>871</v>
      </c>
      <c r="J303" s="170"/>
      <c r="K303" s="170"/>
      <c r="L303" s="246"/>
      <c r="M303" s="246"/>
      <c r="N303" s="246"/>
      <c r="O303" s="246"/>
      <c r="P303" s="246"/>
      <c r="Q303" s="246"/>
      <c r="R303" s="246"/>
      <c r="S303" s="246"/>
      <c r="T303" s="246"/>
      <c r="U303" s="246"/>
      <c r="V303" s="246"/>
      <c r="W303" s="246"/>
      <c r="X303" s="246"/>
      <c r="Y303" s="246"/>
      <c r="Z303" s="246"/>
      <c r="AA303" s="246"/>
      <c r="AB303" s="246"/>
      <c r="AC303" s="246"/>
      <c r="AD303" s="246"/>
      <c r="AE303" s="246"/>
      <c r="CE303" s="94"/>
    </row>
    <row r="304" spans="2:83" x14ac:dyDescent="0.15">
      <c r="B304" s="246" t="s">
        <v>605</v>
      </c>
      <c r="C304" s="246" t="s">
        <v>605</v>
      </c>
      <c r="D304" s="246"/>
      <c r="E304" s="246"/>
      <c r="F304" s="246"/>
      <c r="G304" s="246"/>
      <c r="H304" s="246"/>
      <c r="I304" s="246" t="s">
        <v>605</v>
      </c>
      <c r="J304" s="170" t="s">
        <v>872</v>
      </c>
      <c r="K304" s="170"/>
      <c r="L304" s="246"/>
      <c r="M304" s="246"/>
      <c r="N304" s="246"/>
      <c r="O304" s="246"/>
      <c r="P304" s="246"/>
      <c r="Q304" s="246"/>
      <c r="R304" s="246"/>
      <c r="S304" s="246"/>
      <c r="T304" s="246"/>
      <c r="U304" s="246"/>
      <c r="V304" s="246"/>
      <c r="W304" s="246"/>
      <c r="X304" s="246"/>
      <c r="Y304" s="246"/>
      <c r="Z304" s="246"/>
      <c r="AA304" s="246"/>
      <c r="AB304" s="246"/>
      <c r="AC304" s="246"/>
      <c r="AD304" s="246"/>
      <c r="AE304" s="246"/>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CE304" s="94"/>
    </row>
    <row r="305" spans="2:83" x14ac:dyDescent="0.15">
      <c r="B305" s="246"/>
      <c r="C305" s="246"/>
      <c r="D305" s="246"/>
      <c r="E305" s="246"/>
      <c r="F305" s="246"/>
      <c r="G305" s="246"/>
      <c r="H305" s="246"/>
      <c r="I305" s="246"/>
      <c r="J305" s="170"/>
      <c r="K305" s="170"/>
      <c r="L305" s="246"/>
      <c r="M305" s="246"/>
      <c r="N305" s="246"/>
      <c r="O305" s="246"/>
      <c r="P305" s="246"/>
      <c r="Q305" s="246"/>
      <c r="R305" s="246"/>
      <c r="S305" s="246"/>
      <c r="T305" s="246"/>
      <c r="U305" s="246"/>
      <c r="V305" s="246"/>
      <c r="W305" s="246"/>
      <c r="X305" s="246"/>
      <c r="Y305" s="246"/>
      <c r="Z305" s="246"/>
      <c r="AA305" s="246"/>
      <c r="AB305" s="246"/>
      <c r="AC305" s="246"/>
      <c r="AD305" s="246"/>
      <c r="AE305" s="246"/>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CE305" s="94"/>
    </row>
    <row r="306" spans="2:83" x14ac:dyDescent="0.15">
      <c r="B306" s="171"/>
      <c r="C306" s="171" t="s">
        <v>873</v>
      </c>
      <c r="D306" s="246"/>
      <c r="E306" s="246"/>
      <c r="F306" s="246"/>
      <c r="G306" s="246"/>
      <c r="H306" s="246"/>
      <c r="I306" s="171" t="s">
        <v>874</v>
      </c>
      <c r="J306" s="170"/>
      <c r="K306" s="170"/>
      <c r="L306" s="246"/>
      <c r="M306" s="246"/>
      <c r="N306" s="246"/>
      <c r="O306" s="246"/>
      <c r="P306" s="246"/>
      <c r="Q306" s="246"/>
      <c r="R306" s="246"/>
      <c r="S306" s="246"/>
      <c r="T306" s="246"/>
      <c r="U306" s="246"/>
      <c r="V306" s="246"/>
      <c r="W306" s="246"/>
      <c r="X306" s="246"/>
      <c r="Y306" s="246"/>
      <c r="Z306" s="246"/>
      <c r="AA306" s="246"/>
      <c r="AB306" s="246"/>
      <c r="AC306" s="246"/>
      <c r="AD306" s="246"/>
      <c r="AE306" s="246"/>
      <c r="CE306" s="94"/>
    </row>
    <row r="307" spans="2:83" x14ac:dyDescent="0.15">
      <c r="B307" s="246" t="s">
        <v>605</v>
      </c>
      <c r="C307" s="246" t="s">
        <v>605</v>
      </c>
      <c r="D307" s="246"/>
      <c r="E307" s="246"/>
      <c r="F307" s="246"/>
      <c r="G307" s="246"/>
      <c r="H307" s="246"/>
      <c r="I307" s="246" t="s">
        <v>605</v>
      </c>
      <c r="J307" s="170" t="s">
        <v>875</v>
      </c>
      <c r="K307" s="170"/>
      <c r="L307" s="246"/>
      <c r="M307" s="246"/>
      <c r="N307" s="246"/>
      <c r="O307" s="246"/>
      <c r="P307" s="246"/>
      <c r="Q307" s="246"/>
      <c r="R307" s="246"/>
      <c r="S307" s="246"/>
      <c r="T307" s="246"/>
      <c r="U307" s="246"/>
      <c r="V307" s="246"/>
      <c r="W307" s="246"/>
      <c r="X307" s="246"/>
      <c r="Y307" s="246"/>
      <c r="Z307" s="246"/>
      <c r="AA307" s="246"/>
      <c r="AB307" s="246"/>
      <c r="AC307" s="246"/>
      <c r="AD307" s="246"/>
      <c r="AE307" s="246"/>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CE307" s="94"/>
    </row>
    <row r="308" spans="2:83" x14ac:dyDescent="0.15">
      <c r="B308" s="246"/>
      <c r="C308" s="246"/>
      <c r="D308" s="246"/>
      <c r="E308" s="246"/>
      <c r="F308" s="246"/>
      <c r="G308" s="246"/>
      <c r="H308" s="246"/>
      <c r="I308" s="246"/>
      <c r="J308" s="170"/>
      <c r="K308" s="170"/>
      <c r="L308" s="246"/>
      <c r="M308" s="246"/>
      <c r="N308" s="246"/>
      <c r="O308" s="246"/>
      <c r="P308" s="246"/>
      <c r="Q308" s="246"/>
      <c r="R308" s="246"/>
      <c r="S308" s="246"/>
      <c r="T308" s="246"/>
      <c r="U308" s="246"/>
      <c r="V308" s="246"/>
      <c r="W308" s="246"/>
      <c r="X308" s="246"/>
      <c r="Y308" s="246"/>
      <c r="Z308" s="246"/>
      <c r="AA308" s="246"/>
      <c r="AB308" s="246"/>
      <c r="AC308" s="246"/>
      <c r="AD308" s="246"/>
      <c r="AE308" s="246"/>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CE308" s="94"/>
    </row>
    <row r="309" spans="2:83" x14ac:dyDescent="0.15">
      <c r="B309" s="246"/>
      <c r="C309" s="246"/>
      <c r="D309" s="246"/>
      <c r="E309" s="246"/>
      <c r="F309" s="246"/>
      <c r="G309" s="246"/>
      <c r="H309" s="246"/>
      <c r="I309" s="246"/>
      <c r="J309" s="170"/>
      <c r="K309" s="170"/>
      <c r="L309" s="246"/>
      <c r="M309" s="246"/>
      <c r="N309" s="246"/>
      <c r="O309" s="246"/>
      <c r="P309" s="246"/>
      <c r="Q309" s="246"/>
      <c r="R309" s="246"/>
      <c r="S309" s="246"/>
      <c r="T309" s="246"/>
      <c r="U309" s="246"/>
      <c r="V309" s="246"/>
      <c r="W309" s="246"/>
      <c r="X309" s="246"/>
      <c r="Y309" s="246"/>
      <c r="Z309" s="246"/>
      <c r="AA309" s="246"/>
      <c r="AB309" s="246"/>
      <c r="AC309" s="246"/>
      <c r="AD309" s="246"/>
      <c r="AE309" s="246"/>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CE309" s="94"/>
    </row>
    <row r="310" spans="2:83" ht="12.75" x14ac:dyDescent="0.15">
      <c r="B310" s="119" t="s">
        <v>876</v>
      </c>
      <c r="C310" s="119"/>
      <c r="D310" s="246"/>
      <c r="E310" s="246"/>
      <c r="F310" s="246"/>
      <c r="G310" s="246"/>
      <c r="H310" s="246"/>
      <c r="I310" s="119" t="s">
        <v>877</v>
      </c>
      <c r="J310" s="170"/>
      <c r="K310" s="170"/>
      <c r="L310" s="246"/>
      <c r="M310" s="246"/>
      <c r="N310" s="246"/>
      <c r="O310" s="246"/>
      <c r="P310" s="246"/>
      <c r="Q310" s="246"/>
      <c r="R310" s="246"/>
      <c r="S310" s="246"/>
      <c r="T310" s="246"/>
      <c r="U310" s="246"/>
      <c r="V310" s="246"/>
      <c r="W310" s="246"/>
      <c r="X310" s="246"/>
      <c r="Y310" s="246"/>
      <c r="Z310" s="246"/>
      <c r="AA310" s="246"/>
      <c r="AB310" s="246"/>
      <c r="AC310" s="246"/>
      <c r="AD310" s="246"/>
      <c r="AE310" s="246"/>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CE310" s="94"/>
    </row>
    <row r="311" spans="2:83" x14ac:dyDescent="0.15">
      <c r="B311" s="246"/>
      <c r="C311" s="246"/>
      <c r="D311" s="246"/>
      <c r="E311" s="246"/>
      <c r="F311" s="246"/>
      <c r="G311" s="246"/>
      <c r="H311" s="246"/>
      <c r="I311" s="246"/>
      <c r="J311" s="170"/>
      <c r="K311" s="170"/>
      <c r="L311" s="246"/>
      <c r="M311" s="246"/>
      <c r="N311" s="246"/>
      <c r="O311" s="246"/>
      <c r="P311" s="246"/>
      <c r="Q311" s="246"/>
      <c r="R311" s="246"/>
      <c r="S311" s="246"/>
      <c r="T311" s="246"/>
      <c r="U311" s="246"/>
      <c r="V311" s="246"/>
      <c r="W311" s="246"/>
      <c r="X311" s="246"/>
      <c r="Y311" s="246"/>
      <c r="Z311" s="246"/>
      <c r="AA311" s="246"/>
      <c r="AB311" s="246"/>
      <c r="AC311" s="246"/>
      <c r="AD311" s="246"/>
      <c r="AE311" s="246"/>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CE311" s="94"/>
    </row>
    <row r="312" spans="2:83" x14ac:dyDescent="0.15">
      <c r="B312" s="171"/>
      <c r="C312" s="171" t="s">
        <v>878</v>
      </c>
      <c r="D312" s="246"/>
      <c r="E312" s="246"/>
      <c r="F312" s="246"/>
      <c r="G312" s="246"/>
      <c r="H312" s="246"/>
      <c r="I312" s="171" t="s">
        <v>879</v>
      </c>
      <c r="J312" s="170"/>
      <c r="K312" s="170"/>
      <c r="L312" s="246"/>
      <c r="M312" s="246"/>
      <c r="N312" s="246"/>
      <c r="O312" s="246"/>
      <c r="P312" s="246"/>
      <c r="Q312" s="246"/>
      <c r="R312" s="246"/>
      <c r="S312" s="246"/>
      <c r="T312" s="246"/>
      <c r="U312" s="246"/>
      <c r="V312" s="246"/>
      <c r="W312" s="246"/>
      <c r="X312" s="246"/>
      <c r="Y312" s="246"/>
      <c r="Z312" s="246"/>
      <c r="AA312" s="246"/>
      <c r="AB312" s="246"/>
      <c r="AC312" s="246"/>
      <c r="AD312" s="246"/>
      <c r="AE312" s="246"/>
      <c r="CE312" s="94"/>
    </row>
    <row r="313" spans="2:83" x14ac:dyDescent="0.15">
      <c r="B313" s="246" t="s">
        <v>605</v>
      </c>
      <c r="C313" s="246" t="s">
        <v>605</v>
      </c>
      <c r="D313" s="246"/>
      <c r="E313" s="246"/>
      <c r="F313" s="246"/>
      <c r="G313" s="246"/>
      <c r="H313" s="246"/>
      <c r="I313" s="246" t="s">
        <v>605</v>
      </c>
      <c r="J313" s="170" t="s">
        <v>880</v>
      </c>
      <c r="K313" s="170"/>
      <c r="L313" s="246"/>
      <c r="M313" s="246"/>
      <c r="N313" s="246"/>
      <c r="O313" s="246"/>
      <c r="P313" s="246"/>
      <c r="Q313" s="246"/>
      <c r="R313" s="246"/>
      <c r="S313" s="246"/>
      <c r="T313" s="246"/>
      <c r="U313" s="246"/>
      <c r="V313" s="246"/>
      <c r="W313" s="246"/>
      <c r="X313" s="246"/>
      <c r="Y313" s="246"/>
      <c r="Z313" s="246"/>
      <c r="AA313" s="246"/>
      <c r="AB313" s="246"/>
      <c r="AC313" s="246"/>
      <c r="AD313" s="246"/>
      <c r="AE313" s="246"/>
      <c r="CE313" s="94"/>
    </row>
    <row r="314" spans="2:83" x14ac:dyDescent="0.15">
      <c r="B314" s="246"/>
      <c r="C314" s="246"/>
      <c r="D314" s="246"/>
      <c r="E314" s="246"/>
      <c r="F314" s="246"/>
      <c r="G314" s="246"/>
      <c r="H314" s="246"/>
      <c r="I314" s="246"/>
      <c r="J314" s="170"/>
      <c r="K314" s="170"/>
      <c r="L314" s="246"/>
      <c r="M314" s="246"/>
      <c r="N314" s="246"/>
      <c r="O314" s="246"/>
      <c r="P314" s="246"/>
      <c r="Q314" s="246"/>
      <c r="R314" s="246"/>
      <c r="S314" s="246"/>
      <c r="T314" s="246"/>
      <c r="U314" s="246"/>
      <c r="V314" s="246"/>
      <c r="W314" s="246"/>
      <c r="X314" s="246"/>
      <c r="Y314" s="246"/>
      <c r="Z314" s="246"/>
      <c r="AA314" s="246"/>
      <c r="AB314" s="246"/>
      <c r="AC314" s="246"/>
      <c r="AD314" s="246"/>
      <c r="AE314" s="246"/>
      <c r="CE314" s="94"/>
    </row>
    <row r="315" spans="2:83" x14ac:dyDescent="0.15">
      <c r="B315" s="171"/>
      <c r="C315" s="171" t="s">
        <v>881</v>
      </c>
      <c r="D315" s="246"/>
      <c r="E315" s="246"/>
      <c r="F315" s="246"/>
      <c r="G315" s="246"/>
      <c r="H315" s="246"/>
      <c r="I315" s="171" t="s">
        <v>882</v>
      </c>
      <c r="J315" s="170"/>
      <c r="K315" s="170"/>
      <c r="L315" s="246"/>
      <c r="M315" s="246"/>
      <c r="N315" s="246"/>
      <c r="O315" s="246"/>
      <c r="P315" s="246"/>
      <c r="Q315" s="246"/>
      <c r="R315" s="246"/>
      <c r="S315" s="246"/>
      <c r="T315" s="246"/>
      <c r="U315" s="246"/>
      <c r="V315" s="246"/>
      <c r="W315" s="246"/>
      <c r="X315" s="246"/>
      <c r="Y315" s="246"/>
      <c r="Z315" s="246"/>
      <c r="AA315" s="246"/>
      <c r="AB315" s="246"/>
      <c r="AC315" s="246"/>
      <c r="AD315" s="246"/>
      <c r="AE315" s="246"/>
      <c r="CE315" s="94"/>
    </row>
    <row r="316" spans="2:83" x14ac:dyDescent="0.15">
      <c r="B316" s="246" t="s">
        <v>605</v>
      </c>
      <c r="C316" s="246" t="s">
        <v>605</v>
      </c>
      <c r="D316" s="246"/>
      <c r="E316" s="246"/>
      <c r="F316" s="246"/>
      <c r="G316" s="246"/>
      <c r="H316" s="246"/>
      <c r="I316" s="246" t="s">
        <v>605</v>
      </c>
      <c r="J316" s="170" t="s">
        <v>883</v>
      </c>
      <c r="K316" s="170"/>
      <c r="L316" s="246"/>
      <c r="M316" s="246"/>
      <c r="N316" s="246"/>
      <c r="O316" s="246"/>
      <c r="P316" s="246"/>
      <c r="Q316" s="246"/>
      <c r="R316" s="246"/>
      <c r="S316" s="246"/>
      <c r="T316" s="246"/>
      <c r="U316" s="246"/>
      <c r="V316" s="246"/>
      <c r="W316" s="246"/>
      <c r="X316" s="246"/>
      <c r="Y316" s="246"/>
      <c r="Z316" s="246"/>
      <c r="AA316" s="246"/>
      <c r="AB316" s="246"/>
      <c r="AC316" s="246"/>
      <c r="AD316" s="246"/>
      <c r="AE316" s="246"/>
      <c r="CE316" s="94"/>
    </row>
    <row r="317" spans="2:83" x14ac:dyDescent="0.15">
      <c r="B317" s="246"/>
      <c r="C317" s="246"/>
      <c r="D317" s="246"/>
      <c r="E317" s="246"/>
      <c r="F317" s="246"/>
      <c r="G317" s="246"/>
      <c r="H317" s="246"/>
      <c r="I317" s="246"/>
      <c r="J317" s="170"/>
      <c r="K317" s="170"/>
      <c r="L317" s="246"/>
      <c r="M317" s="246"/>
      <c r="N317" s="246"/>
      <c r="O317" s="246"/>
      <c r="P317" s="246"/>
      <c r="Q317" s="246"/>
      <c r="R317" s="246"/>
      <c r="S317" s="246"/>
      <c r="T317" s="246"/>
      <c r="U317" s="246"/>
      <c r="V317" s="246"/>
      <c r="W317" s="246"/>
      <c r="X317" s="246"/>
      <c r="Y317" s="246"/>
      <c r="Z317" s="246"/>
      <c r="AA317" s="246"/>
      <c r="AB317" s="246"/>
      <c r="AC317" s="246"/>
      <c r="AD317" s="246"/>
      <c r="AE317" s="246"/>
      <c r="CE317" s="94"/>
    </row>
    <row r="318" spans="2:83" x14ac:dyDescent="0.15">
      <c r="B318" s="171"/>
      <c r="C318" s="171" t="s">
        <v>884</v>
      </c>
      <c r="D318" s="246"/>
      <c r="E318" s="246"/>
      <c r="F318" s="246"/>
      <c r="G318" s="246"/>
      <c r="H318" s="246"/>
      <c r="I318" s="171" t="s">
        <v>885</v>
      </c>
      <c r="J318" s="170"/>
      <c r="K318" s="170"/>
      <c r="L318" s="246"/>
      <c r="M318" s="246"/>
      <c r="N318" s="246"/>
      <c r="O318" s="246"/>
      <c r="P318" s="246"/>
      <c r="Q318" s="246"/>
      <c r="R318" s="246"/>
      <c r="S318" s="246"/>
      <c r="T318" s="246"/>
      <c r="U318" s="246"/>
      <c r="V318" s="246"/>
      <c r="W318" s="246"/>
      <c r="X318" s="246"/>
      <c r="Y318" s="246"/>
      <c r="Z318" s="246"/>
      <c r="AA318" s="246"/>
      <c r="AB318" s="246"/>
      <c r="AC318" s="246"/>
      <c r="AD318" s="246"/>
      <c r="AE318" s="246"/>
      <c r="CE318" s="94"/>
    </row>
    <row r="319" spans="2:83" x14ac:dyDescent="0.15">
      <c r="B319" s="246" t="s">
        <v>605</v>
      </c>
      <c r="C319" s="246" t="s">
        <v>605</v>
      </c>
      <c r="D319" s="246"/>
      <c r="E319" s="246"/>
      <c r="F319" s="246"/>
      <c r="G319" s="246"/>
      <c r="H319" s="246"/>
      <c r="I319" s="246" t="s">
        <v>605</v>
      </c>
      <c r="J319" s="170" t="s">
        <v>886</v>
      </c>
      <c r="K319" s="170"/>
      <c r="L319" s="246"/>
      <c r="M319" s="246"/>
      <c r="N319" s="246"/>
      <c r="O319" s="246"/>
      <c r="P319" s="246"/>
      <c r="Q319" s="246"/>
      <c r="R319" s="246"/>
      <c r="S319" s="246"/>
      <c r="T319" s="246"/>
      <c r="U319" s="246"/>
      <c r="V319" s="246"/>
      <c r="W319" s="246"/>
      <c r="X319" s="246"/>
      <c r="Y319" s="246"/>
      <c r="Z319" s="246"/>
      <c r="AA319" s="246"/>
      <c r="AB319" s="246"/>
      <c r="AC319" s="246"/>
      <c r="AD319" s="246"/>
      <c r="AE319" s="246"/>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CE319" s="94"/>
    </row>
    <row r="320" spans="2:83" x14ac:dyDescent="0.15">
      <c r="B320" s="246" t="s">
        <v>605</v>
      </c>
      <c r="C320" s="246" t="s">
        <v>605</v>
      </c>
      <c r="D320" s="246"/>
      <c r="E320" s="246"/>
      <c r="F320" s="246"/>
      <c r="G320" s="246"/>
      <c r="H320" s="246"/>
      <c r="I320" s="246" t="s">
        <v>605</v>
      </c>
      <c r="J320" s="170" t="s">
        <v>905</v>
      </c>
      <c r="K320" s="170"/>
      <c r="L320" s="246"/>
      <c r="M320" s="246"/>
      <c r="N320" s="246"/>
      <c r="O320" s="246"/>
      <c r="P320" s="246"/>
      <c r="Q320" s="246"/>
      <c r="R320" s="246"/>
      <c r="S320" s="246"/>
      <c r="T320" s="246"/>
      <c r="U320" s="246"/>
      <c r="V320" s="246"/>
      <c r="W320" s="246"/>
      <c r="X320" s="246"/>
      <c r="Y320" s="246"/>
      <c r="Z320" s="246"/>
      <c r="AA320" s="246"/>
      <c r="AB320" s="246"/>
      <c r="AC320" s="246"/>
      <c r="AD320" s="246"/>
      <c r="AE320" s="246"/>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CE320" s="94"/>
    </row>
    <row r="321" spans="2:83" s="15" customFormat="1" x14ac:dyDescent="0.15">
      <c r="B321" s="246"/>
      <c r="C321" s="246"/>
      <c r="D321" s="246"/>
      <c r="E321" s="246"/>
      <c r="F321" s="246"/>
      <c r="G321" s="246"/>
      <c r="H321" s="246"/>
      <c r="I321" s="246"/>
      <c r="J321" s="170" t="s">
        <v>906</v>
      </c>
      <c r="K321" s="170"/>
      <c r="L321" s="246"/>
      <c r="M321" s="246"/>
      <c r="N321" s="246"/>
      <c r="O321" s="246"/>
      <c r="P321" s="246"/>
      <c r="Q321" s="246"/>
      <c r="R321" s="246"/>
      <c r="S321" s="246"/>
      <c r="T321" s="246"/>
      <c r="U321" s="246"/>
      <c r="V321" s="246"/>
      <c r="W321" s="246"/>
      <c r="X321" s="246"/>
      <c r="Y321" s="246"/>
      <c r="Z321" s="246"/>
      <c r="AA321" s="246"/>
      <c r="AB321" s="246"/>
      <c r="AC321" s="246"/>
      <c r="AD321" s="246"/>
      <c r="AE321" s="246"/>
      <c r="CE321" s="94"/>
    </row>
    <row r="322" spans="2:83" x14ac:dyDescent="0.15">
      <c r="B322" s="246"/>
      <c r="C322" s="246"/>
      <c r="D322" s="246"/>
      <c r="E322" s="246"/>
      <c r="F322" s="246"/>
      <c r="G322" s="246"/>
      <c r="H322" s="246"/>
      <c r="I322" s="246"/>
      <c r="J322" s="170"/>
      <c r="K322" s="170"/>
      <c r="L322" s="246"/>
      <c r="M322" s="246"/>
      <c r="N322" s="246"/>
      <c r="O322" s="246"/>
      <c r="P322" s="246"/>
      <c r="Q322" s="246"/>
      <c r="R322" s="246"/>
      <c r="S322" s="246"/>
      <c r="T322" s="246"/>
      <c r="U322" s="246"/>
      <c r="V322" s="246"/>
      <c r="W322" s="246"/>
      <c r="X322" s="246"/>
      <c r="Y322" s="246"/>
      <c r="Z322" s="246"/>
      <c r="AA322" s="246"/>
      <c r="AB322" s="246"/>
      <c r="AC322" s="246"/>
      <c r="AD322" s="246"/>
      <c r="AE322" s="246"/>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CE322" s="94"/>
    </row>
    <row r="323" spans="2:83" x14ac:dyDescent="0.15">
      <c r="B323" s="246"/>
      <c r="C323" s="246"/>
      <c r="D323" s="246"/>
      <c r="E323" s="246"/>
      <c r="F323" s="246"/>
      <c r="G323" s="246"/>
      <c r="H323" s="246"/>
      <c r="I323" s="246"/>
      <c r="J323" s="170"/>
      <c r="K323" s="170"/>
      <c r="L323" s="246"/>
      <c r="M323" s="246"/>
      <c r="N323" s="246"/>
      <c r="O323" s="246"/>
      <c r="P323" s="246"/>
      <c r="Q323" s="246"/>
      <c r="R323" s="246"/>
      <c r="S323" s="246"/>
      <c r="T323" s="246"/>
      <c r="U323" s="246"/>
      <c r="V323" s="246"/>
      <c r="W323" s="246"/>
      <c r="X323" s="246"/>
      <c r="Y323" s="246"/>
      <c r="Z323" s="246"/>
      <c r="AA323" s="246"/>
      <c r="AB323" s="246"/>
      <c r="AC323" s="246"/>
      <c r="AD323" s="246"/>
      <c r="AE323" s="246"/>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CE323" s="94"/>
    </row>
    <row r="324" spans="2:83" ht="12.75" x14ac:dyDescent="0.15">
      <c r="B324" s="119" t="s">
        <v>887</v>
      </c>
      <c r="C324" s="119"/>
      <c r="D324" s="246"/>
      <c r="E324" s="246"/>
      <c r="F324" s="246"/>
      <c r="G324" s="246"/>
      <c r="H324" s="246"/>
      <c r="I324" s="119" t="s">
        <v>888</v>
      </c>
      <c r="J324" s="170"/>
      <c r="K324" s="170"/>
      <c r="L324" s="246"/>
      <c r="M324" s="246"/>
      <c r="N324" s="246"/>
      <c r="O324" s="246"/>
      <c r="P324" s="246"/>
      <c r="Q324" s="246"/>
      <c r="R324" s="246"/>
      <c r="S324" s="246"/>
      <c r="T324" s="246"/>
      <c r="U324" s="246"/>
      <c r="V324" s="246"/>
      <c r="W324" s="246"/>
      <c r="X324" s="246"/>
      <c r="Y324" s="246"/>
      <c r="Z324" s="246"/>
      <c r="AA324" s="246"/>
      <c r="AB324" s="246"/>
      <c r="AC324" s="246"/>
      <c r="AD324" s="246"/>
      <c r="AE324" s="246"/>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CE324" s="94"/>
    </row>
    <row r="325" spans="2:83" x14ac:dyDescent="0.15">
      <c r="B325" s="246"/>
      <c r="C325" s="246"/>
      <c r="D325" s="246"/>
      <c r="E325" s="246"/>
      <c r="F325" s="246"/>
      <c r="G325" s="246"/>
      <c r="H325" s="246"/>
      <c r="I325" s="246"/>
      <c r="J325" s="170" t="s">
        <v>907</v>
      </c>
      <c r="K325" s="170"/>
      <c r="L325" s="246"/>
      <c r="M325" s="246"/>
      <c r="N325" s="246"/>
      <c r="O325" s="246"/>
      <c r="P325" s="246"/>
      <c r="Q325" s="246"/>
      <c r="R325" s="246"/>
      <c r="S325" s="246"/>
      <c r="T325" s="246"/>
      <c r="U325" s="246"/>
      <c r="V325" s="246"/>
      <c r="W325" s="246"/>
      <c r="X325" s="246"/>
      <c r="Y325" s="246"/>
      <c r="Z325" s="246"/>
      <c r="AA325" s="246"/>
      <c r="AB325" s="246"/>
      <c r="AC325" s="246"/>
      <c r="AD325" s="246"/>
      <c r="AE325" s="246"/>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CE325" s="94"/>
    </row>
    <row r="326" spans="2:83" s="15" customFormat="1" x14ac:dyDescent="0.15">
      <c r="B326" s="246"/>
      <c r="C326" s="246"/>
      <c r="D326" s="246"/>
      <c r="E326" s="246"/>
      <c r="F326" s="246"/>
      <c r="G326" s="246"/>
      <c r="H326" s="246"/>
      <c r="I326" s="246"/>
      <c r="J326" s="170"/>
      <c r="K326" s="170"/>
      <c r="L326" s="246"/>
      <c r="M326" s="246"/>
      <c r="N326" s="246"/>
      <c r="O326" s="246"/>
      <c r="P326" s="246"/>
      <c r="Q326" s="246"/>
      <c r="R326" s="246"/>
      <c r="S326" s="246"/>
      <c r="T326" s="246"/>
      <c r="U326" s="246"/>
      <c r="V326" s="246"/>
      <c r="W326" s="246"/>
      <c r="X326" s="246"/>
      <c r="Y326" s="246"/>
      <c r="Z326" s="246"/>
      <c r="AA326" s="246"/>
      <c r="AB326" s="246"/>
      <c r="AC326" s="246"/>
      <c r="AD326" s="246"/>
      <c r="AE326" s="246"/>
      <c r="CE326" s="94"/>
    </row>
    <row r="327" spans="2:83" x14ac:dyDescent="0.15">
      <c r="B327" s="246"/>
      <c r="C327" s="246"/>
      <c r="D327" s="246"/>
      <c r="E327" s="246"/>
      <c r="F327" s="246"/>
      <c r="G327" s="246"/>
      <c r="H327" s="246"/>
      <c r="I327" s="246"/>
      <c r="J327" s="170"/>
      <c r="K327" s="170"/>
      <c r="L327" s="246"/>
      <c r="M327" s="246"/>
      <c r="N327" s="246"/>
      <c r="O327" s="246"/>
      <c r="P327" s="246"/>
      <c r="Q327" s="246"/>
      <c r="R327" s="246"/>
      <c r="S327" s="246"/>
      <c r="T327" s="246"/>
      <c r="U327" s="246"/>
      <c r="V327" s="246"/>
      <c r="W327" s="246"/>
      <c r="X327" s="246"/>
      <c r="Y327" s="246"/>
      <c r="Z327" s="246"/>
      <c r="AA327" s="246"/>
      <c r="AB327" s="246"/>
      <c r="AC327" s="246"/>
      <c r="AD327" s="246"/>
      <c r="AE327" s="246"/>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CE327" s="94"/>
    </row>
    <row r="328" spans="2:83" ht="12.75" x14ac:dyDescent="0.15">
      <c r="B328" s="119" t="s">
        <v>889</v>
      </c>
      <c r="C328" s="119"/>
      <c r="D328" s="246"/>
      <c r="E328" s="246"/>
      <c r="F328" s="246"/>
      <c r="G328" s="246"/>
      <c r="H328" s="246"/>
      <c r="I328" s="119" t="s">
        <v>890</v>
      </c>
      <c r="J328" s="170"/>
      <c r="K328" s="170"/>
      <c r="L328" s="246"/>
      <c r="M328" s="246"/>
      <c r="N328" s="246"/>
      <c r="O328" s="246"/>
      <c r="P328" s="246"/>
      <c r="Q328" s="246"/>
      <c r="R328" s="246"/>
      <c r="S328" s="246"/>
      <c r="T328" s="246"/>
      <c r="U328" s="246"/>
      <c r="V328" s="246"/>
      <c r="W328" s="246"/>
      <c r="X328" s="246"/>
      <c r="Y328" s="246"/>
      <c r="Z328" s="246"/>
      <c r="AA328" s="246"/>
      <c r="AB328" s="246"/>
      <c r="AC328" s="246"/>
      <c r="AD328" s="246"/>
      <c r="AE328" s="246"/>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CE328" s="94"/>
    </row>
    <row r="329" spans="2:83" x14ac:dyDescent="0.15">
      <c r="B329" s="246"/>
      <c r="C329" s="246"/>
      <c r="D329" s="246"/>
      <c r="E329" s="246"/>
      <c r="F329" s="246"/>
      <c r="G329" s="246"/>
      <c r="H329" s="246"/>
      <c r="I329" s="246"/>
      <c r="J329" s="170" t="s">
        <v>907</v>
      </c>
      <c r="K329" s="170"/>
      <c r="L329" s="246"/>
      <c r="M329" s="246"/>
      <c r="N329" s="246"/>
      <c r="O329" s="246"/>
      <c r="P329" s="246"/>
      <c r="Q329" s="246"/>
      <c r="R329" s="246"/>
      <c r="S329" s="246"/>
      <c r="T329" s="246"/>
      <c r="U329" s="246"/>
      <c r="V329" s="246"/>
      <c r="W329" s="246"/>
      <c r="X329" s="246"/>
      <c r="Y329" s="246"/>
      <c r="Z329" s="246"/>
      <c r="AA329" s="246"/>
      <c r="AB329" s="246"/>
      <c r="AC329" s="246"/>
      <c r="AD329" s="246"/>
      <c r="AE329" s="246"/>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CE329" s="94"/>
    </row>
    <row r="330" spans="2:83" s="15" customFormat="1" x14ac:dyDescent="0.15">
      <c r="B330" s="246"/>
      <c r="C330" s="246"/>
      <c r="D330" s="246"/>
      <c r="E330" s="246"/>
      <c r="F330" s="246"/>
      <c r="G330" s="246"/>
      <c r="H330" s="246"/>
      <c r="I330" s="246"/>
      <c r="J330" s="170"/>
      <c r="K330" s="170"/>
      <c r="L330" s="246"/>
      <c r="M330" s="246"/>
      <c r="N330" s="246"/>
      <c r="O330" s="246"/>
      <c r="P330" s="246"/>
      <c r="Q330" s="246"/>
      <c r="R330" s="246"/>
      <c r="S330" s="246"/>
      <c r="T330" s="246"/>
      <c r="U330" s="246"/>
      <c r="V330" s="246"/>
      <c r="W330" s="246"/>
      <c r="X330" s="246"/>
      <c r="Y330" s="246"/>
      <c r="Z330" s="246"/>
      <c r="AA330" s="246"/>
      <c r="AB330" s="246"/>
      <c r="AC330" s="246"/>
      <c r="AD330" s="246"/>
      <c r="AE330" s="246"/>
      <c r="CE330" s="94"/>
    </row>
    <row r="331" spans="2:83" x14ac:dyDescent="0.15">
      <c r="B331" s="246"/>
      <c r="C331" s="246"/>
      <c r="D331" s="246"/>
      <c r="E331" s="246"/>
      <c r="F331" s="246"/>
      <c r="G331" s="246"/>
      <c r="H331" s="246"/>
      <c r="I331" s="246"/>
      <c r="J331" s="170"/>
      <c r="K331" s="170"/>
      <c r="L331" s="246"/>
      <c r="M331" s="246"/>
      <c r="N331" s="246"/>
      <c r="O331" s="246"/>
      <c r="P331" s="246"/>
      <c r="Q331" s="246"/>
      <c r="R331" s="246"/>
      <c r="S331" s="246"/>
      <c r="T331" s="246"/>
      <c r="U331" s="246"/>
      <c r="V331" s="246"/>
      <c r="W331" s="246"/>
      <c r="X331" s="246"/>
      <c r="Y331" s="246"/>
      <c r="Z331" s="246"/>
      <c r="AA331" s="246"/>
      <c r="AB331" s="246"/>
      <c r="AC331" s="246"/>
      <c r="AD331" s="246"/>
      <c r="AE331" s="246"/>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CE331" s="94"/>
    </row>
    <row r="332" spans="2:83" ht="12.75" x14ac:dyDescent="0.15">
      <c r="B332" s="119" t="s">
        <v>891</v>
      </c>
      <c r="C332" s="119"/>
      <c r="D332" s="246"/>
      <c r="E332" s="246"/>
      <c r="F332" s="246"/>
      <c r="G332" s="246"/>
      <c r="H332" s="246"/>
      <c r="I332" s="119" t="s">
        <v>892</v>
      </c>
      <c r="J332" s="170"/>
      <c r="K332" s="170"/>
      <c r="L332" s="246"/>
      <c r="M332" s="246"/>
      <c r="N332" s="246"/>
      <c r="O332" s="246"/>
      <c r="P332" s="246"/>
      <c r="Q332" s="246"/>
      <c r="R332" s="246"/>
      <c r="S332" s="246"/>
      <c r="T332" s="246"/>
      <c r="U332" s="246"/>
      <c r="V332" s="246"/>
      <c r="W332" s="246"/>
      <c r="X332" s="246"/>
      <c r="Y332" s="246"/>
      <c r="Z332" s="246"/>
      <c r="AA332" s="246"/>
      <c r="AB332" s="246"/>
      <c r="AC332" s="246"/>
      <c r="AD332" s="246"/>
      <c r="AE332" s="246"/>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CE332" s="94"/>
    </row>
    <row r="333" spans="2:83" x14ac:dyDescent="0.15">
      <c r="B333" s="246"/>
      <c r="C333" s="246"/>
      <c r="D333" s="246"/>
      <c r="E333" s="246"/>
      <c r="F333" s="246"/>
      <c r="G333" s="246"/>
      <c r="H333" s="246"/>
      <c r="I333" s="246"/>
      <c r="J333" s="170"/>
      <c r="K333" s="170"/>
      <c r="L333" s="246"/>
      <c r="M333" s="246"/>
      <c r="N333" s="246"/>
      <c r="O333" s="246"/>
      <c r="P333" s="246"/>
      <c r="Q333" s="246"/>
      <c r="R333" s="246"/>
      <c r="S333" s="246"/>
      <c r="T333" s="246"/>
      <c r="U333" s="246"/>
      <c r="V333" s="246"/>
      <c r="W333" s="246"/>
      <c r="X333" s="246"/>
      <c r="Y333" s="246"/>
      <c r="Z333" s="246"/>
      <c r="AA333" s="246"/>
      <c r="AB333" s="246"/>
      <c r="AC333" s="246"/>
      <c r="AD333" s="246"/>
      <c r="AE333" s="246"/>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CE333" s="94"/>
    </row>
    <row r="334" spans="2:83" x14ac:dyDescent="0.15">
      <c r="B334" s="171"/>
      <c r="C334" s="171" t="s">
        <v>893</v>
      </c>
      <c r="D334" s="246"/>
      <c r="E334" s="246"/>
      <c r="F334" s="246"/>
      <c r="G334" s="246"/>
      <c r="H334" s="246"/>
      <c r="I334" s="171" t="s">
        <v>894</v>
      </c>
      <c r="J334" s="170"/>
      <c r="K334" s="170"/>
      <c r="L334" s="246"/>
      <c r="M334" s="246"/>
      <c r="N334" s="246"/>
      <c r="O334" s="246"/>
      <c r="P334" s="246"/>
      <c r="Q334" s="246"/>
      <c r="R334" s="246"/>
      <c r="S334" s="246"/>
      <c r="T334" s="246"/>
      <c r="U334" s="246"/>
      <c r="V334" s="246"/>
      <c r="W334" s="246"/>
      <c r="X334" s="246"/>
      <c r="Y334" s="246"/>
      <c r="Z334" s="246"/>
      <c r="AA334" s="246"/>
      <c r="AB334" s="246"/>
      <c r="AC334" s="246"/>
      <c r="AD334" s="246"/>
      <c r="AE334" s="246"/>
      <c r="CE334" s="94"/>
    </row>
    <row r="335" spans="2:83" x14ac:dyDescent="0.15">
      <c r="B335" s="246" t="s">
        <v>605</v>
      </c>
      <c r="C335" s="246"/>
      <c r="D335" s="246"/>
      <c r="E335" s="246"/>
      <c r="F335" s="246"/>
      <c r="G335" s="246"/>
      <c r="H335" s="246"/>
      <c r="I335" s="246" t="s">
        <v>605</v>
      </c>
      <c r="J335" s="170" t="s">
        <v>895</v>
      </c>
      <c r="K335" s="170"/>
      <c r="L335" s="246"/>
      <c r="M335" s="246"/>
      <c r="N335" s="246"/>
      <c r="O335" s="246"/>
      <c r="P335" s="246"/>
      <c r="Q335" s="246"/>
      <c r="R335" s="246"/>
      <c r="S335" s="246"/>
      <c r="T335" s="246"/>
      <c r="U335" s="246"/>
      <c r="V335" s="246"/>
      <c r="W335" s="246"/>
      <c r="X335" s="246"/>
      <c r="Y335" s="246"/>
      <c r="Z335" s="246"/>
      <c r="AA335" s="246"/>
      <c r="AB335" s="246"/>
      <c r="AC335" s="246"/>
      <c r="AD335" s="246"/>
      <c r="AE335" s="246"/>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CE335" s="94"/>
    </row>
    <row r="336" spans="2:83" x14ac:dyDescent="0.15">
      <c r="B336" s="246" t="s">
        <v>605</v>
      </c>
      <c r="C336" s="246"/>
      <c r="D336" s="246"/>
      <c r="E336" s="246"/>
      <c r="F336" s="246"/>
      <c r="G336" s="246"/>
      <c r="H336" s="246"/>
      <c r="I336" s="246" t="s">
        <v>605</v>
      </c>
      <c r="J336" s="170"/>
      <c r="K336" s="170"/>
      <c r="L336" s="246"/>
      <c r="M336" s="246"/>
      <c r="N336" s="246"/>
      <c r="O336" s="246"/>
      <c r="P336" s="246"/>
      <c r="Q336" s="246"/>
      <c r="R336" s="246"/>
      <c r="S336" s="246"/>
      <c r="T336" s="246"/>
      <c r="U336" s="246"/>
      <c r="V336" s="246"/>
      <c r="W336" s="246"/>
      <c r="X336" s="246"/>
      <c r="Y336" s="246"/>
      <c r="Z336" s="246"/>
      <c r="AA336" s="246"/>
      <c r="AB336" s="246"/>
      <c r="AC336" s="246"/>
      <c r="AD336" s="246"/>
      <c r="AE336" s="246"/>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CE336" s="94"/>
    </row>
    <row r="337" spans="2:83" x14ac:dyDescent="0.15">
      <c r="B337" s="246"/>
      <c r="C337" s="246"/>
      <c r="D337" s="246"/>
      <c r="E337" s="246"/>
      <c r="F337" s="246"/>
      <c r="G337" s="246"/>
      <c r="H337" s="246"/>
      <c r="I337" s="246"/>
      <c r="J337" s="246"/>
      <c r="K337" s="246"/>
      <c r="L337" s="246"/>
      <c r="M337" s="246"/>
      <c r="N337" s="246"/>
      <c r="O337" s="246"/>
      <c r="P337" s="246"/>
      <c r="Q337" s="246"/>
      <c r="R337" s="246"/>
      <c r="S337" s="246"/>
      <c r="T337" s="246"/>
      <c r="U337" s="246"/>
      <c r="V337" s="246"/>
      <c r="W337" s="246"/>
      <c r="X337" s="246"/>
      <c r="Y337" s="246"/>
      <c r="Z337" s="246"/>
      <c r="AA337" s="246"/>
      <c r="AB337" s="246"/>
      <c r="AC337" s="246"/>
      <c r="AD337" s="246"/>
      <c r="AE337" s="246"/>
      <c r="CE337" s="94"/>
    </row>
    <row r="338" spans="2:83" x14ac:dyDescent="0.15">
      <c r="B338" s="246"/>
      <c r="C338" s="246"/>
      <c r="D338" s="246"/>
      <c r="E338" s="246"/>
      <c r="F338" s="246"/>
      <c r="G338" s="246"/>
      <c r="H338" s="246"/>
      <c r="I338" s="246"/>
      <c r="J338" s="246"/>
      <c r="K338" s="246"/>
      <c r="L338" s="246"/>
      <c r="M338" s="246"/>
      <c r="N338" s="246"/>
      <c r="O338" s="246"/>
      <c r="P338" s="246"/>
      <c r="Q338" s="246"/>
      <c r="R338" s="246"/>
      <c r="S338" s="246"/>
      <c r="T338" s="246"/>
      <c r="U338" s="246"/>
      <c r="V338" s="246"/>
      <c r="W338" s="246"/>
      <c r="X338" s="246"/>
      <c r="Y338" s="246"/>
      <c r="Z338" s="246"/>
      <c r="AA338" s="246"/>
      <c r="AB338" s="246"/>
      <c r="AC338" s="246"/>
      <c r="AD338" s="246"/>
      <c r="AE338" s="246"/>
      <c r="CE338" s="94"/>
    </row>
    <row r="339" spans="2:83" x14ac:dyDescent="0.15">
      <c r="B339" s="246"/>
      <c r="C339" s="246"/>
      <c r="D339" s="246"/>
      <c r="E339" s="246"/>
      <c r="F339" s="246"/>
      <c r="G339" s="246"/>
      <c r="H339" s="246"/>
      <c r="I339" s="246"/>
      <c r="J339" s="246"/>
      <c r="K339" s="246"/>
      <c r="L339" s="246"/>
      <c r="M339" s="246"/>
      <c r="N339" s="246"/>
      <c r="O339" s="246"/>
      <c r="P339" s="246"/>
      <c r="Q339" s="246"/>
      <c r="R339" s="246"/>
      <c r="S339" s="246"/>
      <c r="T339" s="246"/>
      <c r="U339" s="246"/>
      <c r="V339" s="246"/>
      <c r="W339" s="246"/>
      <c r="X339" s="246"/>
      <c r="Y339" s="246"/>
      <c r="Z339" s="246"/>
      <c r="AA339" s="246"/>
      <c r="AB339" s="246"/>
      <c r="AC339" s="246"/>
      <c r="AD339" s="246"/>
      <c r="AE339" s="246"/>
      <c r="CE339" s="94"/>
    </row>
    <row r="340" spans="2:83" x14ac:dyDescent="0.15">
      <c r="B340" s="246"/>
      <c r="C340" s="246"/>
      <c r="D340" s="246"/>
      <c r="E340" s="246"/>
      <c r="F340" s="246"/>
      <c r="G340" s="246"/>
      <c r="H340" s="246"/>
      <c r="I340" s="246"/>
      <c r="J340" s="246"/>
      <c r="K340" s="246"/>
      <c r="L340" s="246"/>
      <c r="M340" s="246"/>
      <c r="N340" s="246"/>
      <c r="O340" s="246"/>
      <c r="P340" s="246"/>
      <c r="Q340" s="246"/>
      <c r="R340" s="246"/>
      <c r="S340" s="246"/>
      <c r="T340" s="246"/>
      <c r="U340" s="246"/>
      <c r="V340" s="246"/>
      <c r="W340" s="246"/>
      <c r="X340" s="246"/>
      <c r="Y340" s="246"/>
      <c r="Z340" s="246"/>
      <c r="AA340" s="246"/>
      <c r="AB340" s="246"/>
      <c r="AC340" s="246"/>
      <c r="AD340" s="246"/>
      <c r="AE340" s="246"/>
      <c r="CE340" s="94"/>
    </row>
    <row r="341" spans="2:83" x14ac:dyDescent="0.15">
      <c r="B341" s="246"/>
      <c r="C341" s="246"/>
      <c r="D341" s="246"/>
      <c r="E341" s="246"/>
      <c r="F341" s="246"/>
      <c r="G341" s="246"/>
      <c r="H341" s="246"/>
      <c r="I341" s="246"/>
      <c r="J341" s="246"/>
      <c r="K341" s="246"/>
      <c r="L341" s="246"/>
      <c r="M341" s="246"/>
      <c r="N341" s="246"/>
      <c r="O341" s="246"/>
      <c r="P341" s="246"/>
      <c r="Q341" s="246"/>
      <c r="R341" s="246"/>
      <c r="S341" s="246"/>
      <c r="T341" s="246"/>
      <c r="U341" s="246"/>
      <c r="V341" s="246"/>
      <c r="W341" s="246"/>
      <c r="X341" s="246"/>
      <c r="Y341" s="246"/>
      <c r="Z341" s="246"/>
      <c r="AA341" s="246"/>
      <c r="AB341" s="246"/>
      <c r="AC341" s="246"/>
      <c r="AD341" s="246"/>
      <c r="AE341" s="246"/>
      <c r="CE341" s="94"/>
    </row>
    <row r="342" spans="2:83" x14ac:dyDescent="0.15">
      <c r="B342" s="246"/>
      <c r="C342" s="246"/>
      <c r="D342" s="246"/>
      <c r="E342" s="246"/>
      <c r="F342" s="246"/>
      <c r="G342" s="246"/>
      <c r="H342" s="246"/>
      <c r="I342" s="246"/>
      <c r="J342" s="246"/>
      <c r="K342" s="246"/>
      <c r="L342" s="246"/>
      <c r="M342" s="246"/>
      <c r="N342" s="246"/>
      <c r="O342" s="246"/>
      <c r="P342" s="246"/>
      <c r="Q342" s="246"/>
      <c r="R342" s="246"/>
      <c r="S342" s="246"/>
      <c r="T342" s="246"/>
      <c r="U342" s="246"/>
      <c r="V342" s="246"/>
      <c r="W342" s="246"/>
      <c r="X342" s="246"/>
      <c r="Y342" s="246"/>
      <c r="Z342" s="246"/>
      <c r="AA342" s="246"/>
      <c r="AB342" s="246"/>
      <c r="AC342" s="246"/>
      <c r="AD342" s="246"/>
      <c r="AE342" s="246"/>
      <c r="CE342" s="94"/>
    </row>
    <row r="343" spans="2:83" x14ac:dyDescent="0.15">
      <c r="B343" s="246"/>
      <c r="C343" s="246"/>
      <c r="D343" s="246"/>
      <c r="E343" s="246"/>
      <c r="F343" s="246"/>
      <c r="G343" s="246"/>
      <c r="H343" s="246"/>
      <c r="I343" s="246"/>
      <c r="J343" s="246"/>
      <c r="K343" s="246"/>
      <c r="L343" s="246"/>
      <c r="M343" s="246"/>
      <c r="N343" s="246"/>
      <c r="O343" s="246"/>
      <c r="P343" s="246"/>
      <c r="Q343" s="246"/>
      <c r="R343" s="246"/>
      <c r="S343" s="246"/>
      <c r="T343" s="246"/>
      <c r="U343" s="246"/>
      <c r="V343" s="246"/>
      <c r="W343" s="246"/>
      <c r="X343" s="246"/>
      <c r="Y343" s="246"/>
      <c r="Z343" s="246"/>
      <c r="AA343" s="246"/>
      <c r="AB343" s="246"/>
      <c r="AC343" s="246"/>
      <c r="AD343" s="246"/>
      <c r="AE343" s="246"/>
      <c r="CE343" s="94"/>
    </row>
    <row r="344" spans="2:83" x14ac:dyDescent="0.15">
      <c r="CE344" s="94"/>
    </row>
    <row r="345" spans="2:83" x14ac:dyDescent="0.15">
      <c r="CE345" s="94"/>
    </row>
    <row r="346" spans="2:83" x14ac:dyDescent="0.15">
      <c r="CE346" s="94"/>
    </row>
    <row r="347" spans="2:83" x14ac:dyDescent="0.15">
      <c r="CE347" s="94"/>
    </row>
    <row r="348" spans="2:83" x14ac:dyDescent="0.15">
      <c r="CE348" s="94"/>
    </row>
    <row r="349" spans="2:83" x14ac:dyDescent="0.15">
      <c r="CE349" s="94"/>
    </row>
    <row r="350" spans="2:83" x14ac:dyDescent="0.15">
      <c r="CE350" s="94"/>
    </row>
    <row r="351" spans="2:83" x14ac:dyDescent="0.15">
      <c r="CE351" s="94"/>
    </row>
    <row r="352" spans="2:83" x14ac:dyDescent="0.15">
      <c r="CE352" s="94"/>
    </row>
    <row r="353" spans="83:83" x14ac:dyDescent="0.15">
      <c r="CE353" s="94"/>
    </row>
    <row r="354" spans="83:83" x14ac:dyDescent="0.15">
      <c r="CE354" s="94"/>
    </row>
    <row r="355" spans="83:83" x14ac:dyDescent="0.15">
      <c r="CE355" s="94"/>
    </row>
    <row r="356" spans="83:83" x14ac:dyDescent="0.15">
      <c r="CE356" s="94"/>
    </row>
    <row r="357" spans="83:83" x14ac:dyDescent="0.15">
      <c r="CE357" s="94"/>
    </row>
    <row r="358" spans="83:83" x14ac:dyDescent="0.15">
      <c r="CE358" s="94"/>
    </row>
    <row r="359" spans="83:83" x14ac:dyDescent="0.15">
      <c r="CE359" s="94"/>
    </row>
    <row r="360" spans="83:83" x14ac:dyDescent="0.15">
      <c r="CE360" s="94"/>
    </row>
    <row r="361" spans="83:83" x14ac:dyDescent="0.15">
      <c r="CE361" s="94"/>
    </row>
    <row r="362" spans="83:83" x14ac:dyDescent="0.15">
      <c r="CE362" s="94"/>
    </row>
    <row r="363" spans="83:83" x14ac:dyDescent="0.15">
      <c r="CE363" s="94"/>
    </row>
    <row r="364" spans="83:83" x14ac:dyDescent="0.15">
      <c r="CE364" s="94"/>
    </row>
    <row r="365" spans="83:83" x14ac:dyDescent="0.15">
      <c r="CE365" s="94"/>
    </row>
    <row r="366" spans="83:83" x14ac:dyDescent="0.15">
      <c r="CE366" s="94"/>
    </row>
    <row r="367" spans="83:83" x14ac:dyDescent="0.15">
      <c r="CE367" s="94"/>
    </row>
    <row r="368" spans="83:83" x14ac:dyDescent="0.15">
      <c r="CE368" s="94"/>
    </row>
    <row r="369" spans="83:83" x14ac:dyDescent="0.15">
      <c r="CE369" s="94"/>
    </row>
    <row r="370" spans="83:83" x14ac:dyDescent="0.15">
      <c r="CE370" s="94"/>
    </row>
    <row r="371" spans="83:83" x14ac:dyDescent="0.15">
      <c r="CE371" s="94"/>
    </row>
    <row r="372" spans="83:83" x14ac:dyDescent="0.15">
      <c r="CE372" s="94"/>
    </row>
    <row r="373" spans="83:83" x14ac:dyDescent="0.15">
      <c r="CE373" s="94"/>
    </row>
  </sheetData>
  <sheetProtection sheet="1" objects="1" scenarios="1"/>
  <mergeCells count="71">
    <mergeCell ref="AF240:BE240"/>
    <mergeCell ref="AF243:BE243"/>
    <mergeCell ref="AF198:BE198"/>
    <mergeCell ref="AF210:BE210"/>
    <mergeCell ref="AF213:BE213"/>
    <mergeCell ref="AF216:BE216"/>
    <mergeCell ref="AF145:BE145"/>
    <mergeCell ref="AF222:BE222"/>
    <mergeCell ref="AF227:BE227"/>
    <mergeCell ref="AF234:BE234"/>
    <mergeCell ref="AF237:BE237"/>
    <mergeCell ref="AF176:BE176"/>
    <mergeCell ref="AF181:BE181"/>
    <mergeCell ref="AF185:BE185"/>
    <mergeCell ref="AF191:BE191"/>
    <mergeCell ref="AF149:BE149"/>
    <mergeCell ref="AF152:BE152"/>
    <mergeCell ref="AF158:BE158"/>
    <mergeCell ref="AF155:BE155"/>
    <mergeCell ref="AF48:BE48"/>
    <mergeCell ref="AF57:BE57"/>
    <mergeCell ref="AF63:BE63"/>
    <mergeCell ref="AF66:BE66"/>
    <mergeCell ref="AF70:BE70"/>
    <mergeCell ref="AF49:BE49"/>
    <mergeCell ref="AF294:BE294"/>
    <mergeCell ref="AF251:BE251"/>
    <mergeCell ref="AF257:BE257"/>
    <mergeCell ref="AF263:BE263"/>
    <mergeCell ref="AF266:BE266"/>
    <mergeCell ref="AF272:BE272"/>
    <mergeCell ref="AF275:BE275"/>
    <mergeCell ref="AF278:BE278"/>
    <mergeCell ref="AF281:BE281"/>
    <mergeCell ref="AF290:BE290"/>
    <mergeCell ref="AF253:BE253"/>
    <mergeCell ref="AF254:BE254"/>
    <mergeCell ref="AF255:BE255"/>
    <mergeCell ref="AF139:BE139"/>
    <mergeCell ref="AF74:BE74"/>
    <mergeCell ref="AF77:BE77"/>
    <mergeCell ref="AF84:BE84"/>
    <mergeCell ref="AF93:BE93"/>
    <mergeCell ref="AF102:BE102"/>
    <mergeCell ref="AF113:BE113"/>
    <mergeCell ref="AF119:BE119"/>
    <mergeCell ref="AF124:BE124"/>
    <mergeCell ref="AF127:BE127"/>
    <mergeCell ref="AF132:BE132"/>
    <mergeCell ref="AF136:BE136"/>
    <mergeCell ref="AF103:BE103"/>
    <mergeCell ref="AF104:BE104"/>
    <mergeCell ref="AF125:BE125"/>
    <mergeCell ref="AF9:BE9"/>
    <mergeCell ref="AF16:BE16"/>
    <mergeCell ref="AF21:BE21"/>
    <mergeCell ref="AF36:BE36"/>
    <mergeCell ref="AF39:BE39"/>
    <mergeCell ref="AF22:BE22"/>
    <mergeCell ref="AF23:BE23"/>
    <mergeCell ref="AF33:BE33"/>
    <mergeCell ref="AF34:BE34"/>
    <mergeCell ref="AF25:BE25"/>
    <mergeCell ref="AF26:BE26"/>
    <mergeCell ref="AF27:BE27"/>
    <mergeCell ref="B3:L3"/>
    <mergeCell ref="B4:C4"/>
    <mergeCell ref="D4:E4"/>
    <mergeCell ref="F4:G4"/>
    <mergeCell ref="H4:I4"/>
    <mergeCell ref="J4:K4"/>
  </mergeCells>
  <hyperlinks>
    <hyperlink ref="AF9:BE9" location="HL_Workbook_Purpose_Example" tooltip="Go to Workbook Purpose Example" display="HL_Workbook_Purpose_Example" xr:uid="{00000000-0004-0000-0500-000000000000}"/>
    <hyperlink ref="AF16:BE16" location="HL_Sheet_Classification_Example" tooltip="Go to Sheet Classification Example" display="HL_Sheet_Classification_Example" xr:uid="{00000000-0004-0000-0500-000001000000}"/>
    <hyperlink ref="AF21:BE21" location="HL_Cover_sheet_Example" tooltip="Go to Cover sheet Example" display="HL_Cover_sheet_Example" xr:uid="{00000000-0004-0000-0500-000002000000}"/>
    <hyperlink ref="AF22:BE22" location="HL_Contents_sheet_Example" tooltip="Go to Contents sheet Example" display="HL_Contents_sheet_Example" xr:uid="{00000000-0004-0000-0500-000003000000}"/>
    <hyperlink ref="AF23:BE23" location="HL_Section_cover_sheet_Example" tooltip="Go to Section cover sheet Example" display="HL_Section_cover_sheet_Example" xr:uid="{00000000-0004-0000-0500-000004000000}"/>
    <hyperlink ref="AF25:BE25" location="HL_Time_series_sheet_Example" tooltip="Go to Time series sheet Example" display="HL_Time_series_sheet_Example" xr:uid="{00000000-0004-0000-0500-000005000000}"/>
    <hyperlink ref="AF26:BE26" location="HL_Blank_sheet_Example" tooltip="Go to Blank sheet Example" display="HL_Blank_sheet_Example" xr:uid="{00000000-0004-0000-0500-000006000000}"/>
    <hyperlink ref="AF27:BE27" location="HL_Lookup_sheet_Example" tooltip="Go to Lookup sheet  Example" display="HL_Lookup_sheet_Example" xr:uid="{00000000-0004-0000-0500-000007000000}"/>
    <hyperlink ref="AF33:BE33" location="HL_Assumption_sheet_Example" tooltip="Go to Assumption sheet Example" display="HL_Assumption_sheet_Example" xr:uid="{00000000-0004-0000-0500-000008000000}"/>
    <hyperlink ref="AF34:BE34" location="HL_Output_sheet_Example" tooltip="Go to Output sheet Example" display="HL_Output_sheet_Example" xr:uid="{00000000-0004-0000-0500-000009000000}"/>
    <hyperlink ref="AF36:BE36" location="HL_Cell_Classification_Example" tooltip="Go to Cell Classification Example" display="HL_Cell_Classification_Example" xr:uid="{00000000-0004-0000-0500-00000A000000}"/>
    <hyperlink ref="AF39:BE39" location="HL_Cell_Content_Example" tooltip="Go to Cell Content Example" display="HL_Cell_Content_Example" xr:uid="{00000000-0004-0000-0500-00000B000000}"/>
    <hyperlink ref="AF48:BE48" location="HL_Assumption_cell_Example" tooltip="Go to Assumption cell Example" display="HL_Assumption_cell_Example" xr:uid="{00000000-0004-0000-0500-00000C000000}"/>
    <hyperlink ref="AF49:BE49" location="HL_Output_cell_Example" tooltip="Go to Output cell Example" display="HL_Output_cell_Example" xr:uid="{00000000-0004-0000-0500-00000D000000}"/>
    <hyperlink ref="AF57:BE57" location="HL_Assumption_Cell_Content_Example" tooltip="Go to Assumption Cell Content Example" display="HL_Assumption_Cell_Content_Example" xr:uid="{00000000-0004-0000-0500-00000E000000}"/>
    <hyperlink ref="AF63:BE63" location="HL_Cover_sheet_Example" tooltip="Go to Cover sheet Example" display="HL_Cover_sheet_Example" xr:uid="{00000000-0004-0000-0500-00000F000000}"/>
    <hyperlink ref="AF74:BE74" location="HL_Contents_sheet_Example" tooltip="Go to Contents sheet Example" display="HL_Contents_sheet_Example" xr:uid="{00000000-0004-0000-0500-000010000000}"/>
    <hyperlink ref="AF66:BE66" location="HL_Section_cover_sheet_Example" tooltip="Go to Section cover sheet Example" display="HL_Section_cover_sheet_Example" xr:uid="{00000000-0004-0000-0500-000011000000}"/>
    <hyperlink ref="AF70:BE70" location="HL_Section_cover_sheet_Example" tooltip="Go to Section cover sheet Example" display="HL_Section_cover_sheet_Example" xr:uid="{00000000-0004-0000-0500-000012000000}"/>
    <hyperlink ref="AF77:BE77" location="HL_Contents_sheet_Example" tooltip="Go to Contents sheet Example" display="HL_Contents_sheet_Example" xr:uid="{00000000-0004-0000-0500-000013000000}"/>
    <hyperlink ref="AF84:BE84" location="HL_Workbook_Navigation_Example" tooltip="Go to Workbook Navigation Example" display="HL_Workbook_Navigation_Example" xr:uid="{00000000-0004-0000-0500-000014000000}"/>
    <hyperlink ref="AF93:BE93" location="HL_Sheet_Titles_Example" tooltip="Go to Sheet Titles Example" display="HL_Sheet_Titles_Example" xr:uid="{00000000-0004-0000-0500-000015000000}"/>
    <hyperlink ref="AF102:BE102" location="HL_Sheet_Type_Consistency_Example_A" tooltip="Go to Sheet Type Consistency Example A" display="HL_Sheet_Type_Consistency_Example_A" xr:uid="{00000000-0004-0000-0500-000016000000}"/>
    <hyperlink ref="AF103:BE103" location="HL_Sheet_Main_29" tooltip="Go to Sheet Type Consistency Example B" display="HL_Sheet_Main_29" xr:uid="{00000000-0004-0000-0500-000017000000}"/>
    <hyperlink ref="AF104:BE104" location="HL_Sheet_Type_Consistency_Example_C" tooltip="Go to Sheet Type Consistency Example C" display="HL_Sheet_Type_Consistency_Example_C" xr:uid="{00000000-0004-0000-0500-000018000000}"/>
    <hyperlink ref="AF113:BE113" location="HL_Grouping_Rows_or_Columns_Example" tooltip="Go to Grouping Rows or Columns Example" display="HL_Grouping_Rows_or_Columns_Example" xr:uid="{00000000-0004-0000-0500-000019000000}"/>
    <hyperlink ref="AF119:BE119" location="HL_Formats_and_Styles_Key_Example" tooltip="Go to Formats and Styles Key Example" display="HL_Formats_and_Styles_Key_Example" xr:uid="{00000000-0004-0000-0500-00001A000000}"/>
    <hyperlink ref="AF124:BE124" location="HL_Worksheet_Data_Alignment_Example_A" tooltip="Go to Worksheet Data Alignment Example A" display="HL_Worksheet_Data_Alignment_Example_A" xr:uid="{00000000-0004-0000-0500-00001B000000}"/>
    <hyperlink ref="AF125:BE125" location="HL_Go_to_Worksheet_Data_Alignment_Example_B" tooltip="Go to Worksheet Data Alignment Example B" display="HL_Go_to_Worksheet_Data_Alignment_Example_B" xr:uid="{00000000-0004-0000-0500-00001C000000}"/>
    <hyperlink ref="AF127:BE127" location="HL_Denomination_Identification_Example" tooltip="Go to Denomination Identification Example" display="HL_Denomination_Identification_Example" xr:uid="{00000000-0004-0000-0500-00001D000000}"/>
    <hyperlink ref="AF132:BE132" location="HL_Workbook_Denomination_Example" tooltip="Go to Workbook Denomination Example" display="HL_Workbook_Denomination_Example" xr:uid="{00000000-0004-0000-0500-00001E000000}"/>
    <hyperlink ref="AF136:BE136" location="HL_Hyperlink_Consistency_Example" tooltip="Go to Hyperlink Consistency Example" display="HL_Hyperlink_Consistency_Example" xr:uid="{00000000-0004-0000-0500-00001F000000}"/>
    <hyperlink ref="AF139:BE139" location="HL_Work_in_Progress_Example" tooltip="Go to Work in Progress Example" display="HL_Work_in_Progress_Example" xr:uid="{00000000-0004-0000-0500-000020000000}"/>
    <hyperlink ref="AF145:BE145" location="HL_Assumption_sheet_Example" tooltip="Go to Assumption sheet Example" display="HL_Assumption_sheet_Example" xr:uid="{00000000-0004-0000-0500-000021000000}"/>
    <hyperlink ref="AF149:BE149" location="HL_No_Assumption_Repetition_Example" tooltip="Go to No Assumption Repetition Example" display="HL_No_Assumption_Repetition_Example" xr:uid="{00000000-0004-0000-0500-000022000000}"/>
    <hyperlink ref="AF152:BE152" location="HL_Control_Cell_Link_Placement_Example" tooltip="Go to Control Cell Link Placement Example" display="HL_Control_Cell_Link_Placement_Example" xr:uid="{00000000-0004-0000-0500-000023000000}"/>
    <hyperlink ref="AF155:BE155" location="HL_Lookup_sheet_Example" tooltip="Go to Lookup sheet  Example" display="HL_Lookup_sheet_Example" xr:uid="{00000000-0004-0000-0500-000024000000}"/>
    <hyperlink ref="AF158:BE158" location="HL_In_Cell_Drop_Down_Lists_Example" tooltip="Go to In-Cell Drop Down Lists Example" display="HL_In_Cell_Drop_Down_Lists_Example" xr:uid="{00000000-0004-0000-0500-000025000000}"/>
    <hyperlink ref="AF181:BE181" location="HL_Presentation_Sheets_Example" tooltip="Go to Presentation Sheets Example" display="HL_Presentation_Sheets_Example" xr:uid="{00000000-0004-0000-0500-000026000000}"/>
    <hyperlink ref="AF185:BE185" location="HL_Presentation_Sheets_Example" tooltip="Go to Presentation Sheets Example" display="HL_Presentation_Sheets_Example" xr:uid="{00000000-0004-0000-0500-000027000000}"/>
    <hyperlink ref="AF198:BE198" location="HL_Circular_References_Example" tooltip="Go to Circular References Example" display="HL_Circular_References_Example" xr:uid="{00000000-0004-0000-0500-000028000000}"/>
    <hyperlink ref="AF191:BE191" location="HL_Consistent_Formulae_Example" tooltip="Go to Consistent Formulae Example" display="HL_Consistent_Formulae_Example" xr:uid="{00000000-0004-0000-0500-000029000000}"/>
    <hyperlink ref="AF210:BE210" location="HL_Sheet_Naming_Example" tooltip="Go to Sheet Naming Example" display="HL_Sheet_Naming_Example" xr:uid="{00000000-0004-0000-0500-00002A000000}"/>
    <hyperlink ref="AF216:BE216" location="HL_Standardised_Naming_Prefixes_Example" tooltip="Go to Standardised Naming Prefixes Example" display="HL_Standardised_Naming_Prefixes_Example" xr:uid="{00000000-0004-0000-0500-00002B000000}"/>
    <hyperlink ref="AF213:BE213" location="HL_Range_Naming_Example" tooltip="Go to Range Naming Example" display="HL_Range_Naming_Example" xr:uid="{00000000-0004-0000-0500-00002C000000}"/>
    <hyperlink ref="AF222:BE222" location="HL_Time_Series_Assumptions_Example" tooltip="Go to Time Series Assumptions Example" display="HL_Time_Series_Assumptions_Example" xr:uid="{00000000-0004-0000-0500-00002D000000}"/>
    <hyperlink ref="AF227:BE227" location="HL_Time_Series_Period_Labels_Example" tooltip="Go to Time Series Period Labels Example" display="HL_Time_Series_Period_Labels_Example" xr:uid="{00000000-0004-0000-0500-00002E000000}"/>
    <hyperlink ref="AF234:BE234" location="HL_Time_Series_Period_End_Dates_Example" tooltip="Go to Time Series Period End Dates Example" display="HL_Time_Series_Period_End_Dates_Example" xr:uid="{00000000-0004-0000-0500-00002F000000}"/>
    <hyperlink ref="AF237:BE237" location="HL_Time_Series_Periodicity_Identification_Example" tooltip="Go to Time Series Periodicity Identification Example" display="HL_Time_Series_Periodicity_Identification_Example" xr:uid="{00000000-0004-0000-0500-000030000000}"/>
    <hyperlink ref="AF240:BE240" location="HL_Time_Series_Number_of_Periods_Example" tooltip="Go to Time Series Number of Periods Example" display="HL_Time_Series_Number_of_Periods_Example" xr:uid="{00000000-0004-0000-0500-000031000000}"/>
    <hyperlink ref="AF243:BE243" location="HL_Time_Series_Sheet_Consistency_Example" tooltip="Go to Time Series Sheet Consistency Example" display="HL_Time_Series_Sheet_Consistency_Example" xr:uid="{00000000-0004-0000-0500-000032000000}"/>
    <hyperlink ref="AF253:BE253" location="HL_Error_Check_Example" tooltip="Go to Error Check Example" display="HL_Error_Check_Example" xr:uid="{00000000-0004-0000-0500-000033000000}"/>
    <hyperlink ref="AF255:BE255" location="HL_Alert_Check_Example" tooltip="Go to Alert Check Example" display="HL_Alert_Check_Example" xr:uid="{00000000-0004-0000-0500-000034000000}"/>
    <hyperlink ref="AF257:BE257" location="HL_Error_Check_Example" tooltip="Go to Error Check Example" display="HL_Error_Check_Example" xr:uid="{00000000-0004-0000-0500-000035000000}"/>
    <hyperlink ref="AF263:BE263" location="HL_Alert_Check_Example" tooltip="Go to Alert Check Example" display="HL_Alert_Check_Example" xr:uid="{00000000-0004-0000-0500-000036000000}"/>
    <hyperlink ref="AF251:BE251" location="HL_Checks_Classification_Example" tooltip="Go to Checks Classification Example" display="HL_Checks_Classification_Example" xr:uid="{00000000-0004-0000-0500-000037000000}"/>
    <hyperlink ref="AF266:BE266" location="HL_Error_Checks_Summary_Example" tooltip="Go to Error Checks Summary Example" display="HL_Error_Checks_Summary_Example" xr:uid="{00000000-0004-0000-0500-000038000000}"/>
    <hyperlink ref="AF272:BE272" location="HL_Alert_Checks_Summary_Example" tooltip="Go to Alert Checks Summary Example" display="HL_Alert_Checks_Summary_Example" xr:uid="{00000000-0004-0000-0500-000039000000}"/>
    <hyperlink ref="AF275:BE275" location="HL_Check_Indicator_Flag_Example" tooltip="Go to Check Indicator Flag Example" display="HL_Check_Indicator_Flag_Example" xr:uid="{00000000-0004-0000-0500-00003A000000}"/>
    <hyperlink ref="AF278:BE278" location="HL_Check_Cell_Formatting_Example" tooltip="Go to Check Cell Formatting Example" display="HL_Check_Cell_Formatting_Example" xr:uid="{00000000-0004-0000-0500-00003B000000}"/>
    <hyperlink ref="AF281:BE281" location="HL_Dedicated_Checks_Summaries_Example" tooltip="Go to Dedicated Checks Summaries Example" display="HL_Dedicated_Checks_Summaries_Example" xr:uid="{00000000-0004-0000-0500-00003C000000}"/>
    <hyperlink ref="B3" location="HL_Home" tooltip="Go to Table of Contents" display="HL_Home" xr:uid="{00000000-0004-0000-0500-00003D000000}"/>
    <hyperlink ref="A4" location="$B$5" tooltip="Go to Top of Sheet" display="$B$5" xr:uid="{00000000-0004-0000-0500-00003E000000}"/>
    <hyperlink ref="D4" location="HL_Sheet_Main_11" tooltip="Go to Next Sheet" display="HL_Sheet_Main_11" xr:uid="{00000000-0004-0000-0500-00003F000000}"/>
    <hyperlink ref="B4" location="HL_Formats_and_Styles_Key_Example" tooltip="Go to Previous Sheet" display="HL_Formats_and_Styles_Key_Example" xr:uid="{00000000-0004-0000-0500-000040000000}"/>
    <hyperlink ref="F4" location="HL_Err_Chk" tooltip="Go to Error Checks" display="HL_Err_Chk" xr:uid="{00000000-0004-0000-0500-000041000000}"/>
    <hyperlink ref="H4" location="HL_Sens_Chk" tooltip="Go to Sensitivity Checks" display="HL_Sens_Chk" xr:uid="{00000000-0004-0000-0500-000042000000}"/>
    <hyperlink ref="J4" location="HL_Alt_Chk" tooltip="Go to Alert Checks" display="HL_Alt_Chk" xr:uid="{00000000-0004-0000-0500-000043000000}"/>
    <hyperlink ref="AF290:BE290" location="HL_Table_of_Contents_Page_Numbers_Example" tooltip="Go to Table of Contents Page Numbers Example" display="HL_Table_of_Contents_Page_Numbers_Example" xr:uid="{00000000-0004-0000-0500-000044000000}"/>
    <hyperlink ref="AF176:BE176" location="HL_Segregation_of_Outputs_Example" tooltip="Go to Segregation of Outputs Example" display="HL_Segregation_of_Outputs_Example" xr:uid="{00000000-0004-0000-0500-000045000000}"/>
    <hyperlink ref="AF294:BE294" location="HL_Sheet_Page_Numbers_Example" tooltip="Go to Sheet Page Numbers Example" display="HL_Sheet_Page_Numbers_Example" xr:uid="{00000000-0004-0000-0500-000046000000}"/>
  </hyperlinks>
  <pageMargins left="0.39370078740157483" right="0.39370078740157483" top="0.59055118110236227" bottom="0.98425196850393704" header="0" footer="0.31496062992125984"/>
  <pageSetup paperSize="9" scale="83" orientation="landscape" verticalDpi="0" r:id="rId1"/>
  <headerFooter>
    <oddFooter>&amp;L&amp;F
&amp;A
Printed: &amp;T on &amp;D&amp;CPage &amp;P of &amp;N</oddFooter>
  </headerFooter>
  <rowBreaks count="7" manualBreakCount="7">
    <brk id="44" min="1" max="76" man="1"/>
    <brk id="90" min="1" max="76" man="1"/>
    <brk id="135" min="1" max="76" man="1"/>
    <brk id="173" min="1" max="76" man="1"/>
    <brk id="215" min="1" max="76" man="1"/>
    <brk id="259" min="1" max="76" man="1"/>
    <brk id="302" min="1" max="7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319</v>
      </c>
    </row>
    <row r="10" spans="3:7" ht="16.5" x14ac:dyDescent="0.15">
      <c r="C10" s="27" t="s">
        <v>212</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308</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0600-000000000000}"/>
    <hyperlink ref="C13" location="HL_Sheet_Main" tooltip="Go to Previous Sheet" display="HL_Sheet_Main" xr:uid="{00000000-0004-0000-0600-000001000000}"/>
    <hyperlink ref="D13" location="HL_Formats_and_Styles_Key_Example" tooltip="Go to Next Sheet" display="HL_Formats_and_Styles_Key_Example" xr:uid="{00000000-0004-0000-06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autoPageBreaks="0"/>
  </sheetPr>
  <dimension ref="A1:N133"/>
  <sheetViews>
    <sheetView showGridLines="0" zoomScaleNormal="100" workbookViewId="0">
      <pane xSplit="1" ySplit="4" topLeftCell="B7"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5" width="3.83203125" customWidth="1"/>
    <col min="6" max="256" width="11.83203125" customWidth="1"/>
  </cols>
  <sheetData>
    <row r="1" spans="1:14" ht="18" x14ac:dyDescent="0.15">
      <c r="B1" s="1" t="s">
        <v>319</v>
      </c>
    </row>
    <row r="2" spans="1:14" ht="15" x14ac:dyDescent="0.15">
      <c r="B2" s="2" t="str">
        <f ca="1">Model_Name</f>
        <v>Example Best Practice Model 6.1</v>
      </c>
    </row>
    <row r="3" spans="1:14" x14ac:dyDescent="0.15">
      <c r="B3" s="270" t="s">
        <v>48</v>
      </c>
      <c r="C3" s="270"/>
      <c r="D3" s="270"/>
      <c r="E3" s="270"/>
      <c r="F3" s="270"/>
    </row>
    <row r="4" spans="1:14" ht="12.75" x14ac:dyDescent="0.15">
      <c r="A4" s="10" t="s">
        <v>51</v>
      </c>
      <c r="B4" s="11" t="s">
        <v>53</v>
      </c>
      <c r="C4" s="12" t="s">
        <v>102</v>
      </c>
      <c r="D4" s="265" t="s">
        <v>220</v>
      </c>
      <c r="E4" s="265" t="s">
        <v>221</v>
      </c>
      <c r="F4" s="13" t="s">
        <v>222</v>
      </c>
    </row>
    <row r="7" spans="1:14" ht="12.75" x14ac:dyDescent="0.15">
      <c r="B7" s="32" t="s">
        <v>105</v>
      </c>
    </row>
    <row r="9" spans="1:14" ht="11.25" x14ac:dyDescent="0.15">
      <c r="C9" s="17"/>
      <c r="D9" s="34" t="s">
        <v>106</v>
      </c>
      <c r="E9" s="17"/>
      <c r="F9" s="17"/>
      <c r="G9" s="17"/>
      <c r="H9" s="34" t="s">
        <v>107</v>
      </c>
      <c r="I9" s="17"/>
      <c r="J9" s="17"/>
      <c r="K9" s="17"/>
      <c r="L9" s="17"/>
      <c r="M9" s="309" t="s">
        <v>108</v>
      </c>
      <c r="N9" s="309"/>
    </row>
    <row r="10" spans="1:14" ht="5.0999999999999996" customHeight="1" x14ac:dyDescent="0.15"/>
    <row r="11" spans="1:14" x14ac:dyDescent="0.15">
      <c r="D11" s="25" t="s">
        <v>320</v>
      </c>
    </row>
    <row r="12" spans="1:14" ht="5.0999999999999996" customHeight="1" x14ac:dyDescent="0.15"/>
    <row r="13" spans="1:14" x14ac:dyDescent="0.15">
      <c r="D13" s="308" t="s">
        <v>109</v>
      </c>
      <c r="E13" s="308"/>
      <c r="F13" s="308"/>
      <c r="G13" s="308"/>
      <c r="H13" s="308" t="s">
        <v>110</v>
      </c>
      <c r="I13" s="308"/>
      <c r="J13" s="308"/>
      <c r="K13" s="308"/>
      <c r="L13" s="308"/>
      <c r="M13" s="319" t="s">
        <v>111</v>
      </c>
      <c r="N13" s="319"/>
    </row>
    <row r="14" spans="1:14" ht="5.0999999999999996" customHeight="1" x14ac:dyDescent="0.15"/>
    <row r="15" spans="1:14" x14ac:dyDescent="0.15">
      <c r="D15" s="308" t="s">
        <v>112</v>
      </c>
      <c r="E15" s="308"/>
      <c r="F15" s="308"/>
      <c r="G15" s="308"/>
      <c r="H15" s="308" t="s">
        <v>321</v>
      </c>
      <c r="I15" s="308"/>
      <c r="J15" s="308"/>
      <c r="K15" s="308"/>
      <c r="L15" s="308"/>
      <c r="M15" s="317" t="s">
        <v>113</v>
      </c>
      <c r="N15" s="317"/>
    </row>
    <row r="16" spans="1:14" ht="5.0999999999999996" customHeight="1" x14ac:dyDescent="0.15"/>
    <row r="17" spans="4:14" x14ac:dyDescent="0.15">
      <c r="D17" s="308" t="s">
        <v>114</v>
      </c>
      <c r="E17" s="308"/>
      <c r="F17" s="308"/>
      <c r="G17" s="308"/>
      <c r="H17" s="308" t="s">
        <v>115</v>
      </c>
      <c r="I17" s="308"/>
      <c r="J17" s="308"/>
      <c r="K17" s="308"/>
      <c r="L17" s="308"/>
      <c r="M17" s="318" t="s">
        <v>116</v>
      </c>
      <c r="N17" s="318"/>
    </row>
    <row r="18" spans="4:14" x14ac:dyDescent="0.15">
      <c r="D18" s="308"/>
      <c r="E18" s="308"/>
      <c r="F18" s="308"/>
      <c r="G18" s="308"/>
      <c r="H18" s="308"/>
      <c r="I18" s="308"/>
      <c r="J18" s="308"/>
      <c r="K18" s="308"/>
      <c r="L18" s="308"/>
    </row>
    <row r="19" spans="4:14" ht="5.0999999999999996" customHeight="1" x14ac:dyDescent="0.15"/>
    <row r="20" spans="4:14" x14ac:dyDescent="0.15">
      <c r="D20" s="308" t="s">
        <v>117</v>
      </c>
      <c r="E20" s="308"/>
      <c r="F20" s="308"/>
      <c r="G20" s="308"/>
      <c r="H20" s="308" t="s">
        <v>118</v>
      </c>
      <c r="I20" s="308"/>
      <c r="J20" s="308"/>
      <c r="K20" s="308"/>
      <c r="L20" s="308"/>
      <c r="M20" s="316" t="s">
        <v>119</v>
      </c>
      <c r="N20" s="316"/>
    </row>
    <row r="21" spans="4:14" x14ac:dyDescent="0.15">
      <c r="D21" s="308"/>
      <c r="E21" s="308"/>
      <c r="F21" s="308"/>
      <c r="G21" s="308"/>
      <c r="H21" s="308"/>
      <c r="I21" s="308"/>
      <c r="J21" s="308"/>
      <c r="K21" s="308"/>
      <c r="L21" s="308"/>
    </row>
    <row r="22" spans="4:14" ht="5.0999999999999996" customHeight="1" x14ac:dyDescent="0.15"/>
    <row r="23" spans="4:14" x14ac:dyDescent="0.15">
      <c r="D23" s="308" t="s">
        <v>120</v>
      </c>
      <c r="E23" s="308"/>
      <c r="F23" s="308"/>
      <c r="G23" s="308"/>
      <c r="H23" s="308" t="s">
        <v>121</v>
      </c>
      <c r="I23" s="308"/>
      <c r="J23" s="308"/>
      <c r="K23" s="308"/>
      <c r="L23" s="308"/>
      <c r="M23" s="311" t="s">
        <v>120</v>
      </c>
      <c r="N23" s="311"/>
    </row>
    <row r="24" spans="4:14" x14ac:dyDescent="0.15">
      <c r="D24" s="308"/>
      <c r="E24" s="308"/>
      <c r="F24" s="308"/>
      <c r="G24" s="308"/>
      <c r="H24" s="308"/>
      <c r="I24" s="308"/>
      <c r="J24" s="308"/>
      <c r="K24" s="308"/>
      <c r="L24" s="308"/>
    </row>
    <row r="25" spans="4:14" ht="5.0999999999999996" customHeight="1" x14ac:dyDescent="0.15"/>
    <row r="26" spans="4:14" x14ac:dyDescent="0.15">
      <c r="D26" s="25" t="s">
        <v>322</v>
      </c>
    </row>
    <row r="27" spans="4:14" ht="5.0999999999999996" customHeight="1" x14ac:dyDescent="0.15"/>
    <row r="28" spans="4:14" x14ac:dyDescent="0.15">
      <c r="D28" s="308" t="s">
        <v>323</v>
      </c>
      <c r="E28" s="308"/>
      <c r="F28" s="308"/>
      <c r="G28" s="308"/>
      <c r="H28" s="308" t="s">
        <v>324</v>
      </c>
      <c r="I28" s="308"/>
      <c r="J28" s="308"/>
      <c r="K28" s="308"/>
      <c r="L28" s="308"/>
      <c r="M28" s="314"/>
      <c r="N28" s="314"/>
    </row>
    <row r="29" spans="4:14" ht="5.0999999999999996" customHeight="1" x14ac:dyDescent="0.15"/>
    <row r="30" spans="4:14" x14ac:dyDescent="0.15">
      <c r="D30" s="308" t="s">
        <v>122</v>
      </c>
      <c r="E30" s="308"/>
      <c r="F30" s="308"/>
      <c r="G30" s="308"/>
      <c r="H30" s="308" t="s">
        <v>123</v>
      </c>
      <c r="I30" s="308"/>
      <c r="J30" s="308"/>
      <c r="K30" s="308"/>
      <c r="L30" s="308"/>
      <c r="M30" s="315"/>
      <c r="N30" s="315"/>
    </row>
    <row r="31" spans="4:14" x14ac:dyDescent="0.15">
      <c r="D31" s="308"/>
      <c r="E31" s="308"/>
      <c r="F31" s="308"/>
      <c r="G31" s="308"/>
      <c r="H31" s="308"/>
      <c r="I31" s="308"/>
      <c r="J31" s="308"/>
      <c r="K31" s="308"/>
      <c r="L31" s="308"/>
    </row>
    <row r="32" spans="4:14" ht="5.0999999999999996" customHeight="1" x14ac:dyDescent="0.15"/>
    <row r="33" spans="3:14" x14ac:dyDescent="0.15">
      <c r="D33" s="308" t="s">
        <v>124</v>
      </c>
      <c r="E33" s="308"/>
      <c r="F33" s="308"/>
      <c r="G33" s="308"/>
      <c r="H33" s="308" t="s">
        <v>325</v>
      </c>
      <c r="I33" s="308"/>
      <c r="J33" s="308"/>
      <c r="K33" s="308"/>
      <c r="L33" s="308"/>
      <c r="M33" s="312"/>
      <c r="N33" s="313"/>
    </row>
    <row r="34" spans="3:14" x14ac:dyDescent="0.15">
      <c r="D34" s="308"/>
      <c r="E34" s="308"/>
      <c r="F34" s="308"/>
      <c r="G34" s="308"/>
      <c r="H34" s="308"/>
      <c r="I34" s="308"/>
      <c r="J34" s="308"/>
      <c r="K34" s="308"/>
      <c r="L34" s="308"/>
    </row>
    <row r="35" spans="3:14" ht="5.0999999999999996" customHeight="1" x14ac:dyDescent="0.15">
      <c r="C35" s="17"/>
      <c r="D35" s="17"/>
      <c r="E35" s="17"/>
      <c r="F35" s="17"/>
      <c r="G35" s="17"/>
      <c r="H35" s="17"/>
      <c r="I35" s="17"/>
      <c r="J35" s="17"/>
      <c r="K35" s="17"/>
      <c r="L35" s="17"/>
      <c r="M35" s="17"/>
      <c r="N35" s="17"/>
    </row>
    <row r="38" spans="3:14" ht="11.25" x14ac:dyDescent="0.15">
      <c r="C38" s="17"/>
      <c r="D38" s="34" t="s">
        <v>125</v>
      </c>
      <c r="E38" s="17"/>
      <c r="F38" s="17"/>
      <c r="G38" s="17"/>
      <c r="H38" s="34" t="s">
        <v>126</v>
      </c>
      <c r="I38" s="17"/>
      <c r="J38" s="17"/>
      <c r="K38" s="17"/>
      <c r="L38" s="17"/>
      <c r="M38" s="309" t="s">
        <v>108</v>
      </c>
      <c r="N38" s="309"/>
    </row>
    <row r="39" spans="3:14" ht="5.0999999999999996" customHeight="1" x14ac:dyDescent="0.15"/>
    <row r="40" spans="3:14" x14ac:dyDescent="0.15">
      <c r="D40" s="308" t="s">
        <v>127</v>
      </c>
      <c r="E40" s="308"/>
      <c r="F40" s="308"/>
      <c r="G40" s="308"/>
      <c r="H40" s="308" t="s">
        <v>128</v>
      </c>
      <c r="I40" s="308"/>
      <c r="J40" s="308"/>
      <c r="K40" s="308"/>
      <c r="L40" s="308"/>
      <c r="M40" s="311" t="s">
        <v>326</v>
      </c>
      <c r="N40" s="311"/>
    </row>
    <row r="41" spans="3:14" ht="5.0999999999999996" customHeight="1" x14ac:dyDescent="0.15"/>
    <row r="42" spans="3:14" x14ac:dyDescent="0.15">
      <c r="D42" s="308" t="s">
        <v>129</v>
      </c>
      <c r="E42" s="308"/>
      <c r="F42" s="308"/>
      <c r="G42" s="308"/>
      <c r="H42" s="308" t="s">
        <v>130</v>
      </c>
      <c r="I42" s="308"/>
      <c r="J42" s="308"/>
      <c r="K42" s="308"/>
      <c r="L42" s="308"/>
      <c r="M42" s="311" t="s">
        <v>327</v>
      </c>
      <c r="N42" s="311"/>
    </row>
    <row r="43" spans="3:14" ht="5.0999999999999996" customHeight="1" x14ac:dyDescent="0.15"/>
    <row r="44" spans="3:14" x14ac:dyDescent="0.15">
      <c r="D44" s="308" t="s">
        <v>131</v>
      </c>
      <c r="E44" s="308"/>
      <c r="F44" s="308"/>
      <c r="G44" s="308"/>
      <c r="H44" s="308" t="s">
        <v>132</v>
      </c>
      <c r="I44" s="308"/>
      <c r="J44" s="308"/>
      <c r="K44" s="308"/>
      <c r="L44" s="308"/>
      <c r="M44" s="311" t="s">
        <v>133</v>
      </c>
      <c r="N44" s="311"/>
    </row>
    <row r="45" spans="3:14" ht="5.0999999999999996" customHeight="1" x14ac:dyDescent="0.15"/>
    <row r="46" spans="3:14" ht="12.75" x14ac:dyDescent="0.15">
      <c r="D46" s="308" t="s">
        <v>134</v>
      </c>
      <c r="E46" s="308"/>
      <c r="F46" s="308"/>
      <c r="G46" s="308"/>
      <c r="H46" s="308" t="s">
        <v>135</v>
      </c>
      <c r="I46" s="308"/>
      <c r="J46" s="308"/>
      <c r="K46" s="308"/>
      <c r="L46" s="308"/>
      <c r="M46" s="310" t="s">
        <v>51</v>
      </c>
      <c r="N46" s="310"/>
    </row>
    <row r="47" spans="3:14" ht="5.0999999999999996" customHeight="1" x14ac:dyDescent="0.15"/>
    <row r="48" spans="3:14" ht="12.75" x14ac:dyDescent="0.15">
      <c r="D48" s="308" t="s">
        <v>136</v>
      </c>
      <c r="E48" s="308"/>
      <c r="F48" s="308"/>
      <c r="G48" s="308"/>
      <c r="H48" s="308" t="s">
        <v>137</v>
      </c>
      <c r="I48" s="308"/>
      <c r="J48" s="308"/>
      <c r="K48" s="308"/>
      <c r="L48" s="308"/>
      <c r="M48" s="310" t="s">
        <v>53</v>
      </c>
      <c r="N48" s="310"/>
    </row>
    <row r="49" spans="2:14" ht="5.0999999999999996" customHeight="1" x14ac:dyDescent="0.15"/>
    <row r="50" spans="2:14" ht="12.75" x14ac:dyDescent="0.15">
      <c r="D50" s="308" t="s">
        <v>138</v>
      </c>
      <c r="E50" s="308"/>
      <c r="F50" s="308"/>
      <c r="G50" s="308"/>
      <c r="H50" s="308" t="s">
        <v>328</v>
      </c>
      <c r="I50" s="308"/>
      <c r="J50" s="308"/>
      <c r="K50" s="308"/>
      <c r="L50" s="308"/>
      <c r="M50" s="310" t="s">
        <v>102</v>
      </c>
      <c r="N50" s="310"/>
    </row>
    <row r="51" spans="2:14" ht="5.0999999999999996" customHeight="1" x14ac:dyDescent="0.15">
      <c r="C51" s="17"/>
      <c r="D51" s="17"/>
      <c r="E51" s="17"/>
      <c r="F51" s="17"/>
      <c r="G51" s="17"/>
      <c r="H51" s="17"/>
      <c r="I51" s="17"/>
      <c r="J51" s="17"/>
      <c r="K51" s="17"/>
      <c r="L51" s="17"/>
      <c r="M51" s="17"/>
      <c r="N51" s="17"/>
    </row>
    <row r="54" spans="2:14" ht="12.75" x14ac:dyDescent="0.15">
      <c r="B54" s="32" t="s">
        <v>139</v>
      </c>
    </row>
    <row r="56" spans="2:14" ht="11.25" x14ac:dyDescent="0.15">
      <c r="C56" s="17"/>
      <c r="D56" s="34" t="s">
        <v>329</v>
      </c>
      <c r="E56" s="17"/>
      <c r="F56" s="17"/>
      <c r="G56" s="17"/>
      <c r="H56" s="34" t="s">
        <v>140</v>
      </c>
      <c r="I56" s="17"/>
      <c r="J56" s="17"/>
      <c r="K56" s="17"/>
      <c r="L56" s="17"/>
      <c r="M56" s="309" t="s">
        <v>330</v>
      </c>
      <c r="N56" s="309"/>
    </row>
    <row r="57" spans="2:14" ht="5.0999999999999996" customHeight="1" x14ac:dyDescent="0.15"/>
    <row r="58" spans="2:14" x14ac:dyDescent="0.15">
      <c r="D58" s="308" t="s">
        <v>331</v>
      </c>
      <c r="E58" s="308"/>
      <c r="F58" s="308"/>
      <c r="G58" s="308"/>
      <c r="H58" s="308" t="s">
        <v>141</v>
      </c>
      <c r="I58" s="308"/>
      <c r="J58" s="308"/>
      <c r="K58" s="308"/>
      <c r="L58" s="308"/>
      <c r="M58" s="307" t="s">
        <v>332</v>
      </c>
      <c r="N58" s="307"/>
    </row>
    <row r="59" spans="2:14" ht="5.0999999999999996" customHeight="1" x14ac:dyDescent="0.15"/>
    <row r="60" spans="2:14" x14ac:dyDescent="0.15">
      <c r="D60" s="308" t="s">
        <v>146</v>
      </c>
      <c r="E60" s="308"/>
      <c r="F60" s="308"/>
      <c r="G60" s="308"/>
      <c r="H60" s="308" t="s">
        <v>147</v>
      </c>
      <c r="I60" s="308"/>
      <c r="J60" s="308"/>
      <c r="K60" s="308"/>
      <c r="L60" s="308"/>
      <c r="M60" s="307" t="s">
        <v>148</v>
      </c>
      <c r="N60" s="307"/>
    </row>
    <row r="61" spans="2:14" ht="5.0999999999999996" customHeight="1" x14ac:dyDescent="0.15">
      <c r="C61" s="19"/>
      <c r="D61" s="19"/>
      <c r="E61" s="19"/>
      <c r="F61" s="19"/>
      <c r="G61" s="19"/>
      <c r="H61" s="19"/>
      <c r="I61" s="19"/>
      <c r="J61" s="19"/>
      <c r="K61" s="19"/>
      <c r="L61" s="19"/>
      <c r="M61" s="19"/>
      <c r="N61" s="19"/>
    </row>
    <row r="62" spans="2:14" ht="5.0999999999999996" customHeight="1" x14ac:dyDescent="0.15"/>
    <row r="63" spans="2:14" x14ac:dyDescent="0.15">
      <c r="D63" s="308" t="s">
        <v>142</v>
      </c>
      <c r="E63" s="308"/>
      <c r="F63" s="308"/>
      <c r="G63" s="308"/>
      <c r="H63" s="308" t="s">
        <v>143</v>
      </c>
      <c r="I63" s="308"/>
      <c r="J63" s="308"/>
      <c r="K63" s="308"/>
      <c r="L63" s="308"/>
      <c r="M63" s="307" t="s">
        <v>103</v>
      </c>
      <c r="N63" s="307"/>
    </row>
    <row r="64" spans="2:14" ht="5.0999999999999996" customHeight="1" x14ac:dyDescent="0.15"/>
    <row r="65" spans="3:14" x14ac:dyDescent="0.15">
      <c r="D65" s="308" t="s">
        <v>144</v>
      </c>
      <c r="E65" s="308"/>
      <c r="F65" s="308"/>
      <c r="G65" s="308"/>
      <c r="H65" s="308" t="s">
        <v>145</v>
      </c>
      <c r="I65" s="308"/>
      <c r="J65" s="308"/>
      <c r="K65" s="308"/>
      <c r="L65" s="308"/>
      <c r="M65" s="307" t="s">
        <v>104</v>
      </c>
      <c r="N65" s="307"/>
    </row>
    <row r="66" spans="3:14" ht="5.0999999999999996" customHeight="1" x14ac:dyDescent="0.15">
      <c r="C66" s="19"/>
      <c r="D66" s="19"/>
      <c r="E66" s="19"/>
      <c r="F66" s="19"/>
      <c r="G66" s="19"/>
      <c r="H66" s="19"/>
      <c r="I66" s="19"/>
      <c r="J66" s="19"/>
      <c r="K66" s="19"/>
      <c r="L66" s="19"/>
      <c r="M66" s="19"/>
      <c r="N66" s="19"/>
    </row>
    <row r="67" spans="3:14" ht="5.0999999999999996" customHeight="1" x14ac:dyDescent="0.15"/>
    <row r="68" spans="3:14" x14ac:dyDescent="0.15">
      <c r="D68" s="308" t="s">
        <v>333</v>
      </c>
      <c r="E68" s="308"/>
      <c r="F68" s="308"/>
      <c r="G68" s="308"/>
      <c r="H68" s="308" t="s">
        <v>152</v>
      </c>
      <c r="I68" s="308"/>
      <c r="J68" s="308"/>
      <c r="K68" s="308"/>
      <c r="L68" s="308"/>
      <c r="M68" s="307" t="s">
        <v>153</v>
      </c>
      <c r="N68" s="307"/>
    </row>
    <row r="69" spans="3:14" ht="5.0999999999999996" customHeight="1" x14ac:dyDescent="0.15"/>
    <row r="70" spans="3:14" x14ac:dyDescent="0.15">
      <c r="D70" s="308" t="s">
        <v>334</v>
      </c>
      <c r="E70" s="308"/>
      <c r="F70" s="308"/>
      <c r="G70" s="308"/>
      <c r="H70" s="308" t="s">
        <v>335</v>
      </c>
      <c r="I70" s="308"/>
      <c r="J70" s="308"/>
      <c r="K70" s="308"/>
      <c r="L70" s="308"/>
      <c r="M70" s="307" t="s">
        <v>336</v>
      </c>
      <c r="N70" s="307"/>
    </row>
    <row r="71" spans="3:14" x14ac:dyDescent="0.15">
      <c r="D71" s="308"/>
      <c r="E71" s="308"/>
      <c r="F71" s="308"/>
      <c r="G71" s="308"/>
      <c r="H71" s="308"/>
      <c r="I71" s="308"/>
      <c r="J71" s="308"/>
      <c r="K71" s="308"/>
      <c r="L71" s="308"/>
    </row>
    <row r="72" spans="3:14" ht="5.0999999999999996" customHeight="1" x14ac:dyDescent="0.15">
      <c r="C72" s="19"/>
      <c r="D72" s="19"/>
      <c r="E72" s="19"/>
      <c r="F72" s="19"/>
      <c r="G72" s="19"/>
      <c r="H72" s="19"/>
      <c r="I72" s="19"/>
      <c r="J72" s="19"/>
      <c r="K72" s="19"/>
      <c r="L72" s="19"/>
      <c r="M72" s="19"/>
      <c r="N72" s="19"/>
    </row>
    <row r="73" spans="3:14" ht="5.0999999999999996" customHeight="1" x14ac:dyDescent="0.15"/>
    <row r="74" spans="3:14" x14ac:dyDescent="0.15">
      <c r="D74" s="308" t="s">
        <v>154</v>
      </c>
      <c r="E74" s="308"/>
      <c r="F74" s="308"/>
      <c r="G74" s="308"/>
      <c r="H74" s="308" t="s">
        <v>155</v>
      </c>
      <c r="I74" s="308"/>
      <c r="J74" s="308"/>
      <c r="K74" s="308"/>
      <c r="L74" s="308"/>
      <c r="M74" s="307" t="s">
        <v>599</v>
      </c>
      <c r="N74" s="307"/>
    </row>
    <row r="75" spans="3:14" ht="5.0999999999999996" customHeight="1" x14ac:dyDescent="0.15"/>
    <row r="76" spans="3:14" x14ac:dyDescent="0.15">
      <c r="D76" s="308" t="s">
        <v>337</v>
      </c>
      <c r="E76" s="308"/>
      <c r="F76" s="308"/>
      <c r="G76" s="308"/>
      <c r="H76" s="308" t="s">
        <v>338</v>
      </c>
      <c r="I76" s="308"/>
      <c r="J76" s="308"/>
      <c r="K76" s="308"/>
      <c r="L76" s="308"/>
      <c r="M76" s="307" t="s">
        <v>339</v>
      </c>
      <c r="N76" s="307"/>
    </row>
    <row r="77" spans="3:14" x14ac:dyDescent="0.15">
      <c r="D77" s="308"/>
      <c r="E77" s="308"/>
      <c r="F77" s="308"/>
      <c r="G77" s="308"/>
      <c r="H77" s="308"/>
      <c r="I77" s="308"/>
      <c r="J77" s="308"/>
      <c r="K77" s="308"/>
      <c r="L77" s="308"/>
    </row>
    <row r="78" spans="3:14" ht="5.0999999999999996" customHeight="1" x14ac:dyDescent="0.15">
      <c r="C78" s="19"/>
      <c r="D78" s="19"/>
      <c r="E78" s="19"/>
      <c r="F78" s="19"/>
      <c r="G78" s="19"/>
      <c r="H78" s="19"/>
      <c r="I78" s="19"/>
      <c r="J78" s="19"/>
      <c r="K78" s="19"/>
      <c r="L78" s="19"/>
      <c r="M78" s="19"/>
      <c r="N78" s="19"/>
    </row>
    <row r="79" spans="3:14" ht="5.0999999999999996" customHeight="1" x14ac:dyDescent="0.15"/>
    <row r="80" spans="3:14" x14ac:dyDescent="0.15">
      <c r="D80" s="308" t="s">
        <v>340</v>
      </c>
      <c r="E80" s="308"/>
      <c r="F80" s="308"/>
      <c r="G80" s="308"/>
      <c r="H80" s="308" t="s">
        <v>341</v>
      </c>
      <c r="I80" s="308"/>
      <c r="J80" s="308"/>
      <c r="K80" s="308"/>
      <c r="L80" s="308"/>
      <c r="M80" s="307" t="s">
        <v>342</v>
      </c>
      <c r="N80" s="307"/>
    </row>
    <row r="81" spans="3:14" x14ac:dyDescent="0.15">
      <c r="D81" s="308"/>
      <c r="E81" s="308"/>
      <c r="F81" s="308"/>
      <c r="G81" s="308"/>
      <c r="H81" s="308"/>
      <c r="I81" s="308"/>
      <c r="J81" s="308"/>
      <c r="K81" s="308"/>
      <c r="L81" s="308"/>
    </row>
    <row r="82" spans="3:14" ht="5.0999999999999996" customHeight="1" x14ac:dyDescent="0.15">
      <c r="C82" s="19"/>
      <c r="D82" s="19"/>
      <c r="E82" s="19"/>
      <c r="F82" s="19"/>
      <c r="G82" s="19"/>
      <c r="H82" s="19"/>
      <c r="I82" s="19"/>
      <c r="J82" s="19"/>
      <c r="K82" s="19"/>
      <c r="L82" s="19"/>
      <c r="M82" s="19"/>
      <c r="N82" s="19"/>
    </row>
    <row r="83" spans="3:14" ht="5.0999999999999996" customHeight="1" x14ac:dyDescent="0.15"/>
    <row r="84" spans="3:14" x14ac:dyDescent="0.15">
      <c r="D84" s="308" t="s">
        <v>149</v>
      </c>
      <c r="E84" s="308"/>
      <c r="F84" s="308"/>
      <c r="G84" s="308"/>
      <c r="H84" s="308" t="s">
        <v>150</v>
      </c>
      <c r="I84" s="308"/>
      <c r="J84" s="308"/>
      <c r="K84" s="308"/>
      <c r="L84" s="308"/>
      <c r="M84" s="307" t="s">
        <v>151</v>
      </c>
      <c r="N84" s="307"/>
    </row>
    <row r="85" spans="3:14" ht="5.0999999999999996" customHeight="1" x14ac:dyDescent="0.15">
      <c r="C85" s="19"/>
      <c r="D85" s="19"/>
      <c r="E85" s="19"/>
      <c r="F85" s="19"/>
      <c r="G85" s="19"/>
      <c r="H85" s="19"/>
      <c r="I85" s="19"/>
      <c r="J85" s="19"/>
      <c r="K85" s="19"/>
      <c r="L85" s="19"/>
      <c r="M85" s="19"/>
      <c r="N85" s="19"/>
    </row>
    <row r="86" spans="3:14" ht="5.0999999999999996" customHeight="1" x14ac:dyDescent="0.15"/>
    <row r="87" spans="3:14" x14ac:dyDescent="0.15">
      <c r="D87" s="308" t="s">
        <v>156</v>
      </c>
      <c r="E87" s="308"/>
      <c r="F87" s="308"/>
      <c r="G87" s="308"/>
      <c r="H87" s="308" t="s">
        <v>157</v>
      </c>
      <c r="I87" s="308"/>
      <c r="J87" s="308"/>
      <c r="K87" s="308"/>
      <c r="L87" s="308"/>
      <c r="M87" s="307" t="s">
        <v>158</v>
      </c>
      <c r="N87" s="307"/>
    </row>
    <row r="88" spans="3:14" ht="5.0999999999999996" customHeight="1" x14ac:dyDescent="0.15">
      <c r="C88" s="17"/>
      <c r="D88" s="17"/>
      <c r="E88" s="17"/>
      <c r="F88" s="17"/>
      <c r="G88" s="17"/>
      <c r="H88" s="17"/>
      <c r="I88" s="17"/>
      <c r="J88" s="17"/>
      <c r="K88" s="17"/>
      <c r="L88" s="17"/>
      <c r="M88" s="17"/>
      <c r="N88" s="17"/>
    </row>
    <row r="89" spans="3:14" ht="5.0999999999999996" customHeight="1" x14ac:dyDescent="0.15"/>
    <row r="90" spans="3:14" x14ac:dyDescent="0.15">
      <c r="D90" s="308" t="s">
        <v>159</v>
      </c>
      <c r="E90" s="308"/>
      <c r="F90" s="308"/>
      <c r="G90" s="308"/>
      <c r="H90" s="308" t="s">
        <v>343</v>
      </c>
      <c r="I90" s="308"/>
      <c r="J90" s="308"/>
      <c r="K90" s="308"/>
      <c r="L90" s="308"/>
      <c r="M90" s="307" t="s">
        <v>160</v>
      </c>
      <c r="N90" s="307"/>
    </row>
    <row r="91" spans="3:14" x14ac:dyDescent="0.15">
      <c r="D91" s="308"/>
      <c r="E91" s="308"/>
      <c r="F91" s="308"/>
      <c r="G91" s="308"/>
      <c r="H91" s="308"/>
      <c r="I91" s="308"/>
      <c r="J91" s="308"/>
      <c r="K91" s="308"/>
      <c r="L91" s="308"/>
    </row>
    <row r="92" spans="3:14" ht="5.0999999999999996" customHeight="1" x14ac:dyDescent="0.15"/>
    <row r="93" spans="3:14" x14ac:dyDescent="0.15">
      <c r="D93" s="308" t="s">
        <v>161</v>
      </c>
      <c r="E93" s="308"/>
      <c r="F93" s="308"/>
      <c r="G93" s="308"/>
      <c r="H93" s="308" t="s">
        <v>344</v>
      </c>
      <c r="I93" s="308"/>
      <c r="J93" s="308"/>
      <c r="K93" s="308"/>
      <c r="L93" s="308"/>
      <c r="M93" s="307" t="s">
        <v>162</v>
      </c>
      <c r="N93" s="307"/>
    </row>
    <row r="94" spans="3:14" x14ac:dyDescent="0.15">
      <c r="D94" s="308"/>
      <c r="E94" s="308"/>
      <c r="F94" s="308"/>
      <c r="G94" s="308"/>
      <c r="H94" s="308"/>
      <c r="I94" s="308"/>
      <c r="J94" s="308"/>
      <c r="K94" s="308"/>
      <c r="L94" s="308"/>
    </row>
    <row r="95" spans="3:14" ht="5.0999999999999996" customHeight="1" x14ac:dyDescent="0.15">
      <c r="C95" s="17"/>
      <c r="D95" s="17"/>
      <c r="E95" s="17"/>
      <c r="F95" s="17"/>
      <c r="G95" s="17"/>
      <c r="H95" s="17"/>
      <c r="I95" s="17"/>
      <c r="J95" s="17"/>
      <c r="K95" s="17"/>
      <c r="L95" s="17"/>
      <c r="M95" s="17"/>
      <c r="N95" s="17"/>
    </row>
    <row r="97" spans="2:14" x14ac:dyDescent="0.15">
      <c r="C97" s="25" t="s">
        <v>218</v>
      </c>
    </row>
    <row r="98" spans="2:14" x14ac:dyDescent="0.15">
      <c r="C98" s="35" t="s">
        <v>345</v>
      </c>
    </row>
    <row r="99" spans="2:14" x14ac:dyDescent="0.15">
      <c r="C99" s="35" t="s">
        <v>346</v>
      </c>
    </row>
    <row r="102" spans="2:14" ht="12.75" x14ac:dyDescent="0.15">
      <c r="B102" s="32" t="s">
        <v>163</v>
      </c>
    </row>
    <row r="104" spans="2:14" ht="11.25" x14ac:dyDescent="0.15">
      <c r="C104" s="17"/>
      <c r="D104" s="34" t="s">
        <v>164</v>
      </c>
      <c r="E104" s="17"/>
      <c r="F104" s="17"/>
      <c r="G104" s="17"/>
      <c r="H104" s="34" t="s">
        <v>165</v>
      </c>
      <c r="I104" s="17"/>
      <c r="J104" s="17"/>
      <c r="K104" s="17"/>
      <c r="L104" s="17"/>
      <c r="M104" s="309" t="s">
        <v>166</v>
      </c>
      <c r="N104" s="309"/>
    </row>
    <row r="105" spans="2:14" ht="5.0999999999999996" customHeight="1" x14ac:dyDescent="0.15"/>
    <row r="106" spans="2:14" x14ac:dyDescent="0.15">
      <c r="D106" s="305" t="s">
        <v>167</v>
      </c>
      <c r="E106" s="305"/>
      <c r="F106" s="305"/>
      <c r="G106" s="305"/>
      <c r="H106" s="305" t="s">
        <v>168</v>
      </c>
      <c r="I106" s="305"/>
      <c r="J106" s="305"/>
      <c r="K106" s="305"/>
      <c r="L106" s="305"/>
      <c r="M106" s="306" t="s">
        <v>169</v>
      </c>
      <c r="N106" s="306"/>
    </row>
    <row r="107" spans="2:14" ht="5.0999999999999996" customHeight="1" x14ac:dyDescent="0.15"/>
    <row r="108" spans="2:14" x14ac:dyDescent="0.15">
      <c r="D108" s="305" t="s">
        <v>170</v>
      </c>
      <c r="E108" s="305"/>
      <c r="F108" s="305"/>
      <c r="G108" s="305"/>
      <c r="H108" s="305" t="s">
        <v>171</v>
      </c>
      <c r="I108" s="305"/>
      <c r="J108" s="305"/>
      <c r="K108" s="305"/>
      <c r="L108" s="305"/>
      <c r="M108" s="306" t="s">
        <v>172</v>
      </c>
      <c r="N108" s="306"/>
    </row>
    <row r="109" spans="2:14" ht="5.0999999999999996" customHeight="1" x14ac:dyDescent="0.15"/>
    <row r="110" spans="2:14" x14ac:dyDescent="0.15">
      <c r="D110" s="305" t="s">
        <v>173</v>
      </c>
      <c r="E110" s="305"/>
      <c r="F110" s="305"/>
      <c r="G110" s="305"/>
      <c r="H110" s="305" t="s">
        <v>174</v>
      </c>
      <c r="I110" s="305"/>
      <c r="J110" s="305"/>
      <c r="K110" s="305"/>
      <c r="L110" s="305"/>
      <c r="M110" s="306" t="s">
        <v>175</v>
      </c>
      <c r="N110" s="306"/>
    </row>
    <row r="111" spans="2:14" ht="5.0999999999999996" customHeight="1" x14ac:dyDescent="0.15"/>
    <row r="112" spans="2:14" x14ac:dyDescent="0.15">
      <c r="D112" s="305" t="s">
        <v>176</v>
      </c>
      <c r="E112" s="305"/>
      <c r="F112" s="305"/>
      <c r="G112" s="305"/>
      <c r="H112" s="305" t="s">
        <v>177</v>
      </c>
      <c r="I112" s="305"/>
      <c r="J112" s="305"/>
      <c r="K112" s="305"/>
      <c r="L112" s="305"/>
      <c r="M112" s="306" t="s">
        <v>178</v>
      </c>
      <c r="N112" s="306"/>
    </row>
    <row r="113" spans="4:14" ht="5.0999999999999996" customHeight="1" x14ac:dyDescent="0.15"/>
    <row r="114" spans="4:14" x14ac:dyDescent="0.15">
      <c r="D114" s="305" t="s">
        <v>179</v>
      </c>
      <c r="E114" s="305"/>
      <c r="F114" s="305"/>
      <c r="G114" s="305"/>
      <c r="H114" s="305" t="s">
        <v>180</v>
      </c>
      <c r="I114" s="305"/>
      <c r="J114" s="305"/>
      <c r="K114" s="305"/>
      <c r="L114" s="305"/>
      <c r="M114" s="306" t="s">
        <v>181</v>
      </c>
      <c r="N114" s="306"/>
    </row>
    <row r="115" spans="4:14" ht="5.0999999999999996" customHeight="1" x14ac:dyDescent="0.15"/>
    <row r="116" spans="4:14" x14ac:dyDescent="0.15">
      <c r="D116" s="305" t="s">
        <v>340</v>
      </c>
      <c r="E116" s="305"/>
      <c r="F116" s="305"/>
      <c r="G116" s="305"/>
      <c r="H116" s="305" t="s">
        <v>182</v>
      </c>
      <c r="I116" s="305"/>
      <c r="J116" s="305"/>
      <c r="K116" s="305"/>
      <c r="L116" s="305"/>
      <c r="M116" s="306" t="s">
        <v>183</v>
      </c>
      <c r="N116" s="306"/>
    </row>
    <row r="117" spans="4:14" ht="5.0999999999999996" customHeight="1" x14ac:dyDescent="0.15"/>
    <row r="118" spans="4:14" x14ac:dyDescent="0.15">
      <c r="D118" s="305" t="s">
        <v>120</v>
      </c>
      <c r="E118" s="305"/>
      <c r="F118" s="305"/>
      <c r="G118" s="305"/>
      <c r="H118" s="305" t="s">
        <v>184</v>
      </c>
      <c r="I118" s="305"/>
      <c r="J118" s="305"/>
      <c r="K118" s="305"/>
      <c r="L118" s="305"/>
      <c r="M118" s="306" t="s">
        <v>185</v>
      </c>
      <c r="N118" s="306"/>
    </row>
    <row r="119" spans="4:14" ht="5.0999999999999996" customHeight="1" x14ac:dyDescent="0.15"/>
    <row r="120" spans="4:14" x14ac:dyDescent="0.15">
      <c r="D120" s="305" t="s">
        <v>347</v>
      </c>
      <c r="E120" s="305"/>
      <c r="F120" s="305"/>
      <c r="G120" s="305"/>
      <c r="H120" s="305" t="s">
        <v>186</v>
      </c>
      <c r="I120" s="305"/>
      <c r="J120" s="305"/>
      <c r="K120" s="305"/>
      <c r="L120" s="305"/>
      <c r="M120" s="306" t="s">
        <v>187</v>
      </c>
      <c r="N120" s="306"/>
    </row>
    <row r="121" spans="4:14" ht="5.0999999999999996" customHeight="1" x14ac:dyDescent="0.15"/>
    <row r="122" spans="4:14" x14ac:dyDescent="0.15">
      <c r="D122" s="305" t="s">
        <v>348</v>
      </c>
      <c r="E122" s="305"/>
      <c r="F122" s="305"/>
      <c r="G122" s="305"/>
      <c r="H122" s="305" t="s">
        <v>188</v>
      </c>
      <c r="I122" s="305"/>
      <c r="J122" s="305"/>
      <c r="K122" s="305"/>
      <c r="L122" s="305"/>
      <c r="M122" s="306" t="s">
        <v>189</v>
      </c>
      <c r="N122" s="306"/>
    </row>
    <row r="123" spans="4:14" ht="5.0999999999999996" customHeight="1" x14ac:dyDescent="0.15"/>
    <row r="124" spans="4:14" x14ac:dyDescent="0.15">
      <c r="D124" s="305" t="s">
        <v>349</v>
      </c>
      <c r="E124" s="305"/>
      <c r="F124" s="305"/>
      <c r="G124" s="305"/>
      <c r="H124" s="305" t="s">
        <v>190</v>
      </c>
      <c r="I124" s="305"/>
      <c r="J124" s="305"/>
      <c r="K124" s="305"/>
      <c r="L124" s="305"/>
      <c r="M124" s="306" t="s">
        <v>191</v>
      </c>
      <c r="N124" s="306"/>
    </row>
    <row r="125" spans="4:14" ht="5.0999999999999996" customHeight="1" x14ac:dyDescent="0.15"/>
    <row r="126" spans="4:14" x14ac:dyDescent="0.15">
      <c r="D126" s="305" t="s">
        <v>350</v>
      </c>
      <c r="E126" s="305"/>
      <c r="F126" s="305"/>
      <c r="G126" s="305"/>
      <c r="H126" s="305" t="s">
        <v>192</v>
      </c>
      <c r="I126" s="305"/>
      <c r="J126" s="305"/>
      <c r="K126" s="305"/>
      <c r="L126" s="305"/>
      <c r="M126" s="306" t="s">
        <v>193</v>
      </c>
      <c r="N126" s="306"/>
    </row>
    <row r="127" spans="4:14" ht="5.0999999999999996" customHeight="1" x14ac:dyDescent="0.15"/>
    <row r="128" spans="4:14" x14ac:dyDescent="0.15">
      <c r="D128" s="305" t="s">
        <v>351</v>
      </c>
      <c r="E128" s="305"/>
      <c r="F128" s="305"/>
      <c r="G128" s="305"/>
      <c r="H128" s="305" t="s">
        <v>194</v>
      </c>
      <c r="I128" s="305"/>
      <c r="J128" s="305"/>
      <c r="K128" s="305"/>
      <c r="L128" s="305"/>
      <c r="M128" s="306" t="s">
        <v>195</v>
      </c>
      <c r="N128" s="306"/>
    </row>
    <row r="129" spans="3:14" ht="5.0999999999999996" customHeight="1" x14ac:dyDescent="0.15"/>
    <row r="130" spans="3:14" x14ac:dyDescent="0.15">
      <c r="D130" s="305" t="s">
        <v>352</v>
      </c>
      <c r="E130" s="305"/>
      <c r="F130" s="305"/>
      <c r="G130" s="305"/>
      <c r="H130" s="305" t="s">
        <v>196</v>
      </c>
      <c r="I130" s="305"/>
      <c r="J130" s="305"/>
      <c r="K130" s="305"/>
      <c r="L130" s="305"/>
      <c r="M130" s="306" t="s">
        <v>197</v>
      </c>
      <c r="N130" s="306"/>
    </row>
    <row r="131" spans="3:14" ht="5.0999999999999996" customHeight="1" x14ac:dyDescent="0.15"/>
    <row r="132" spans="3:14" x14ac:dyDescent="0.15">
      <c r="D132" s="305" t="s">
        <v>198</v>
      </c>
      <c r="E132" s="305"/>
      <c r="F132" s="305"/>
      <c r="G132" s="305"/>
      <c r="H132" s="305" t="s">
        <v>199</v>
      </c>
      <c r="I132" s="305"/>
      <c r="J132" s="305"/>
      <c r="K132" s="305"/>
      <c r="L132" s="305"/>
      <c r="M132" s="306" t="s">
        <v>200</v>
      </c>
      <c r="N132" s="306"/>
    </row>
    <row r="133" spans="3:14" ht="5.0999999999999996" customHeight="1" x14ac:dyDescent="0.15">
      <c r="C133" s="17"/>
      <c r="D133" s="17"/>
      <c r="E133" s="17"/>
      <c r="F133" s="17"/>
      <c r="G133" s="17"/>
      <c r="H133" s="17"/>
      <c r="I133" s="17"/>
      <c r="J133" s="17"/>
      <c r="K133" s="17"/>
      <c r="L133" s="17"/>
      <c r="M133" s="17"/>
      <c r="N133" s="17"/>
    </row>
  </sheetData>
  <sheetProtection sheet="1" objects="1" scenarios="1"/>
  <mergeCells count="128">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D20:G21"/>
    <mergeCell ref="H20:L21"/>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 ref="D63:G63"/>
    <mergeCell ref="H63:L63"/>
    <mergeCell ref="M63:N63"/>
    <mergeCell ref="D65:G65"/>
    <mergeCell ref="H65:L65"/>
    <mergeCell ref="M65:N65"/>
    <mergeCell ref="M56:N56"/>
    <mergeCell ref="D58:G58"/>
    <mergeCell ref="H58:L58"/>
    <mergeCell ref="M58:N58"/>
    <mergeCell ref="D60:G60"/>
    <mergeCell ref="H60:L60"/>
    <mergeCell ref="M60:N60"/>
    <mergeCell ref="D74:G74"/>
    <mergeCell ref="H74:L74"/>
    <mergeCell ref="M74:N74"/>
    <mergeCell ref="M76:N76"/>
    <mergeCell ref="D76:G77"/>
    <mergeCell ref="H76:L77"/>
    <mergeCell ref="D68:G68"/>
    <mergeCell ref="H68:L68"/>
    <mergeCell ref="M68:N68"/>
    <mergeCell ref="M70:N70"/>
    <mergeCell ref="D70:G71"/>
    <mergeCell ref="H70:L71"/>
    <mergeCell ref="D87:G87"/>
    <mergeCell ref="H87:L87"/>
    <mergeCell ref="M87:N87"/>
    <mergeCell ref="M90:N90"/>
    <mergeCell ref="D90:G91"/>
    <mergeCell ref="H90:L91"/>
    <mergeCell ref="M80:N80"/>
    <mergeCell ref="D80:G81"/>
    <mergeCell ref="H80:L81"/>
    <mergeCell ref="D84:G84"/>
    <mergeCell ref="H84:L84"/>
    <mergeCell ref="M84:N84"/>
    <mergeCell ref="D106:G106"/>
    <mergeCell ref="H106:L106"/>
    <mergeCell ref="M106:N106"/>
    <mergeCell ref="D108:G108"/>
    <mergeCell ref="H108:L108"/>
    <mergeCell ref="M108:N108"/>
    <mergeCell ref="M93:N93"/>
    <mergeCell ref="D93:G94"/>
    <mergeCell ref="H93:L94"/>
    <mergeCell ref="M104:N104"/>
    <mergeCell ref="D114:G114"/>
    <mergeCell ref="H114:L114"/>
    <mergeCell ref="M114:N114"/>
    <mergeCell ref="D116:G116"/>
    <mergeCell ref="H116:L116"/>
    <mergeCell ref="M116:N116"/>
    <mergeCell ref="D110:G110"/>
    <mergeCell ref="H110:L110"/>
    <mergeCell ref="M110:N110"/>
    <mergeCell ref="D112:G112"/>
    <mergeCell ref="H112:L112"/>
    <mergeCell ref="M112:N112"/>
    <mergeCell ref="D122:G122"/>
    <mergeCell ref="H122:L122"/>
    <mergeCell ref="M122:N122"/>
    <mergeCell ref="D124:G124"/>
    <mergeCell ref="H124:L124"/>
    <mergeCell ref="M124:N124"/>
    <mergeCell ref="D118:G118"/>
    <mergeCell ref="H118:L118"/>
    <mergeCell ref="M118:N118"/>
    <mergeCell ref="D120:G120"/>
    <mergeCell ref="H120:L120"/>
    <mergeCell ref="M120:N120"/>
    <mergeCell ref="D130:G130"/>
    <mergeCell ref="H130:L130"/>
    <mergeCell ref="M130:N130"/>
    <mergeCell ref="D132:G132"/>
    <mergeCell ref="H132:L132"/>
    <mergeCell ref="M132:N132"/>
    <mergeCell ref="D126:G126"/>
    <mergeCell ref="H126:L126"/>
    <mergeCell ref="M126:N126"/>
    <mergeCell ref="D128:G128"/>
    <mergeCell ref="H128:L128"/>
    <mergeCell ref="M128:N128"/>
  </mergeCells>
  <hyperlinks>
    <hyperlink ref="B3" location="HL_Home" tooltip="Go to Table of Contents" display="HL_Home" xr:uid="{00000000-0004-0000-0700-000000000000}"/>
    <hyperlink ref="A4" location="$B$5" tooltip="Go to Top of Sheet" display="$B$5" xr:uid="{00000000-0004-0000-0700-000001000000}"/>
    <hyperlink ref="B4" location="HL_Sheet_Main_6" tooltip="Go to Previous Sheet" display="HL_Sheet_Main_6" xr:uid="{00000000-0004-0000-0700-000002000000}"/>
    <hyperlink ref="C4" location="HL_Sheet_Main_34" tooltip="Go to Next Sheet" display="HL_Sheet_Main_34" xr:uid="{00000000-0004-0000-0700-000003000000}"/>
    <hyperlink ref="D4" location="HL_Err_Chk" tooltip="Go to Error Checks" display="HL_Err_Chk" xr:uid="{00000000-0004-0000-0700-000004000000}"/>
    <hyperlink ref="E4" location="HL_Sens_Chk" tooltip="Go to Sensitivity Checks" display="HL_Sens_Chk" xr:uid="{00000000-0004-0000-0700-000005000000}"/>
    <hyperlink ref="F4" location="HL_Alt_Chk" tooltip="Go to Alert Checks" display="HL_Alt_Chk" xr:uid="{00000000-0004-0000-0700-000006000000}"/>
  </hyperlinks>
  <pageMargins left="0.39370078740157499" right="0.39370078740157499" top="0.59055118110236204" bottom="0.98425196850393704" header="0" footer="0.31496062992126"/>
  <pageSetup paperSize="9" scale="84" orientation="landscape" r:id="rId1"/>
  <headerFooter>
    <oddFooter>&amp;L&amp;F
&amp;A
Printed: &amp;T on &amp;D&amp;CPage &amp;P of &amp;N</oddFooter>
  </headerFooter>
  <rowBreaks count="2" manualBreakCount="2">
    <brk id="53" min="1" max="13" man="1"/>
    <brk id="101" min="1" max="1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autoPageBreaks="0" fitToPage="1"/>
  </sheetPr>
  <dimension ref="C9:G20"/>
  <sheetViews>
    <sheetView showGridLines="0" zoomScaleNormal="100" workbookViewId="0">
      <selection activeCell="I31" sqref="I31"/>
    </sheetView>
  </sheetViews>
  <sheetFormatPr defaultRowHeight="10.5" x14ac:dyDescent="0.15"/>
  <cols>
    <col min="1" max="2" width="11.83203125" customWidth="1"/>
    <col min="3" max="6" width="3.83203125" customWidth="1"/>
    <col min="7" max="256" width="11.83203125" customWidth="1"/>
  </cols>
  <sheetData>
    <row r="9" spans="3:7" ht="18" x14ac:dyDescent="0.15">
      <c r="C9" s="1" t="s">
        <v>420</v>
      </c>
    </row>
    <row r="10" spans="3:7" ht="16.5" x14ac:dyDescent="0.15">
      <c r="C10" s="27" t="s">
        <v>214</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 t="s">
        <v>410</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xr:uid="{00000000-0004-0000-0800-000000000000}"/>
    <hyperlink ref="C13" location="HL_Sheet_Main_34" tooltip="Go to Previous Sheet" display="HL_Sheet_Main_34" xr:uid="{00000000-0004-0000-0800-000001000000}"/>
    <hyperlink ref="D13" location="HL_Sheet_Main_4" tooltip="Go to Next Sheet" display="HL_Sheet_Main_4" xr:uid="{00000000-0004-0000-0800-000002000000}"/>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40</vt:i4>
      </vt:variant>
      <vt:variant>
        <vt:lpstr>Adlandırılmış Aralıklar</vt:lpstr>
      </vt:variant>
      <vt:variant>
        <vt:i4>213</vt:i4>
      </vt:variant>
    </vt:vector>
  </HeadingPairs>
  <TitlesOfParts>
    <vt:vector size="253" baseType="lpstr">
      <vt:lpstr>Cover</vt:lpstr>
      <vt:lpstr>Contents</vt:lpstr>
      <vt:lpstr>Overview_SC</vt:lpstr>
      <vt:lpstr>Notes_SSC</vt:lpstr>
      <vt:lpstr>Notes_BO</vt:lpstr>
      <vt:lpstr>Standards_MS</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BS_Sum_P_MS</vt:lpstr>
      <vt:lpstr>Dashboards_SSC</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HL_Alert_Check_Example</vt:lpstr>
      <vt:lpstr>HL_Alert_Checks_Summary_Example</vt:lpstr>
      <vt:lpstr>HL_Alt_Chk</vt:lpstr>
      <vt:lpstr>HL_Assumption_Cell_Content_Example</vt:lpstr>
      <vt:lpstr>HL_Assumption_cell_Example</vt:lpstr>
      <vt:lpstr>HL_Assumption_sheet_Example</vt:lpstr>
      <vt:lpstr>HL_Blank_sheet_Example</vt:lpstr>
      <vt:lpstr>HL_Cell_Classification_Example</vt:lpstr>
      <vt:lpstr>HL_Cell_Content_Example</vt:lpstr>
      <vt:lpstr>HL_Check_Cell_Formatting_Example</vt:lpstr>
      <vt:lpstr>HL_Check_Indicator_Flag_Example</vt:lpstr>
      <vt:lpstr>HL_Checks_Classification_Example</vt:lpstr>
      <vt:lpstr>HL_Circular_References_Example</vt:lpstr>
      <vt:lpstr>HL_Consistent_Formulae_Example</vt:lpstr>
      <vt:lpstr>HL_Contents_sheet_Example</vt:lpstr>
      <vt:lpstr>HL_Control_Cell_Link_Placement_Example</vt:lpstr>
      <vt:lpstr>HL_Cover_sheet_Example</vt:lpstr>
      <vt:lpstr>HL_Dedicated_Checks_Summaries_Example</vt:lpstr>
      <vt:lpstr>HL_Denomination_Identification_Example</vt:lpstr>
      <vt:lpstr>HL_Err_Chk</vt:lpstr>
      <vt:lpstr>HL_Error_Check_Example</vt:lpstr>
      <vt:lpstr>HL_Error_Checks_Summary_Example</vt:lpstr>
      <vt:lpstr>HL_Formats_and_Styles_Key_Example</vt:lpstr>
      <vt:lpstr>HL_Go_to_Worksheet_Data_Alignment_Example_B</vt:lpstr>
      <vt:lpstr>HL_Grouping_Rows_or_Columns_Example</vt:lpstr>
      <vt:lpstr>HL_Home</vt:lpstr>
      <vt:lpstr>HL_Hyperlink_Consistency_Example</vt:lpstr>
      <vt:lpstr>HL_In_Cell_Drop_Down_Lists_Example</vt:lpstr>
      <vt:lpstr>HL_Lookup_sheet_Example</vt:lpstr>
      <vt:lpstr>HL_No_Assumption_Repetition_Example</vt:lpstr>
      <vt:lpstr>HL_Output_cell_Example</vt:lpstr>
      <vt:lpstr>HL_Output_sheet_Example</vt:lpstr>
      <vt:lpstr>HL_Presentation_Sheets_Example</vt:lpstr>
      <vt:lpstr>HL_Range_Naming_Example</vt:lpstr>
      <vt:lpstr>HL_Section_cover_sheet_Example</vt:lpstr>
      <vt:lpstr>HL_Segregation_of_Outputs_Example</vt:lpstr>
      <vt:lpstr>HL_Sens_Chk</vt:lpstr>
      <vt:lpstr>HL_Sheet_Classification_Example</vt:lpstr>
      <vt:lpstr>HL_Sheet_Naming_Example</vt:lpstr>
      <vt:lpstr>HL_Sheet_Page_Numbers_Example</vt:lpstr>
      <vt:lpstr>HL_Sheet_Titles_Example</vt:lpstr>
      <vt:lpstr>HL_Sheet_Type_Consistency_Example_A</vt:lpstr>
      <vt:lpstr>HL_Sheet_Type_Consistency_Example_C</vt:lpstr>
      <vt:lpstr>HL_Standardised_Naming_Prefixes_Example</vt:lpstr>
      <vt:lpstr>HL_Table_of_Contents_Page_Numbers_Example</vt:lpstr>
      <vt:lpstr>HL_Time_Series_Assumptions_Example</vt:lpstr>
      <vt:lpstr>HL_Time_Series_Number_of_Periods_Example</vt:lpstr>
      <vt:lpstr>HL_Time_Series_Period_End_Dates_Example</vt:lpstr>
      <vt:lpstr>HL_Time_Series_Period_Labels_Example</vt:lpstr>
      <vt:lpstr>HL_Time_Series_Periodicity_Identification_Example</vt:lpstr>
      <vt:lpstr>HL_Time_Series_Sheet_Consistency_Example</vt:lpstr>
      <vt:lpstr>HL_Time_series_sheet_Example</vt:lpstr>
      <vt:lpstr>HL_Work_in_Progress_Example</vt:lpstr>
      <vt:lpstr>HL_Workbook_Denomination_Example</vt:lpstr>
      <vt:lpstr>HL_Workbook_Navigation_Example</vt:lpstr>
      <vt:lpstr>HL_Workbook_Purpose_Example</vt:lpstr>
      <vt:lpstr>HL_Worksheet_Data_Alignment_Example_A</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All_Pers_OP_SSC!Yazdırma_Alanı</vt:lpstr>
      <vt:lpstr>Appendices_SC!Yazdırma_Alanı</vt:lpstr>
      <vt:lpstr>Assumptions_SC!Yazdırma_Alanı</vt:lpstr>
      <vt:lpstr>BS_All_TO!Yazdırma_Alanı</vt:lpstr>
      <vt:lpstr>BS_Fcast_TO!Yazdırma_Alanı</vt:lpstr>
      <vt:lpstr>BS_Hist_TA!Yazdırma_Alanı</vt:lpstr>
      <vt:lpstr>BS_Hist_TO!Yazdırma_Alanı</vt:lpstr>
      <vt:lpstr>BS_Sum_P_MS!Yazdırma_Alanı</vt:lpstr>
      <vt:lpstr>Capital_LU!Yazdırma_Alanı</vt:lpstr>
      <vt:lpstr>CFS_All_TO!Yazdırma_Alanı</vt:lpstr>
      <vt:lpstr>CFS_Fcast_TO!Yazdırma_Alanı</vt:lpstr>
      <vt:lpstr>CFS_Hist_TA!Yazdırma_Alanı</vt:lpstr>
      <vt:lpstr>CFS_Hist_TO!Yazdırma_Alanı</vt:lpstr>
      <vt:lpstr>Checks_BO!Yazdırma_Alanı</vt:lpstr>
      <vt:lpstr>Checks_SSC!Yazdırma_Alanı</vt:lpstr>
      <vt:lpstr>Contents!Yazdırma_Alanı</vt:lpstr>
      <vt:lpstr>Cover!Yazdırma_Alanı</vt:lpstr>
      <vt:lpstr>Dashboards_LU!Yazdırma_Alanı</vt:lpstr>
      <vt:lpstr>Dashboards_SSC!Yazdırma_Alanı</vt:lpstr>
      <vt:lpstr>Fcast_Ass_SSC!Yazdırma_Alanı</vt:lpstr>
      <vt:lpstr>Fcast_OP_SSC!Yazdırma_Alanı</vt:lpstr>
      <vt:lpstr>Fcast_OP_TO!Yazdırma_Alanı</vt:lpstr>
      <vt:lpstr>Fcast_TA!Yazdırma_Alanı</vt:lpstr>
      <vt:lpstr>Hist_Ass_SSC!Yazdırma_Alanı</vt:lpstr>
      <vt:lpstr>Hist_OP_SSC!Yazdırma_Alanı</vt:lpstr>
      <vt:lpstr>IS_All_TO!Yazdırma_Alanı</vt:lpstr>
      <vt:lpstr>IS_Fcast_TO!Yazdırma_Alanı</vt:lpstr>
      <vt:lpstr>IS_Hist_TA!Yazdırma_Alanı</vt:lpstr>
      <vt:lpstr>IS_Hist_TO!Yazdırma_Alanı</vt:lpstr>
      <vt:lpstr>Keys_BO!Yazdırma_Alanı</vt:lpstr>
      <vt:lpstr>Keys_SSC!Yazdırma_Alanı</vt:lpstr>
      <vt:lpstr>LU_SSC!Yazdırma_Alanı</vt:lpstr>
      <vt:lpstr>Notes_BO!Yazdırma_Alanı</vt:lpstr>
      <vt:lpstr>Notes_SSC!Yazdırma_Alanı</vt:lpstr>
      <vt:lpstr>Outputs_SC!Yazdırma_Alanı</vt:lpstr>
      <vt:lpstr>Overview_SC!Yazdırma_Alanı</vt:lpstr>
      <vt:lpstr>Standards_MS!Yazdırma_Alanı</vt:lpstr>
      <vt:lpstr>TS_Ass_SSC!Yazdırma_Alanı</vt:lpstr>
      <vt:lpstr>TS_BA!Yazdırma_Alanı</vt:lpstr>
      <vt:lpstr>TS_LU!Yazdırma_Alanı</vt:lpstr>
      <vt:lpstr>BS_All_TO!Yazdırma_Başlıkları</vt:lpstr>
      <vt:lpstr>BS_Fcast_TO!Yazdırma_Başlıkları</vt:lpstr>
      <vt:lpstr>BS_Hist_TA!Yazdırma_Başlıkları</vt:lpstr>
      <vt:lpstr>BS_Hist_TO!Yazdırma_Başlıkları</vt:lpstr>
      <vt:lpstr>CFS_All_TO!Yazdırma_Başlıkları</vt:lpstr>
      <vt:lpstr>CFS_Fcast_TO!Yazdırma_Başlıkları</vt:lpstr>
      <vt:lpstr>CFS_Hist_TA!Yazdırma_Başlıkları</vt:lpstr>
      <vt:lpstr>CFS_Hist_TO!Yazdırma_Başlıkları</vt:lpstr>
      <vt:lpstr>Checks_BO!Yazdırma_Başlıkları</vt:lpstr>
      <vt:lpstr>Contents!Yazdırma_Başlıkları</vt:lpstr>
      <vt:lpstr>Fcast_OP_TO!Yazdırma_Başlıkları</vt:lpstr>
      <vt:lpstr>Fcast_TA!Yazdırma_Başlıkları</vt:lpstr>
      <vt:lpstr>IS_All_TO!Yazdırma_Başlıkları</vt:lpstr>
      <vt:lpstr>IS_Fcast_TO!Yazdırma_Başlıkları</vt:lpstr>
      <vt:lpstr>IS_Hist_TA!Yazdırma_Başlıkları</vt:lpstr>
      <vt:lpstr>IS_Hist_TO!Yazdırma_Başlıkları</vt:lpstr>
      <vt:lpstr>Keys_BO!Yazdırma_Başlıkları</vt:lpstr>
      <vt:lpstr>Notes_BO!Yazdırma_Başlıkları</vt:lpstr>
      <vt:lpstr>Standards_MS!Yazdırma_Başlıkları</vt:lpstr>
      <vt:lpstr>TS_BA!Yazdırma_Başlıkları</vt:lpstr>
      <vt:lpstr>TS_LU!Yazdırma_Başlıkları</vt:lpstr>
      <vt:lpstr>Yr_Name</vt:lpstr>
      <vt:lpstr>Yrs_In_Yr</vt:lpstr>
    </vt:vector>
  </TitlesOfParts>
  <Company>BPM Analytical Empowerment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Abdullah Gulabi</cp:lastModifiedBy>
  <cp:lastPrinted>2011-03-31T08:17:50Z</cp:lastPrinted>
  <dcterms:created xsi:type="dcterms:W3CDTF">2006-03-09T22:44:34Z</dcterms:created>
  <dcterms:modified xsi:type="dcterms:W3CDTF">2020-07-11T21:40:39Z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