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j 1" sheetId="1" r:id="rId1"/>
    <sheet name="ej2" sheetId="2" r:id="rId2"/>
    <sheet name="ej3" sheetId="3" r:id="rId3"/>
  </sheets>
  <calcPr calcId="152511"/>
</workbook>
</file>

<file path=xl/calcChain.xml><?xml version="1.0" encoding="utf-8"?>
<calcChain xmlns="http://schemas.openxmlformats.org/spreadsheetml/2006/main">
  <c r="E54" i="1" l="1"/>
  <c r="A54" i="1"/>
  <c r="Q48" i="1"/>
  <c r="C22" i="3" l="1"/>
  <c r="C20" i="3"/>
  <c r="G22" i="3"/>
  <c r="D18" i="3"/>
  <c r="C8" i="3"/>
  <c r="C12" i="3"/>
  <c r="C14" i="3"/>
  <c r="C13" i="3"/>
  <c r="C11" i="3"/>
  <c r="B12" i="3"/>
  <c r="D30" i="2" l="1"/>
  <c r="B30" i="2"/>
  <c r="D27" i="2"/>
  <c r="C27" i="2"/>
  <c r="C28" i="2"/>
  <c r="C29" i="2"/>
  <c r="D29" i="2"/>
  <c r="C32" i="2"/>
  <c r="C33" i="2"/>
  <c r="C34" i="2"/>
  <c r="D34" i="2" s="1"/>
  <c r="C31" i="2"/>
  <c r="B33" i="2"/>
  <c r="B34" i="2"/>
  <c r="B32" i="2"/>
  <c r="D32" i="2" s="1"/>
  <c r="B28" i="2"/>
  <c r="B29" i="2"/>
  <c r="B31" i="2"/>
  <c r="B27" i="2"/>
  <c r="D28" i="2"/>
  <c r="D31" i="2"/>
  <c r="D33" i="2" l="1"/>
  <c r="D11" i="2" l="1"/>
  <c r="C11" i="2"/>
  <c r="B11" i="2"/>
  <c r="C10" i="2"/>
  <c r="C12" i="2"/>
  <c r="C7" i="2"/>
  <c r="B10" i="2"/>
  <c r="B12" i="2"/>
  <c r="D12" i="2" s="1"/>
  <c r="B13" i="2"/>
  <c r="D13" i="2" s="1"/>
  <c r="D7" i="2"/>
  <c r="B7" i="2"/>
  <c r="C13" i="2"/>
  <c r="C9" i="2"/>
  <c r="D9" i="2" s="1"/>
  <c r="B9" i="2"/>
  <c r="C8" i="2"/>
  <c r="B8" i="2"/>
  <c r="D10" i="2" l="1"/>
  <c r="D8" i="2"/>
  <c r="C51" i="1" l="1"/>
  <c r="A41" i="1"/>
  <c r="C33" i="1"/>
  <c r="D31" i="1"/>
  <c r="D32" i="1" s="1"/>
  <c r="E31" i="1"/>
  <c r="E32" i="1" s="1"/>
  <c r="F31" i="1"/>
  <c r="G31" i="1"/>
  <c r="H31" i="1"/>
  <c r="I31" i="1"/>
  <c r="J31" i="1"/>
  <c r="K31" i="1"/>
  <c r="K32" i="1" s="1"/>
  <c r="L31" i="1"/>
  <c r="M31" i="1"/>
  <c r="M32" i="1" s="1"/>
  <c r="N31" i="1"/>
  <c r="O31" i="1"/>
  <c r="P31" i="1"/>
  <c r="Q31" i="1"/>
  <c r="C31" i="1"/>
  <c r="Q29" i="1"/>
  <c r="Q51" i="1"/>
  <c r="H51" i="1"/>
  <c r="I51" i="1"/>
  <c r="J51" i="1"/>
  <c r="K51" i="1"/>
  <c r="L51" i="1"/>
  <c r="M51" i="1"/>
  <c r="N51" i="1"/>
  <c r="O51" i="1"/>
  <c r="P51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C49" i="1"/>
  <c r="B45" i="1"/>
  <c r="Q27" i="1"/>
  <c r="Q44" i="1" s="1"/>
  <c r="B44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C40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C43" i="1"/>
  <c r="B42" i="1"/>
  <c r="L33" i="1"/>
  <c r="H32" i="1"/>
  <c r="H33" i="1" s="1"/>
  <c r="H34" i="1" s="1"/>
  <c r="I32" i="1"/>
  <c r="I33" i="1" s="1"/>
  <c r="I34" i="1" s="1"/>
  <c r="J32" i="1"/>
  <c r="P32" i="1"/>
  <c r="F32" i="1"/>
  <c r="F33" i="1" s="1"/>
  <c r="F34" i="1" s="1"/>
  <c r="G32" i="1"/>
  <c r="G33" i="1" s="1"/>
  <c r="G34" i="1" s="1"/>
  <c r="L32" i="1"/>
  <c r="L34" i="1" s="1"/>
  <c r="N32" i="1"/>
  <c r="N33" i="1" s="1"/>
  <c r="O32" i="1"/>
  <c r="O33" i="1" s="1"/>
  <c r="C32" i="1"/>
  <c r="C28" i="1"/>
  <c r="C26" i="1"/>
  <c r="C25" i="1"/>
  <c r="D25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F44" i="1"/>
  <c r="E44" i="1"/>
  <c r="D44" i="1"/>
  <c r="C44" i="1"/>
  <c r="A44" i="1"/>
  <c r="D33" i="1" l="1"/>
  <c r="D34" i="1" s="1"/>
  <c r="K33" i="1"/>
  <c r="K34" i="1"/>
  <c r="P34" i="1"/>
  <c r="M33" i="1"/>
  <c r="M34" i="1"/>
  <c r="E33" i="1"/>
  <c r="E34" i="1"/>
  <c r="P33" i="1"/>
  <c r="J33" i="1"/>
  <c r="J34" i="1" s="1"/>
  <c r="O34" i="1"/>
  <c r="N34" i="1"/>
  <c r="C34" i="1"/>
  <c r="Q32" i="1"/>
  <c r="Q33" i="1" s="1"/>
  <c r="Q34" i="1" s="1"/>
  <c r="B51" i="1"/>
  <c r="E25" i="1"/>
  <c r="D26" i="1"/>
  <c r="F25" i="1" l="1"/>
  <c r="E26" i="1"/>
  <c r="D51" i="1"/>
  <c r="G25" i="1" l="1"/>
  <c r="F26" i="1"/>
  <c r="E51" i="1"/>
  <c r="H25" i="1" l="1"/>
  <c r="F51" i="1"/>
  <c r="G26" i="1"/>
  <c r="I25" i="1" l="1"/>
  <c r="G51" i="1"/>
  <c r="H26" i="1"/>
  <c r="I26" i="1" s="1"/>
  <c r="J26" i="1" s="1"/>
  <c r="K26" i="1" s="1"/>
  <c r="L26" i="1" s="1"/>
  <c r="M26" i="1" s="1"/>
  <c r="N26" i="1" s="1"/>
  <c r="O26" i="1" s="1"/>
  <c r="P26" i="1" s="1"/>
  <c r="Q26" i="1" s="1"/>
  <c r="J25" i="1" l="1"/>
  <c r="K25" i="1" l="1"/>
  <c r="L25" i="1" l="1"/>
  <c r="M25" i="1" l="1"/>
  <c r="N25" i="1" l="1"/>
  <c r="O25" i="1" l="1"/>
  <c r="P25" i="1" l="1"/>
  <c r="Q25" i="1" l="1"/>
</calcChain>
</file>

<file path=xl/sharedStrings.xml><?xml version="1.0" encoding="utf-8"?>
<sst xmlns="http://schemas.openxmlformats.org/spreadsheetml/2006/main" count="86" uniqueCount="68">
  <si>
    <t>evaluacion de proyecto</t>
  </si>
  <si>
    <t>consultoria</t>
  </si>
  <si>
    <t>costo oportunidad mm3 --&gt;npor cada tonelada de glp se dejan de vender 2 mm3 de gas natural</t>
  </si>
  <si>
    <t>toneladas de glp</t>
  </si>
  <si>
    <t>$/mm3 gas natural</t>
  </si>
  <si>
    <t>$/ton glp MERCADO INTERNO</t>
  </si>
  <si>
    <t>$/ton glp EXPORTACIONES</t>
  </si>
  <si>
    <t>HAY Q VENDER COMO MÍNIMO 70% AL MERCADO INTERNO</t>
  </si>
  <si>
    <t>inversión planta</t>
  </si>
  <si>
    <t>inversión tanques</t>
  </si>
  <si>
    <t>inversion cargadero camiones</t>
  </si>
  <si>
    <t>inversión instalacion</t>
  </si>
  <si>
    <t>años amortizacion</t>
  </si>
  <si>
    <t>venta planta finalizado el proyecto</t>
  </si>
  <si>
    <t>inversión kt</t>
  </si>
  <si>
    <t>inversión kt --&gt; se recupera el 60%</t>
  </si>
  <si>
    <t>sueldos anuales</t>
  </si>
  <si>
    <t>cf</t>
  </si>
  <si>
    <t>ig</t>
  </si>
  <si>
    <t>trema</t>
  </si>
  <si>
    <t>Estado de resultados proyectado</t>
  </si>
  <si>
    <t>ventas</t>
  </si>
  <si>
    <t>amortizaciones</t>
  </si>
  <si>
    <t>uaig</t>
  </si>
  <si>
    <t>u neta</t>
  </si>
  <si>
    <t>flujo de fondos</t>
  </si>
  <si>
    <t>ff. Netos</t>
  </si>
  <si>
    <t>costo oportunidad venta glp</t>
  </si>
  <si>
    <t>costo consultoria</t>
  </si>
  <si>
    <t>rtado x vta planta</t>
  </si>
  <si>
    <t>inversion carg camiones</t>
  </si>
  <si>
    <t>inversion equipo trabajo</t>
  </si>
  <si>
    <t>resultado rec kt</t>
  </si>
  <si>
    <t>sueldos</t>
  </si>
  <si>
    <t>ESTA TODO EN MILES</t>
  </si>
  <si>
    <t>van</t>
  </si>
  <si>
    <t>tir</t>
  </si>
  <si>
    <t>(compra)</t>
  </si>
  <si>
    <t>long call</t>
  </si>
  <si>
    <t>Pej</t>
  </si>
  <si>
    <t>cantidad</t>
  </si>
  <si>
    <t>p</t>
  </si>
  <si>
    <t>long put</t>
  </si>
  <si>
    <t>Estrategia 1</t>
  </si>
  <si>
    <t>Pspot</t>
  </si>
  <si>
    <t>combinada</t>
  </si>
  <si>
    <t>Estrategia 2</t>
  </si>
  <si>
    <t>venta call</t>
  </si>
  <si>
    <t>venta put</t>
  </si>
  <si>
    <t>pej</t>
  </si>
  <si>
    <t>short call</t>
  </si>
  <si>
    <t>short put</t>
  </si>
  <si>
    <t>vn</t>
  </si>
  <si>
    <t>tasa cupon</t>
  </si>
  <si>
    <t>a 4 años</t>
  </si>
  <si>
    <t>año 2</t>
  </si>
  <si>
    <t>devolucion parcial de la mitad de capital</t>
  </si>
  <si>
    <t>valor total</t>
  </si>
  <si>
    <t>cantidad bonos</t>
  </si>
  <si>
    <t>año</t>
  </si>
  <si>
    <t>amort</t>
  </si>
  <si>
    <t>interes</t>
  </si>
  <si>
    <t>total</t>
  </si>
  <si>
    <t>vp primeros 2 años</t>
  </si>
  <si>
    <t>vp parte infinita</t>
  </si>
  <si>
    <t>tasa crecimiento div infinito</t>
  </si>
  <si>
    <t>precio dispuesto a pagar</t>
  </si>
  <si>
    <t>tasa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</si>
</sst>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_-&quot;$&quot;\ * #,##0.0_-;\-&quot;$&quot;\ * #,##0.0_-;_-&quot;$&quot;\ * &quot;-&quot;??_-;_-@_-"/>
    <numFmt numFmtId="166" formatCode="_-&quot;$&quot;\ * #,##0.000_-;\-&quot;$&quot;\ * #,##0.000_-;_-&quot;$&quot;\ * &quot;-&quot;??_-;_-@_-"/>
    <numFmt numFmtId="169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3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44" fontId="0" fillId="0" borderId="0" xfId="0" applyNumberFormat="1"/>
    <xf numFmtId="169" fontId="3" fillId="0" borderId="0" xfId="0" applyNumberFormat="1" applyFont="1"/>
    <xf numFmtId="2" fontId="4" fillId="0" borderId="0" xfId="0" applyNumberFormat="1" applyFont="1"/>
    <xf numFmtId="8" fontId="0" fillId="0" borderId="0" xfId="0" applyNumberFormat="1"/>
    <xf numFmtId="0" fontId="5" fillId="0" borderId="0" xfId="0" applyFont="1"/>
    <xf numFmtId="0" fontId="0" fillId="0" borderId="1" xfId="0" applyBorder="1"/>
    <xf numFmtId="0" fontId="6" fillId="0" borderId="1" xfId="0" applyFont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'ej2'!$B$6</c:f>
              <c:strCache>
                <c:ptCount val="1"/>
                <c:pt idx="0">
                  <c:v>long call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'ej2'!$A$7:$A$13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'ej2'!$B$7:$B$13</c:f>
              <c:numCache>
                <c:formatCode>General</c:formatCode>
                <c:ptCount val="7"/>
                <c:pt idx="0">
                  <c:v>-5</c:v>
                </c:pt>
                <c:pt idx="1">
                  <c:v>-5</c:v>
                </c:pt>
                <c:pt idx="2">
                  <c:v>-5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'ej2'!$C$6</c:f>
              <c:strCache>
                <c:ptCount val="1"/>
                <c:pt idx="0">
                  <c:v>long 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'ej2'!$A$7:$A$13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'ej2'!$C$7:$C$13</c:f>
              <c:numCache>
                <c:formatCode>General</c:formatCode>
                <c:ptCount val="7"/>
                <c:pt idx="0">
                  <c:v>15</c:v>
                </c:pt>
                <c:pt idx="1">
                  <c:v>5</c:v>
                </c:pt>
                <c:pt idx="2">
                  <c:v>-5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'ej2'!$D$6</c:f>
              <c:strCache>
                <c:ptCount val="1"/>
                <c:pt idx="0">
                  <c:v>combinada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'ej2'!$A$7:$A$13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'ej2'!$D$7:$D$13</c:f>
              <c:numCache>
                <c:formatCode>General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-10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950848"/>
        <c:axId val="1909949216"/>
      </c:scatterChart>
      <c:valAx>
        <c:axId val="190995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9949216"/>
        <c:crosses val="autoZero"/>
        <c:crossBetween val="midCat"/>
      </c:valAx>
      <c:valAx>
        <c:axId val="190994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995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'ej2'!$B$26</c:f>
              <c:strCache>
                <c:ptCount val="1"/>
                <c:pt idx="0">
                  <c:v>short call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'ej2'!$A$27:$A$34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28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</c:numCache>
            </c:numRef>
          </c:xVal>
          <c:yVal>
            <c:numRef>
              <c:f>'ej2'!$B$27:$B$34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-6</c:v>
                </c:pt>
                <c:pt idx="6">
                  <c:v>-11</c:v>
                </c:pt>
                <c:pt idx="7">
                  <c:v>-16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'ej2'!$C$26</c:f>
              <c:strCache>
                <c:ptCount val="1"/>
                <c:pt idx="0">
                  <c:v>short 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'ej2'!$A$27:$A$34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28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</c:numCache>
            </c:numRef>
          </c:xVal>
          <c:yVal>
            <c:numRef>
              <c:f>'ej2'!$C$27:$C$34</c:f>
              <c:numCache>
                <c:formatCode>General</c:formatCode>
                <c:ptCount val="8"/>
                <c:pt idx="0">
                  <c:v>-20</c:v>
                </c:pt>
                <c:pt idx="1">
                  <c:v>-15</c:v>
                </c:pt>
                <c:pt idx="2">
                  <c:v>-5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'ej2'!$D$26</c:f>
              <c:strCache>
                <c:ptCount val="1"/>
                <c:pt idx="0">
                  <c:v>combinada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'ej2'!$A$27:$A$34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28</c:v>
                </c:pt>
                <c:pt idx="4">
                  <c:v>30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</c:numCache>
            </c:numRef>
          </c:xVal>
          <c:yVal>
            <c:numRef>
              <c:f>'ej2'!$D$27:$D$34</c:f>
              <c:numCache>
                <c:formatCode>General</c:formatCode>
                <c:ptCount val="8"/>
                <c:pt idx="0">
                  <c:v>-16</c:v>
                </c:pt>
                <c:pt idx="1">
                  <c:v>-11</c:v>
                </c:pt>
                <c:pt idx="2">
                  <c:v>-1</c:v>
                </c:pt>
                <c:pt idx="3">
                  <c:v>6</c:v>
                </c:pt>
                <c:pt idx="4">
                  <c:v>6</c:v>
                </c:pt>
                <c:pt idx="5">
                  <c:v>-4</c:v>
                </c:pt>
                <c:pt idx="6">
                  <c:v>-9</c:v>
                </c:pt>
                <c:pt idx="7">
                  <c:v>-14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942144"/>
        <c:axId val="1909954656"/>
      </c:scatterChart>
      <c:valAx>
        <c:axId val="19099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9954656"/>
        <c:crosses val="autoZero"/>
        <c:crossBetween val="midCat"/>
      </c:valAx>
      <c:valAx>
        <c:axId val="19099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0994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663575</xdr:colOff>
      <xdr:row>4</xdr:row>
      <xdr:rowOff>104775</xdr:rowOff>
    </xdr:from>
    <xdr:to>
      <xdr:col>10</xdr:col>
      <xdr:colOff>663575</xdr:colOff>
      <xdr:row>19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98425</xdr:colOff>
      <xdr:row>21</xdr:row>
      <xdr:rowOff>3175</xdr:rowOff>
    </xdr:from>
    <xdr:to>
      <xdr:col>12</xdr:col>
      <xdr:colOff>98425</xdr:colOff>
      <xdr:row>35</xdr:row>
      <xdr:rowOff>168275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33" workbookViewId="0">
      <selection activeCell="E55" sqref="E55"/>
    </sheetView>
  </sheetViews>
  <sheetFormatPr baseColWidth="10" defaultColWidth="8.7265625" defaultRowHeight="14.5" x14ac:dyDescent="0.35"/>
  <cols>
    <col min="1" max="1" width="24.36328125" customWidth="1"/>
    <col min="2" max="2" width="14.1796875" customWidth="1"/>
    <col min="3" max="3" width="15.36328125" customWidth="1"/>
    <col min="4" max="4" width="14.08984375" bestFit="1" customWidth="1"/>
    <col min="5" max="5" width="14.6328125" customWidth="1"/>
    <col min="6" max="6" width="16.36328125" customWidth="1"/>
    <col min="7" max="7" width="16.26953125" customWidth="1"/>
    <col min="8" max="8" width="15.81640625" customWidth="1"/>
    <col min="9" max="9" width="15.90625" customWidth="1"/>
    <col min="10" max="10" width="11.54296875" customWidth="1"/>
    <col min="11" max="11" width="11.90625" customWidth="1"/>
    <col min="12" max="12" width="11.6328125" customWidth="1"/>
    <col min="13" max="14" width="11.54296875" customWidth="1"/>
    <col min="15" max="15" width="11.6328125" customWidth="1"/>
    <col min="16" max="16" width="11.90625" customWidth="1"/>
    <col min="17" max="17" width="12.1796875" customWidth="1"/>
  </cols>
  <sheetData>
    <row r="1" spans="1:9" x14ac:dyDescent="0.35">
      <c r="A1" t="s">
        <v>0</v>
      </c>
    </row>
    <row r="3" spans="1:9" x14ac:dyDescent="0.35">
      <c r="A3" s="1">
        <v>10000</v>
      </c>
      <c r="B3" t="s">
        <v>3</v>
      </c>
    </row>
    <row r="4" spans="1:9" x14ac:dyDescent="0.35">
      <c r="A4" t="s">
        <v>2</v>
      </c>
    </row>
    <row r="6" spans="1:9" x14ac:dyDescent="0.35">
      <c r="A6" s="1">
        <v>300000</v>
      </c>
      <c r="B6" t="s">
        <v>1</v>
      </c>
    </row>
    <row r="7" spans="1:9" x14ac:dyDescent="0.35">
      <c r="A7">
        <v>200</v>
      </c>
      <c r="B7" t="s">
        <v>4</v>
      </c>
    </row>
    <row r="8" spans="1:9" x14ac:dyDescent="0.35">
      <c r="A8">
        <v>500</v>
      </c>
      <c r="B8" t="s">
        <v>5</v>
      </c>
      <c r="F8" t="s">
        <v>7</v>
      </c>
    </row>
    <row r="9" spans="1:9" x14ac:dyDescent="0.35">
      <c r="A9">
        <v>600</v>
      </c>
      <c r="B9" t="s">
        <v>6</v>
      </c>
    </row>
    <row r="11" spans="1:9" x14ac:dyDescent="0.35">
      <c r="A11" s="1">
        <v>1000000</v>
      </c>
      <c r="B11" t="s">
        <v>8</v>
      </c>
    </row>
    <row r="12" spans="1:9" x14ac:dyDescent="0.35">
      <c r="A12" s="1">
        <v>500000</v>
      </c>
      <c r="B12" t="s">
        <v>9</v>
      </c>
      <c r="H12" s="1">
        <v>15</v>
      </c>
      <c r="I12" t="s">
        <v>12</v>
      </c>
    </row>
    <row r="13" spans="1:9" x14ac:dyDescent="0.35">
      <c r="A13" s="1">
        <v>200000</v>
      </c>
      <c r="B13" t="s">
        <v>10</v>
      </c>
    </row>
    <row r="14" spans="1:9" x14ac:dyDescent="0.35">
      <c r="A14" s="1">
        <v>100000</v>
      </c>
      <c r="B14" t="s">
        <v>11</v>
      </c>
    </row>
    <row r="15" spans="1:9" x14ac:dyDescent="0.35">
      <c r="A15" s="1">
        <v>500000</v>
      </c>
      <c r="B15" t="s">
        <v>15</v>
      </c>
      <c r="H15" s="2">
        <v>0.35</v>
      </c>
      <c r="I15" t="s">
        <v>18</v>
      </c>
    </row>
    <row r="16" spans="1:9" x14ac:dyDescent="0.35">
      <c r="A16" s="1">
        <v>210000</v>
      </c>
      <c r="B16" t="s">
        <v>16</v>
      </c>
      <c r="H16" s="2">
        <v>0.15</v>
      </c>
      <c r="I16" t="s">
        <v>19</v>
      </c>
    </row>
    <row r="17" spans="1:17" x14ac:dyDescent="0.35">
      <c r="A17" s="1">
        <v>300000</v>
      </c>
      <c r="B17" t="s">
        <v>17</v>
      </c>
    </row>
    <row r="19" spans="1:17" x14ac:dyDescent="0.35">
      <c r="A19" s="1">
        <v>500000</v>
      </c>
      <c r="B19" t="s">
        <v>13</v>
      </c>
    </row>
    <row r="22" spans="1:17" x14ac:dyDescent="0.35">
      <c r="A22" s="3" t="s">
        <v>20</v>
      </c>
      <c r="E22" t="s">
        <v>34</v>
      </c>
    </row>
    <row r="24" spans="1:17" x14ac:dyDescent="0.35"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</row>
    <row r="25" spans="1:17" x14ac:dyDescent="0.35">
      <c r="A25" t="s">
        <v>21</v>
      </c>
      <c r="C25" s="9">
        <f>((0.7*A3*A8)+(0.3*A3*A9))/1000</f>
        <v>5300</v>
      </c>
      <c r="D25" s="5">
        <f>C25</f>
        <v>5300</v>
      </c>
      <c r="E25" s="5">
        <f t="shared" ref="E25:Q25" si="0">D25</f>
        <v>5300</v>
      </c>
      <c r="F25" s="5">
        <f t="shared" si="0"/>
        <v>5300</v>
      </c>
      <c r="G25" s="5">
        <f t="shared" si="0"/>
        <v>5300</v>
      </c>
      <c r="H25" s="5">
        <f t="shared" si="0"/>
        <v>5300</v>
      </c>
      <c r="I25" s="5">
        <f t="shared" si="0"/>
        <v>5300</v>
      </c>
      <c r="J25" s="5">
        <f t="shared" si="0"/>
        <v>5300</v>
      </c>
      <c r="K25" s="5">
        <f t="shared" si="0"/>
        <v>5300</v>
      </c>
      <c r="L25" s="5">
        <f t="shared" si="0"/>
        <v>5300</v>
      </c>
      <c r="M25" s="5">
        <f t="shared" si="0"/>
        <v>5300</v>
      </c>
      <c r="N25" s="5">
        <f t="shared" si="0"/>
        <v>5300</v>
      </c>
      <c r="O25" s="5">
        <f t="shared" si="0"/>
        <v>5300</v>
      </c>
      <c r="P25" s="5">
        <f t="shared" si="0"/>
        <v>5300</v>
      </c>
      <c r="Q25" s="5">
        <f t="shared" si="0"/>
        <v>5300</v>
      </c>
    </row>
    <row r="26" spans="1:17" x14ac:dyDescent="0.35">
      <c r="A26" t="s">
        <v>27</v>
      </c>
      <c r="C26" s="4">
        <f>-(A3*2*200)/1000</f>
        <v>-4000</v>
      </c>
      <c r="D26" s="4">
        <f>C26</f>
        <v>-4000</v>
      </c>
      <c r="E26" s="4">
        <f t="shared" ref="E26:Q26" si="1">D26</f>
        <v>-4000</v>
      </c>
      <c r="F26" s="4">
        <f t="shared" si="1"/>
        <v>-4000</v>
      </c>
      <c r="G26" s="4">
        <f t="shared" si="1"/>
        <v>-4000</v>
      </c>
      <c r="H26" s="4">
        <f t="shared" si="1"/>
        <v>-4000</v>
      </c>
      <c r="I26" s="4">
        <f t="shared" si="1"/>
        <v>-4000</v>
      </c>
      <c r="J26" s="4">
        <f t="shared" si="1"/>
        <v>-4000</v>
      </c>
      <c r="K26" s="4">
        <f t="shared" si="1"/>
        <v>-4000</v>
      </c>
      <c r="L26" s="4">
        <f t="shared" si="1"/>
        <v>-4000</v>
      </c>
      <c r="M26" s="4">
        <f t="shared" si="1"/>
        <v>-4000</v>
      </c>
      <c r="N26" s="4">
        <f t="shared" si="1"/>
        <v>-4000</v>
      </c>
      <c r="O26" s="4">
        <f t="shared" si="1"/>
        <v>-4000</v>
      </c>
      <c r="P26" s="4">
        <f t="shared" si="1"/>
        <v>-4000</v>
      </c>
      <c r="Q26" s="4">
        <f t="shared" si="1"/>
        <v>-4000</v>
      </c>
    </row>
    <row r="27" spans="1:17" x14ac:dyDescent="0.35">
      <c r="A27" t="s">
        <v>29</v>
      </c>
      <c r="Q27" s="5">
        <f>500000/1000</f>
        <v>500</v>
      </c>
    </row>
    <row r="28" spans="1:17" x14ac:dyDescent="0.35">
      <c r="A28" t="s">
        <v>17</v>
      </c>
      <c r="C28" s="1">
        <f>-300000/1000</f>
        <v>-300</v>
      </c>
      <c r="D28" s="1">
        <f>C28</f>
        <v>-300</v>
      </c>
      <c r="E28" s="1">
        <f t="shared" ref="E28:Q28" si="2">D28</f>
        <v>-300</v>
      </c>
      <c r="F28" s="1">
        <f t="shared" si="2"/>
        <v>-300</v>
      </c>
      <c r="G28" s="1">
        <f t="shared" si="2"/>
        <v>-300</v>
      </c>
      <c r="H28" s="1">
        <f t="shared" si="2"/>
        <v>-300</v>
      </c>
      <c r="I28" s="1">
        <f t="shared" si="2"/>
        <v>-300</v>
      </c>
      <c r="J28" s="1">
        <f t="shared" si="2"/>
        <v>-300</v>
      </c>
      <c r="K28" s="1">
        <f t="shared" si="2"/>
        <v>-300</v>
      </c>
      <c r="L28" s="1">
        <f t="shared" si="2"/>
        <v>-300</v>
      </c>
      <c r="M28" s="1">
        <f t="shared" si="2"/>
        <v>-300</v>
      </c>
      <c r="N28" s="1">
        <f t="shared" si="2"/>
        <v>-300</v>
      </c>
      <c r="O28" s="1">
        <f t="shared" si="2"/>
        <v>-300</v>
      </c>
      <c r="P28" s="1">
        <f t="shared" si="2"/>
        <v>-300</v>
      </c>
      <c r="Q28" s="1">
        <f t="shared" si="2"/>
        <v>-300</v>
      </c>
    </row>
    <row r="29" spans="1:17" x14ac:dyDescent="0.35">
      <c r="A29" t="s">
        <v>32</v>
      </c>
      <c r="C29" s="4"/>
      <c r="D29" s="4"/>
      <c r="E29" s="4"/>
      <c r="F29" s="4"/>
      <c r="G29" s="4"/>
      <c r="Q29" s="12">
        <f>Q48</f>
        <v>300</v>
      </c>
    </row>
    <row r="30" spans="1:17" x14ac:dyDescent="0.35">
      <c r="C30" s="4"/>
      <c r="D30" s="4"/>
      <c r="E30" s="4"/>
      <c r="F30" s="4"/>
      <c r="G30" s="4"/>
    </row>
    <row r="31" spans="1:17" x14ac:dyDescent="0.35">
      <c r="A31" t="s">
        <v>22</v>
      </c>
      <c r="C31" s="12">
        <f>-(1000000/15)/1000</f>
        <v>-66.666666666666671</v>
      </c>
      <c r="D31" s="12">
        <f t="shared" ref="D31:Q31" si="3">-(1000000/15)/1000</f>
        <v>-66.666666666666671</v>
      </c>
      <c r="E31" s="12">
        <f t="shared" si="3"/>
        <v>-66.666666666666671</v>
      </c>
      <c r="F31" s="12">
        <f t="shared" si="3"/>
        <v>-66.666666666666671</v>
      </c>
      <c r="G31" s="12">
        <f t="shared" si="3"/>
        <v>-66.666666666666671</v>
      </c>
      <c r="H31" s="12">
        <f t="shared" si="3"/>
        <v>-66.666666666666671</v>
      </c>
      <c r="I31" s="12">
        <f t="shared" si="3"/>
        <v>-66.666666666666671</v>
      </c>
      <c r="J31" s="12">
        <f t="shared" si="3"/>
        <v>-66.666666666666671</v>
      </c>
      <c r="K31" s="12">
        <f t="shared" si="3"/>
        <v>-66.666666666666671</v>
      </c>
      <c r="L31" s="12">
        <f t="shared" si="3"/>
        <v>-66.666666666666671</v>
      </c>
      <c r="M31" s="12">
        <f t="shared" si="3"/>
        <v>-66.666666666666671</v>
      </c>
      <c r="N31" s="12">
        <f t="shared" si="3"/>
        <v>-66.666666666666671</v>
      </c>
      <c r="O31" s="12">
        <f t="shared" si="3"/>
        <v>-66.666666666666671</v>
      </c>
      <c r="P31" s="12">
        <f t="shared" si="3"/>
        <v>-66.666666666666671</v>
      </c>
      <c r="Q31" s="12">
        <f t="shared" si="3"/>
        <v>-66.666666666666671</v>
      </c>
    </row>
    <row r="32" spans="1:17" x14ac:dyDescent="0.35">
      <c r="A32" t="s">
        <v>23</v>
      </c>
      <c r="C32" s="11">
        <f>SUM(C25:C31)/1000</f>
        <v>0.93333333333333335</v>
      </c>
      <c r="D32" s="10">
        <f>SUM(D25:D31)/1000</f>
        <v>0.93333333333333335</v>
      </c>
      <c r="E32" s="10">
        <f t="shared" ref="E32:Q32" si="4">SUM(E25:E31)/1000</f>
        <v>0.93333333333333335</v>
      </c>
      <c r="F32" s="10">
        <f t="shared" si="4"/>
        <v>0.93333333333333335</v>
      </c>
      <c r="G32" s="10">
        <f t="shared" si="4"/>
        <v>0.93333333333333335</v>
      </c>
      <c r="H32" s="10">
        <f t="shared" si="4"/>
        <v>0.93333333333333335</v>
      </c>
      <c r="I32" s="10">
        <f t="shared" si="4"/>
        <v>0.93333333333333335</v>
      </c>
      <c r="J32" s="10">
        <f t="shared" si="4"/>
        <v>0.93333333333333335</v>
      </c>
      <c r="K32" s="10">
        <f t="shared" si="4"/>
        <v>0.93333333333333335</v>
      </c>
      <c r="L32" s="10">
        <f t="shared" si="4"/>
        <v>0.93333333333333335</v>
      </c>
      <c r="M32" s="10">
        <f t="shared" si="4"/>
        <v>0.93333333333333335</v>
      </c>
      <c r="N32" s="10">
        <f t="shared" si="4"/>
        <v>0.93333333333333335</v>
      </c>
      <c r="O32" s="10">
        <f t="shared" si="4"/>
        <v>0.93333333333333335</v>
      </c>
      <c r="P32" s="10">
        <f t="shared" si="4"/>
        <v>0.93333333333333335</v>
      </c>
      <c r="Q32" s="10">
        <f t="shared" si="4"/>
        <v>1.7333333333333332</v>
      </c>
    </row>
    <row r="33" spans="1:17" x14ac:dyDescent="0.35">
      <c r="A33" t="s">
        <v>18</v>
      </c>
      <c r="C33" s="11">
        <f>-$H$15*C32</f>
        <v>-0.32666666666666666</v>
      </c>
      <c r="D33" s="11">
        <f t="shared" ref="D33:Q33" si="5">-$H$15*D32</f>
        <v>-0.32666666666666666</v>
      </c>
      <c r="E33" s="11">
        <f t="shared" si="5"/>
        <v>-0.32666666666666666</v>
      </c>
      <c r="F33" s="11">
        <f t="shared" si="5"/>
        <v>-0.32666666666666666</v>
      </c>
      <c r="G33" s="11">
        <f t="shared" si="5"/>
        <v>-0.32666666666666666</v>
      </c>
      <c r="H33" s="11">
        <f t="shared" si="5"/>
        <v>-0.32666666666666666</v>
      </c>
      <c r="I33" s="11">
        <f t="shared" si="5"/>
        <v>-0.32666666666666666</v>
      </c>
      <c r="J33" s="11">
        <f t="shared" si="5"/>
        <v>-0.32666666666666666</v>
      </c>
      <c r="K33" s="11">
        <f t="shared" si="5"/>
        <v>-0.32666666666666666</v>
      </c>
      <c r="L33" s="11">
        <f t="shared" si="5"/>
        <v>-0.32666666666666666</v>
      </c>
      <c r="M33" s="11">
        <f t="shared" si="5"/>
        <v>-0.32666666666666666</v>
      </c>
      <c r="N33" s="11">
        <f t="shared" si="5"/>
        <v>-0.32666666666666666</v>
      </c>
      <c r="O33" s="11">
        <f t="shared" si="5"/>
        <v>-0.32666666666666666</v>
      </c>
      <c r="P33" s="11">
        <f t="shared" si="5"/>
        <v>-0.32666666666666666</v>
      </c>
      <c r="Q33" s="11">
        <f t="shared" si="5"/>
        <v>-0.60666666666666658</v>
      </c>
    </row>
    <row r="34" spans="1:17" x14ac:dyDescent="0.35">
      <c r="A34" s="7" t="s">
        <v>24</v>
      </c>
      <c r="C34" s="13">
        <f>C32+C33</f>
        <v>0.60666666666666669</v>
      </c>
      <c r="D34" s="13">
        <f t="shared" ref="D34:Q34" si="6">D32+D33</f>
        <v>0.60666666666666669</v>
      </c>
      <c r="E34" s="13">
        <f t="shared" si="6"/>
        <v>0.60666666666666669</v>
      </c>
      <c r="F34" s="13">
        <f t="shared" si="6"/>
        <v>0.60666666666666669</v>
      </c>
      <c r="G34" s="13">
        <f t="shared" si="6"/>
        <v>0.60666666666666669</v>
      </c>
      <c r="H34" s="13">
        <f t="shared" si="6"/>
        <v>0.60666666666666669</v>
      </c>
      <c r="I34" s="13">
        <f t="shared" si="6"/>
        <v>0.60666666666666669</v>
      </c>
      <c r="J34" s="13">
        <f t="shared" si="6"/>
        <v>0.60666666666666669</v>
      </c>
      <c r="K34" s="13">
        <f t="shared" si="6"/>
        <v>0.60666666666666669</v>
      </c>
      <c r="L34" s="13">
        <f t="shared" si="6"/>
        <v>0.60666666666666669</v>
      </c>
      <c r="M34" s="13">
        <f t="shared" si="6"/>
        <v>0.60666666666666669</v>
      </c>
      <c r="N34" s="13">
        <f t="shared" si="6"/>
        <v>0.60666666666666669</v>
      </c>
      <c r="O34" s="13">
        <f t="shared" si="6"/>
        <v>0.60666666666666669</v>
      </c>
      <c r="P34" s="13">
        <f t="shared" si="6"/>
        <v>0.60666666666666669</v>
      </c>
      <c r="Q34" s="13">
        <f t="shared" si="6"/>
        <v>1.1266666666666665</v>
      </c>
    </row>
    <row r="37" spans="1:17" x14ac:dyDescent="0.35">
      <c r="A37" s="3" t="s">
        <v>25</v>
      </c>
    </row>
    <row r="38" spans="1:17" x14ac:dyDescent="0.35"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</row>
    <row r="40" spans="1:17" x14ac:dyDescent="0.35">
      <c r="A40" t="s">
        <v>21</v>
      </c>
      <c r="C40" s="5">
        <f>5300000/1000</f>
        <v>5300</v>
      </c>
      <c r="D40" s="5">
        <f t="shared" ref="D40:Q40" si="7">5300000/1000</f>
        <v>5300</v>
      </c>
      <c r="E40" s="5">
        <f t="shared" si="7"/>
        <v>5300</v>
      </c>
      <c r="F40" s="5">
        <f t="shared" si="7"/>
        <v>5300</v>
      </c>
      <c r="G40" s="5">
        <f t="shared" si="7"/>
        <v>5300</v>
      </c>
      <c r="H40" s="5">
        <f t="shared" si="7"/>
        <v>5300</v>
      </c>
      <c r="I40" s="5">
        <f t="shared" si="7"/>
        <v>5300</v>
      </c>
      <c r="J40" s="5">
        <f t="shared" si="7"/>
        <v>5300</v>
      </c>
      <c r="K40" s="5">
        <f t="shared" si="7"/>
        <v>5300</v>
      </c>
      <c r="L40" s="5">
        <f t="shared" si="7"/>
        <v>5300</v>
      </c>
      <c r="M40" s="5">
        <f t="shared" si="7"/>
        <v>5300</v>
      </c>
      <c r="N40" s="5">
        <f t="shared" si="7"/>
        <v>5300</v>
      </c>
      <c r="O40" s="5">
        <f t="shared" si="7"/>
        <v>5300</v>
      </c>
      <c r="P40" s="5">
        <f t="shared" si="7"/>
        <v>5300</v>
      </c>
      <c r="Q40" s="5">
        <f t="shared" si="7"/>
        <v>5300</v>
      </c>
    </row>
    <row r="41" spans="1:17" x14ac:dyDescent="0.35">
      <c r="A41" t="str">
        <f>A26</f>
        <v>costo oportunidad venta glp</v>
      </c>
      <c r="C41" s="5">
        <v>-4000</v>
      </c>
      <c r="D41" s="5">
        <v>-4000</v>
      </c>
      <c r="E41" s="5">
        <v>-4000</v>
      </c>
      <c r="F41" s="5">
        <v>-4000</v>
      </c>
      <c r="G41" s="5">
        <v>-4000</v>
      </c>
      <c r="H41" s="5">
        <v>-4000</v>
      </c>
      <c r="I41" s="5">
        <v>-4000</v>
      </c>
      <c r="J41" s="5">
        <v>-4000</v>
      </c>
      <c r="K41" s="5">
        <v>-4000</v>
      </c>
      <c r="L41" s="5">
        <v>-4000</v>
      </c>
      <c r="M41" s="5">
        <v>-4000</v>
      </c>
      <c r="N41" s="5">
        <v>-4000</v>
      </c>
      <c r="O41" s="5">
        <v>-4000</v>
      </c>
      <c r="P41" s="5">
        <v>-4000</v>
      </c>
      <c r="Q41" s="5">
        <v>-4000</v>
      </c>
    </row>
    <row r="42" spans="1:17" x14ac:dyDescent="0.35">
      <c r="A42" t="s">
        <v>28</v>
      </c>
      <c r="B42" s="1">
        <f>-300000/1000</f>
        <v>-300</v>
      </c>
    </row>
    <row r="43" spans="1:17" x14ac:dyDescent="0.35">
      <c r="A43" t="s">
        <v>17</v>
      </c>
      <c r="B43" s="1"/>
      <c r="C43" s="1">
        <f>-300000/1000</f>
        <v>-300</v>
      </c>
      <c r="D43" s="1">
        <f t="shared" ref="D43:Q43" si="8">-300000/1000</f>
        <v>-300</v>
      </c>
      <c r="E43" s="1">
        <f t="shared" si="8"/>
        <v>-300</v>
      </c>
      <c r="F43" s="1">
        <f t="shared" si="8"/>
        <v>-300</v>
      </c>
      <c r="G43" s="1">
        <f t="shared" si="8"/>
        <v>-300</v>
      </c>
      <c r="H43" s="1">
        <f t="shared" si="8"/>
        <v>-300</v>
      </c>
      <c r="I43" s="1">
        <f t="shared" si="8"/>
        <v>-300</v>
      </c>
      <c r="J43" s="1">
        <f t="shared" si="8"/>
        <v>-300</v>
      </c>
      <c r="K43" s="1">
        <f t="shared" si="8"/>
        <v>-300</v>
      </c>
      <c r="L43" s="1">
        <f t="shared" si="8"/>
        <v>-300</v>
      </c>
      <c r="M43" s="1">
        <f t="shared" si="8"/>
        <v>-300</v>
      </c>
      <c r="N43" s="1">
        <f t="shared" si="8"/>
        <v>-300</v>
      </c>
      <c r="O43" s="1">
        <f t="shared" si="8"/>
        <v>-300</v>
      </c>
      <c r="P43" s="1">
        <f t="shared" si="8"/>
        <v>-300</v>
      </c>
      <c r="Q43" s="1">
        <f t="shared" si="8"/>
        <v>-300</v>
      </c>
    </row>
    <row r="44" spans="1:17" x14ac:dyDescent="0.35">
      <c r="A44" t="str">
        <f>A27</f>
        <v>rtado x vta planta</v>
      </c>
      <c r="B44" s="1">
        <f>-1000000/1000</f>
        <v>-1000</v>
      </c>
      <c r="C44" s="4">
        <f>C27</f>
        <v>0</v>
      </c>
      <c r="D44" s="4">
        <f>D27</f>
        <v>0</v>
      </c>
      <c r="E44" s="4">
        <f>E27</f>
        <v>0</v>
      </c>
      <c r="F44" s="4">
        <f>F27</f>
        <v>0</v>
      </c>
      <c r="Q44" s="4">
        <f>Q27</f>
        <v>500</v>
      </c>
    </row>
    <row r="45" spans="1:17" x14ac:dyDescent="0.35">
      <c r="A45" t="s">
        <v>9</v>
      </c>
      <c r="B45" s="5">
        <f>-5*100</f>
        <v>-500</v>
      </c>
      <c r="G45" s="4"/>
    </row>
    <row r="46" spans="1:17" x14ac:dyDescent="0.35">
      <c r="A46" t="s">
        <v>30</v>
      </c>
      <c r="B46" s="5">
        <v>-200</v>
      </c>
      <c r="G46" s="4"/>
    </row>
    <row r="47" spans="1:17" x14ac:dyDescent="0.35">
      <c r="A47" t="s">
        <v>31</v>
      </c>
      <c r="B47" s="5">
        <v>-100</v>
      </c>
      <c r="G47" s="4"/>
    </row>
    <row r="48" spans="1:17" x14ac:dyDescent="0.35">
      <c r="A48" t="s">
        <v>14</v>
      </c>
      <c r="B48" s="5">
        <v>-500</v>
      </c>
      <c r="G48" s="4"/>
      <c r="Q48" s="4">
        <f>(-B48*0.6)</f>
        <v>300</v>
      </c>
    </row>
    <row r="49" spans="1:17" x14ac:dyDescent="0.35">
      <c r="A49" t="s">
        <v>33</v>
      </c>
      <c r="B49" s="5"/>
      <c r="C49" s="5">
        <f>-210000/1000</f>
        <v>-210</v>
      </c>
      <c r="D49" s="5">
        <f t="shared" ref="D49:Q49" si="9">-210000/1000</f>
        <v>-210</v>
      </c>
      <c r="E49" s="5">
        <f t="shared" si="9"/>
        <v>-210</v>
      </c>
      <c r="F49" s="5">
        <f t="shared" si="9"/>
        <v>-210</v>
      </c>
      <c r="G49" s="5">
        <f t="shared" si="9"/>
        <v>-210</v>
      </c>
      <c r="H49" s="5">
        <f t="shared" si="9"/>
        <v>-210</v>
      </c>
      <c r="I49" s="5">
        <f t="shared" si="9"/>
        <v>-210</v>
      </c>
      <c r="J49" s="5">
        <f t="shared" si="9"/>
        <v>-210</v>
      </c>
      <c r="K49" s="5">
        <f t="shared" si="9"/>
        <v>-210</v>
      </c>
      <c r="L49" s="5">
        <f t="shared" si="9"/>
        <v>-210</v>
      </c>
      <c r="M49" s="5">
        <f t="shared" si="9"/>
        <v>-210</v>
      </c>
      <c r="N49" s="5">
        <f t="shared" si="9"/>
        <v>-210</v>
      </c>
      <c r="O49" s="5">
        <f t="shared" si="9"/>
        <v>-210</v>
      </c>
      <c r="P49" s="5">
        <f t="shared" si="9"/>
        <v>-210</v>
      </c>
      <c r="Q49" s="5">
        <f t="shared" si="9"/>
        <v>-210</v>
      </c>
    </row>
    <row r="50" spans="1:17" x14ac:dyDescent="0.35">
      <c r="A50" t="s">
        <v>18</v>
      </c>
      <c r="C50" s="6">
        <v>-0.37333333333333329</v>
      </c>
      <c r="D50" s="6">
        <v>-0.37333333333333329</v>
      </c>
      <c r="E50" s="6">
        <v>-0.37333333333333329</v>
      </c>
      <c r="F50" s="6">
        <v>-0.37333333333333329</v>
      </c>
      <c r="G50" s="6">
        <v>-0.37333333333333329</v>
      </c>
      <c r="H50" s="6">
        <v>-0.37333333333333329</v>
      </c>
      <c r="I50" s="6">
        <v>-0.37333333333333329</v>
      </c>
      <c r="J50" s="6">
        <v>-0.37333333333333329</v>
      </c>
      <c r="K50" s="6">
        <v>-0.37333333333333329</v>
      </c>
      <c r="L50" s="6">
        <v>-0.37333333333333329</v>
      </c>
      <c r="M50" s="6">
        <v>-0.37333333333333329</v>
      </c>
      <c r="N50" s="6">
        <v>-0.37333333333333329</v>
      </c>
      <c r="O50" s="6">
        <v>-0.37333333333333329</v>
      </c>
      <c r="P50" s="6">
        <v>-0.37333333333333329</v>
      </c>
      <c r="Q50" s="6">
        <v>-0.65333333333333332</v>
      </c>
    </row>
    <row r="51" spans="1:17" x14ac:dyDescent="0.35">
      <c r="A51" s="8" t="s">
        <v>26</v>
      </c>
      <c r="B51" s="14">
        <f>SUM(B40:B50)</f>
        <v>-2600</v>
      </c>
      <c r="C51" s="14">
        <f>SUM(C40:C50)</f>
        <v>789.62666666666667</v>
      </c>
      <c r="D51" s="14">
        <f>SUM(D40:D50)</f>
        <v>789.62666666666667</v>
      </c>
      <c r="E51" s="14">
        <f>SUM(E40:E50)</f>
        <v>789.62666666666667</v>
      </c>
      <c r="F51" s="14">
        <f>SUM(F40:F50)</f>
        <v>789.62666666666667</v>
      </c>
      <c r="G51" s="14">
        <f>SUM(G40:G50)</f>
        <v>789.62666666666667</v>
      </c>
      <c r="H51" s="14">
        <f t="shared" ref="H51:Q51" si="10">SUM(H40:H50)</f>
        <v>789.62666666666667</v>
      </c>
      <c r="I51" s="14">
        <f t="shared" si="10"/>
        <v>789.62666666666667</v>
      </c>
      <c r="J51" s="14">
        <f t="shared" si="10"/>
        <v>789.62666666666667</v>
      </c>
      <c r="K51" s="14">
        <f t="shared" si="10"/>
        <v>789.62666666666667</v>
      </c>
      <c r="L51" s="14">
        <f t="shared" si="10"/>
        <v>789.62666666666667</v>
      </c>
      <c r="M51" s="14">
        <f t="shared" si="10"/>
        <v>789.62666666666667</v>
      </c>
      <c r="N51" s="14">
        <f t="shared" si="10"/>
        <v>789.62666666666667</v>
      </c>
      <c r="O51" s="14">
        <f t="shared" si="10"/>
        <v>789.62666666666667</v>
      </c>
      <c r="P51" s="14">
        <f t="shared" si="10"/>
        <v>789.62666666666667</v>
      </c>
      <c r="Q51" s="14">
        <f t="shared" si="10"/>
        <v>1589.3466666666666</v>
      </c>
    </row>
    <row r="53" spans="1:17" x14ac:dyDescent="0.35">
      <c r="A53" t="s">
        <v>35</v>
      </c>
    </row>
    <row r="54" spans="1:17" x14ac:dyDescent="0.35">
      <c r="A54" s="15">
        <f>NPV(H16,C51:Q51)+B51</f>
        <v>2115.5205374568195</v>
      </c>
      <c r="D54" t="s">
        <v>36</v>
      </c>
      <c r="E54" s="2">
        <f>IRR(B51:Q51)</f>
        <v>0.29954763635313397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B31" sqref="B31"/>
    </sheetView>
  </sheetViews>
  <sheetFormatPr baseColWidth="10" defaultRowHeight="14.5" x14ac:dyDescent="0.35"/>
  <sheetData>
    <row r="1" spans="1:8" x14ac:dyDescent="0.35">
      <c r="A1" t="s">
        <v>43</v>
      </c>
    </row>
    <row r="3" spans="1:8" x14ac:dyDescent="0.35">
      <c r="A3" t="s">
        <v>37</v>
      </c>
      <c r="B3" s="16" t="s">
        <v>38</v>
      </c>
      <c r="C3" t="s">
        <v>39</v>
      </c>
      <c r="D3">
        <v>30</v>
      </c>
      <c r="E3" t="s">
        <v>40</v>
      </c>
      <c r="F3">
        <v>1</v>
      </c>
      <c r="G3" t="s">
        <v>41</v>
      </c>
      <c r="H3">
        <v>5</v>
      </c>
    </row>
    <row r="4" spans="1:8" x14ac:dyDescent="0.35">
      <c r="A4" t="s">
        <v>37</v>
      </c>
      <c r="B4" t="s">
        <v>42</v>
      </c>
      <c r="C4" t="s">
        <v>39</v>
      </c>
      <c r="D4">
        <v>30</v>
      </c>
      <c r="E4" t="s">
        <v>40</v>
      </c>
      <c r="F4">
        <v>1</v>
      </c>
      <c r="G4" t="s">
        <v>41</v>
      </c>
      <c r="H4">
        <v>5</v>
      </c>
    </row>
    <row r="6" spans="1:8" x14ac:dyDescent="0.35">
      <c r="A6" s="17" t="s">
        <v>44</v>
      </c>
      <c r="B6" s="17" t="s">
        <v>38</v>
      </c>
      <c r="C6" s="17" t="s">
        <v>42</v>
      </c>
      <c r="D6" s="17" t="s">
        <v>45</v>
      </c>
    </row>
    <row r="7" spans="1:8" x14ac:dyDescent="0.35">
      <c r="A7">
        <v>10</v>
      </c>
      <c r="B7" s="17">
        <f>-$H$3</f>
        <v>-5</v>
      </c>
      <c r="C7" s="17">
        <f>($D$4-A7-$H$4)*$F$4</f>
        <v>15</v>
      </c>
      <c r="D7" s="17">
        <f>B7+C7</f>
        <v>10</v>
      </c>
    </row>
    <row r="8" spans="1:8" x14ac:dyDescent="0.35">
      <c r="A8" s="18">
        <v>20</v>
      </c>
      <c r="B8" s="17">
        <f t="shared" ref="B8:B10" si="0">-$H$3</f>
        <v>-5</v>
      </c>
      <c r="C8" s="17">
        <f t="shared" ref="C8:C11" si="1">($D$4-A8-$H$4)*$F$4</f>
        <v>5</v>
      </c>
      <c r="D8" s="18">
        <f t="shared" ref="D8:D16" si="2">B8+C8</f>
        <v>0</v>
      </c>
    </row>
    <row r="9" spans="1:8" x14ac:dyDescent="0.35">
      <c r="A9" s="17">
        <v>30</v>
      </c>
      <c r="B9" s="17">
        <f t="shared" si="0"/>
        <v>-5</v>
      </c>
      <c r="C9" s="17">
        <f t="shared" si="1"/>
        <v>-5</v>
      </c>
      <c r="D9" s="17">
        <f t="shared" si="2"/>
        <v>-10</v>
      </c>
    </row>
    <row r="10" spans="1:8" x14ac:dyDescent="0.35">
      <c r="A10" s="18">
        <v>40</v>
      </c>
      <c r="B10" s="17">
        <f t="shared" ref="B10:B11" si="3">A10-$D$3-$H$3</f>
        <v>5</v>
      </c>
      <c r="C10" s="17">
        <f t="shared" ref="C10:C12" si="4">(-$H$4)*$F$4</f>
        <v>-5</v>
      </c>
      <c r="D10" s="18">
        <f t="shared" si="2"/>
        <v>0</v>
      </c>
    </row>
    <row r="11" spans="1:8" x14ac:dyDescent="0.35">
      <c r="A11" s="19">
        <v>45</v>
      </c>
      <c r="B11" s="17">
        <f t="shared" si="3"/>
        <v>10</v>
      </c>
      <c r="C11" s="17">
        <f t="shared" si="4"/>
        <v>-5</v>
      </c>
      <c r="D11" s="18">
        <f t="shared" si="2"/>
        <v>5</v>
      </c>
    </row>
    <row r="12" spans="1:8" x14ac:dyDescent="0.35">
      <c r="A12" s="17">
        <v>50</v>
      </c>
      <c r="B12" s="17">
        <f>A12-$D$3-$H$3</f>
        <v>15</v>
      </c>
      <c r="C12" s="17">
        <f t="shared" si="4"/>
        <v>-5</v>
      </c>
      <c r="D12" s="17">
        <f>B12+C12</f>
        <v>10</v>
      </c>
    </row>
    <row r="13" spans="1:8" x14ac:dyDescent="0.35">
      <c r="A13" s="18">
        <v>60</v>
      </c>
      <c r="B13" s="17">
        <f>A13-$D$3-$H$3</f>
        <v>25</v>
      </c>
      <c r="C13" s="17">
        <f>(-$H$4)*$F$4</f>
        <v>-5</v>
      </c>
      <c r="D13" s="18">
        <f>B13+C13</f>
        <v>20</v>
      </c>
    </row>
    <row r="14" spans="1:8" x14ac:dyDescent="0.35">
      <c r="A14" s="17"/>
      <c r="B14" s="17"/>
      <c r="C14" s="17"/>
      <c r="D14" s="17"/>
    </row>
    <row r="22" spans="1:5" x14ac:dyDescent="0.35">
      <c r="A22" t="s">
        <v>46</v>
      </c>
    </row>
    <row r="23" spans="1:5" x14ac:dyDescent="0.35">
      <c r="A23" t="s">
        <v>47</v>
      </c>
      <c r="B23" t="s">
        <v>49</v>
      </c>
      <c r="C23">
        <v>30</v>
      </c>
      <c r="D23" t="s">
        <v>41</v>
      </c>
      <c r="E23">
        <v>4</v>
      </c>
    </row>
    <row r="24" spans="1:5" x14ac:dyDescent="0.35">
      <c r="A24" t="s">
        <v>48</v>
      </c>
      <c r="B24" t="s">
        <v>49</v>
      </c>
      <c r="C24">
        <v>27</v>
      </c>
      <c r="D24" t="s">
        <v>41</v>
      </c>
      <c r="E24">
        <v>2</v>
      </c>
    </row>
    <row r="26" spans="1:5" x14ac:dyDescent="0.35">
      <c r="A26" s="17" t="s">
        <v>44</v>
      </c>
      <c r="B26" s="17" t="s">
        <v>50</v>
      </c>
      <c r="C26" s="17" t="s">
        <v>51</v>
      </c>
      <c r="D26" s="17" t="s">
        <v>45</v>
      </c>
    </row>
    <row r="27" spans="1:5" x14ac:dyDescent="0.35">
      <c r="A27">
        <v>5</v>
      </c>
      <c r="B27">
        <f>$E$23</f>
        <v>4</v>
      </c>
      <c r="C27" s="17">
        <f>A27+$E$24-$C$24</f>
        <v>-20</v>
      </c>
      <c r="D27" s="17">
        <f>B27+C27</f>
        <v>-16</v>
      </c>
    </row>
    <row r="28" spans="1:5" x14ac:dyDescent="0.35">
      <c r="A28">
        <v>10</v>
      </c>
      <c r="B28">
        <f t="shared" ref="B28:B31" si="5">$E$23</f>
        <v>4</v>
      </c>
      <c r="C28" s="20">
        <f t="shared" ref="C27:C28" si="6">A28+$E$24-$C$24</f>
        <v>-15</v>
      </c>
      <c r="D28" s="20">
        <f>B28+C28</f>
        <v>-11</v>
      </c>
    </row>
    <row r="29" spans="1:5" x14ac:dyDescent="0.35">
      <c r="A29" s="18">
        <v>20</v>
      </c>
      <c r="B29" s="17">
        <f t="shared" si="5"/>
        <v>4</v>
      </c>
      <c r="C29" s="17">
        <f>A29+$E$24-$C$24</f>
        <v>-5</v>
      </c>
      <c r="D29" s="18">
        <f>B29+C29</f>
        <v>-1</v>
      </c>
    </row>
    <row r="30" spans="1:5" x14ac:dyDescent="0.35">
      <c r="A30" s="17">
        <v>28</v>
      </c>
      <c r="B30" s="17">
        <f t="shared" si="5"/>
        <v>4</v>
      </c>
      <c r="C30" s="17">
        <v>2</v>
      </c>
      <c r="D30" s="21">
        <f>B30+C30</f>
        <v>6</v>
      </c>
    </row>
    <row r="31" spans="1:5" x14ac:dyDescent="0.35">
      <c r="A31" s="21">
        <v>30</v>
      </c>
      <c r="B31">
        <f t="shared" si="5"/>
        <v>4</v>
      </c>
      <c r="C31" s="21">
        <f>$E$24</f>
        <v>2</v>
      </c>
      <c r="D31" s="21">
        <f>B31+C31</f>
        <v>6</v>
      </c>
    </row>
    <row r="32" spans="1:5" x14ac:dyDescent="0.35">
      <c r="A32" s="18">
        <v>40</v>
      </c>
      <c r="B32" s="17">
        <f>$C$23+$E$23-A32</f>
        <v>-6</v>
      </c>
      <c r="C32" s="17">
        <f t="shared" ref="C31:C34" si="7">$E$24</f>
        <v>2</v>
      </c>
      <c r="D32" s="18">
        <f>B32+C32</f>
        <v>-4</v>
      </c>
    </row>
    <row r="33" spans="1:4" x14ac:dyDescent="0.35">
      <c r="A33" s="19">
        <v>45</v>
      </c>
      <c r="B33" s="17">
        <f>$C$23+$E$23-A33</f>
        <v>-11</v>
      </c>
      <c r="C33" s="17">
        <f t="shared" si="7"/>
        <v>2</v>
      </c>
      <c r="D33" s="18">
        <f>B33+C33</f>
        <v>-9</v>
      </c>
    </row>
    <row r="34" spans="1:4" x14ac:dyDescent="0.35">
      <c r="A34" s="17">
        <v>50</v>
      </c>
      <c r="B34" s="17">
        <f>$C$23+$E$23-A34</f>
        <v>-16</v>
      </c>
      <c r="C34" s="17">
        <f t="shared" si="7"/>
        <v>2</v>
      </c>
      <c r="D34" s="17">
        <f>B34+C34</f>
        <v>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D1" sqref="D1"/>
    </sheetView>
  </sheetViews>
  <sheetFormatPr baseColWidth="10" defaultRowHeight="14.5" x14ac:dyDescent="0.35"/>
  <sheetData>
    <row r="2" spans="1:10" x14ac:dyDescent="0.35">
      <c r="A2" t="s">
        <v>57</v>
      </c>
      <c r="B2" s="1">
        <v>2000000</v>
      </c>
    </row>
    <row r="4" spans="1:10" x14ac:dyDescent="0.35">
      <c r="A4" t="s">
        <v>52</v>
      </c>
      <c r="B4" s="1">
        <v>1000</v>
      </c>
      <c r="E4" t="s">
        <v>53</v>
      </c>
      <c r="F4" s="2">
        <v>0.1</v>
      </c>
      <c r="G4" t="s">
        <v>54</v>
      </c>
    </row>
    <row r="6" spans="1:10" x14ac:dyDescent="0.35">
      <c r="A6" t="s">
        <v>55</v>
      </c>
      <c r="B6" t="s">
        <v>56</v>
      </c>
      <c r="G6" t="s">
        <v>19</v>
      </c>
      <c r="H6" s="2">
        <v>0.12</v>
      </c>
    </row>
    <row r="8" spans="1:10" x14ac:dyDescent="0.35">
      <c r="A8" t="s">
        <v>58</v>
      </c>
      <c r="C8">
        <f>B2/B4</f>
        <v>2000</v>
      </c>
    </row>
    <row r="10" spans="1:10" x14ac:dyDescent="0.35">
      <c r="A10" t="s">
        <v>59</v>
      </c>
      <c r="B10" t="s">
        <v>60</v>
      </c>
      <c r="C10" t="s">
        <v>61</v>
      </c>
      <c r="D10" t="s">
        <v>62</v>
      </c>
    </row>
    <row r="11" spans="1:10" x14ac:dyDescent="0.35">
      <c r="A11">
        <v>1</v>
      </c>
      <c r="B11">
        <v>0</v>
      </c>
      <c r="C11">
        <f>$F$4*B4</f>
        <v>100</v>
      </c>
      <c r="D11">
        <v>100</v>
      </c>
    </row>
    <row r="12" spans="1:10" x14ac:dyDescent="0.35">
      <c r="A12">
        <v>2</v>
      </c>
      <c r="B12">
        <f>0.5*B4</f>
        <v>500</v>
      </c>
      <c r="C12">
        <f>F4*B4</f>
        <v>100</v>
      </c>
      <c r="D12">
        <v>500</v>
      </c>
    </row>
    <row r="13" spans="1:10" x14ac:dyDescent="0.35">
      <c r="A13">
        <v>3</v>
      </c>
      <c r="B13">
        <v>0</v>
      </c>
      <c r="C13">
        <f>F4*B12</f>
        <v>50</v>
      </c>
      <c r="D13">
        <v>50</v>
      </c>
    </row>
    <row r="14" spans="1:10" x14ac:dyDescent="0.35">
      <c r="A14">
        <v>5</v>
      </c>
      <c r="B14">
        <v>500</v>
      </c>
      <c r="C14">
        <f>F4*B14</f>
        <v>50</v>
      </c>
      <c r="D14">
        <v>550</v>
      </c>
    </row>
    <row r="15" spans="1:10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7" spans="1:10" x14ac:dyDescent="0.35">
      <c r="A17">
        <v>0</v>
      </c>
      <c r="B17">
        <v>1</v>
      </c>
      <c r="C17">
        <v>2</v>
      </c>
      <c r="D17">
        <v>3</v>
      </c>
      <c r="G17" t="s">
        <v>67</v>
      </c>
      <c r="I17" s="2">
        <v>0.16</v>
      </c>
    </row>
    <row r="18" spans="1:10" x14ac:dyDescent="0.35">
      <c r="A18">
        <v>0</v>
      </c>
      <c r="B18">
        <v>40</v>
      </c>
      <c r="C18">
        <v>50</v>
      </c>
      <c r="D18">
        <f>C18*(1+0.04)</f>
        <v>52</v>
      </c>
    </row>
    <row r="19" spans="1:10" x14ac:dyDescent="0.35">
      <c r="G19" t="s">
        <v>65</v>
      </c>
      <c r="J19" s="2">
        <v>0.04</v>
      </c>
    </row>
    <row r="20" spans="1:10" x14ac:dyDescent="0.35">
      <c r="A20" t="s">
        <v>63</v>
      </c>
      <c r="C20" s="15">
        <f>NPV(I17,B18:C18)</f>
        <v>71.640903686087995</v>
      </c>
    </row>
    <row r="22" spans="1:10" x14ac:dyDescent="0.35">
      <c r="A22" t="s">
        <v>64</v>
      </c>
      <c r="C22" s="9">
        <f>(D18/(I17-J19))/(1+I17)^2</f>
        <v>322.03725723345229</v>
      </c>
      <c r="E22" t="s">
        <v>66</v>
      </c>
      <c r="G22" s="15">
        <f>C20+C22</f>
        <v>393.67816091954029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 1</vt:lpstr>
      <vt:lpstr>ej2</vt:lpstr>
      <vt:lpstr>ej3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2023-07-20T22:00:36Z</dcterms:modified>
</cp:coreProperties>
</file>