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10110" windowHeight="7605" activeTab="1"/>
  </bookViews>
  <sheets>
    <sheet name="PERINCIAN TAHUNAN)" sheetId="4" r:id="rId1"/>
    <sheet name="PERINCIAN PROYEK" sheetId="1" r:id="rId2"/>
    <sheet name="Sheet2" sheetId="2" r:id="rId3"/>
    <sheet name="Sheet3" sheetId="3" r:id="rId4"/>
    <sheet name="Sheet1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</externalReferences>
  <definedNames>
    <definedName name="_xlnm.Print_Area" localSheetId="1">'PERINCIAN PROYEK'!$B$4:$U$291</definedName>
    <definedName name="_xlnm.Print_Area" localSheetId="0">'PERINCIAN TAHUNAN)'!$B$4:$T$31</definedName>
    <definedName name="_xlnm.Print_Area" localSheetId="2">Sheet2!$B$1:$U$167</definedName>
    <definedName name="_xlnm.Print_Titles" localSheetId="1">'PERINCIAN PROYEK'!$6:$6</definedName>
    <definedName name="_xlnm.Print_Titles" localSheetId="2">Sheet2!$3:$3</definedName>
  </definedNames>
  <calcPr calcId="145621"/>
</workbook>
</file>

<file path=xl/calcChain.xml><?xml version="1.0" encoding="utf-8"?>
<calcChain xmlns="http://schemas.openxmlformats.org/spreadsheetml/2006/main">
  <c r="R168" i="1" l="1"/>
  <c r="S165" i="1" l="1"/>
  <c r="H43" i="1" l="1"/>
  <c r="M57" i="1" l="1"/>
  <c r="T101" i="1" l="1"/>
  <c r="S101" i="1"/>
  <c r="R101" i="1"/>
  <c r="M101" i="1"/>
  <c r="L101" i="1"/>
  <c r="H101" i="1"/>
  <c r="L55" i="1" l="1"/>
  <c r="T55" i="1"/>
  <c r="R55" i="1"/>
  <c r="M55" i="1"/>
  <c r="H55" i="1"/>
  <c r="T50" i="1"/>
  <c r="S50" i="1"/>
  <c r="R50" i="1"/>
  <c r="M50" i="1"/>
  <c r="L50" i="1"/>
  <c r="H50" i="1"/>
  <c r="T44" i="1"/>
  <c r="R44" i="1"/>
  <c r="M44" i="1"/>
  <c r="T46" i="1"/>
  <c r="S46" i="1"/>
  <c r="R46" i="1"/>
  <c r="M46" i="1"/>
  <c r="L46" i="1"/>
  <c r="H46" i="1"/>
  <c r="L44" i="1"/>
  <c r="H44" i="1"/>
  <c r="T43" i="1"/>
  <c r="R43" i="1"/>
  <c r="M43" i="1"/>
  <c r="L43" i="1"/>
  <c r="L29" i="1"/>
  <c r="T29" i="1"/>
  <c r="S29" i="1"/>
  <c r="R29" i="1"/>
  <c r="M29" i="1"/>
  <c r="H29" i="1"/>
  <c r="H48" i="1" l="1"/>
  <c r="S57" i="1" l="1"/>
  <c r="R57" i="1"/>
  <c r="L57" i="1"/>
  <c r="H57" i="1"/>
  <c r="T57" i="1" s="1"/>
  <c r="T56" i="1"/>
  <c r="S56" i="1"/>
  <c r="M56" i="1"/>
  <c r="R56" i="1"/>
  <c r="H56" i="1"/>
  <c r="S44" i="1"/>
  <c r="S21" i="1" l="1"/>
  <c r="T21" i="1"/>
  <c r="R21" i="1"/>
  <c r="M21" i="1"/>
  <c r="L21" i="1"/>
  <c r="T19" i="1" l="1"/>
  <c r="L19" i="1"/>
  <c r="M19" i="1"/>
  <c r="R19" i="1"/>
  <c r="S19" i="1"/>
  <c r="T9" i="1" l="1"/>
  <c r="S9" i="1"/>
  <c r="R9" i="1"/>
  <c r="M9" i="1"/>
  <c r="R287" i="1" l="1"/>
  <c r="H287" i="1"/>
  <c r="T59" i="1"/>
  <c r="S59" i="1"/>
  <c r="R59" i="1"/>
  <c r="M59" i="1"/>
  <c r="L59" i="1"/>
  <c r="H59" i="1"/>
  <c r="T51" i="1" l="1"/>
  <c r="S51" i="1"/>
  <c r="R51" i="1"/>
  <c r="M51" i="1"/>
  <c r="L51" i="1"/>
  <c r="H51" i="1"/>
  <c r="T171" i="1" l="1"/>
  <c r="R120" i="1" l="1"/>
  <c r="S120" i="1"/>
  <c r="S119" i="1"/>
  <c r="R119" i="1"/>
  <c r="T116" i="1" l="1"/>
  <c r="S116" i="1"/>
  <c r="R116" i="1"/>
  <c r="S77" i="1" l="1"/>
  <c r="R77" i="1"/>
  <c r="M77" i="1" l="1"/>
  <c r="L9" i="1" l="1"/>
  <c r="H9" i="1"/>
  <c r="R179" i="1" l="1"/>
  <c r="M179" i="1"/>
  <c r="H179" i="1"/>
  <c r="T179" i="1" l="1"/>
  <c r="T11" i="1" l="1"/>
  <c r="T15" i="1" s="1"/>
  <c r="T13" i="1"/>
  <c r="H25" i="1" l="1"/>
  <c r="S11" i="1" l="1"/>
  <c r="R11" i="1"/>
  <c r="M11" i="1"/>
  <c r="L11" i="1"/>
  <c r="H11" i="1"/>
  <c r="S168" i="1" l="1"/>
  <c r="S167" i="1"/>
  <c r="R167" i="1"/>
  <c r="M168" i="1"/>
  <c r="M167" i="1"/>
  <c r="H167" i="1"/>
  <c r="S13" i="1"/>
  <c r="S15" i="1" s="1"/>
  <c r="R13" i="1"/>
  <c r="R15" i="1" s="1"/>
  <c r="Q8" i="4" s="1"/>
  <c r="M13" i="1"/>
  <c r="M15" i="1" s="1"/>
  <c r="L8" i="4" s="1"/>
  <c r="H13" i="1"/>
  <c r="H15" i="1" s="1"/>
  <c r="G8" i="4" s="1"/>
  <c r="S55" i="1" l="1"/>
  <c r="T257" i="1" l="1"/>
  <c r="T251" i="1"/>
  <c r="T246" i="1"/>
  <c r="P8" i="4" l="1"/>
  <c r="O8" i="4"/>
  <c r="N8" i="4"/>
  <c r="M8" i="4"/>
  <c r="T99" i="1" l="1"/>
  <c r="S99" i="1"/>
  <c r="R99" i="1"/>
  <c r="M99" i="1"/>
  <c r="H99" i="1"/>
  <c r="L15" i="1" l="1"/>
  <c r="R8" i="4"/>
  <c r="S8" i="4" l="1"/>
  <c r="T83" i="1"/>
  <c r="S83" i="1"/>
  <c r="R83" i="1"/>
  <c r="M83" i="1"/>
  <c r="L83" i="1"/>
  <c r="H83" i="1"/>
  <c r="T89" i="1" l="1"/>
  <c r="S89" i="1"/>
  <c r="R89" i="1"/>
  <c r="M89" i="1"/>
  <c r="Q89" i="1"/>
  <c r="P89" i="1"/>
  <c r="O89" i="1"/>
  <c r="N89" i="1"/>
  <c r="L89" i="1"/>
  <c r="H89" i="1"/>
  <c r="S25" i="1" l="1"/>
  <c r="R25" i="1"/>
  <c r="M25" i="1"/>
  <c r="L25" i="1"/>
  <c r="T122" i="1" l="1"/>
  <c r="H88" i="1"/>
  <c r="R280" i="1" l="1"/>
  <c r="S280" i="1"/>
  <c r="M280" i="1"/>
  <c r="L280" i="1"/>
  <c r="H280" i="1"/>
  <c r="S279" i="1"/>
  <c r="R279" i="1"/>
  <c r="M279" i="1"/>
  <c r="L279" i="1"/>
  <c r="L278" i="1"/>
  <c r="H279" i="1"/>
  <c r="R278" i="1"/>
  <c r="M278" i="1"/>
  <c r="H278" i="1"/>
  <c r="Q21" i="1" l="1"/>
  <c r="P21" i="1"/>
  <c r="O21" i="1"/>
  <c r="N21" i="1"/>
  <c r="H21" i="1"/>
  <c r="S85" i="1" l="1"/>
  <c r="R85" i="1"/>
  <c r="Q19" i="1" l="1"/>
  <c r="P19" i="1"/>
  <c r="O19" i="1"/>
  <c r="N19" i="1"/>
  <c r="H19" i="1"/>
  <c r="R144" i="1" l="1"/>
  <c r="M122" i="1"/>
  <c r="H122" i="1"/>
  <c r="L77" i="1" l="1"/>
  <c r="H77" i="1"/>
  <c r="R141" i="1" l="1"/>
  <c r="T189" i="1" l="1"/>
  <c r="S189" i="1"/>
  <c r="R189" i="1"/>
  <c r="Q189" i="1"/>
  <c r="P189" i="1"/>
  <c r="O189" i="1"/>
  <c r="N189" i="1"/>
  <c r="M189" i="1"/>
  <c r="T93" i="1" l="1"/>
  <c r="S93" i="1"/>
  <c r="R93" i="1"/>
  <c r="M93" i="1"/>
  <c r="L93" i="1"/>
  <c r="H93" i="1"/>
  <c r="T85" i="1" l="1"/>
  <c r="M195" i="1" l="1"/>
  <c r="H195" i="1" l="1"/>
  <c r="Q99" i="1" l="1"/>
  <c r="P99" i="1"/>
  <c r="O99" i="1"/>
  <c r="N99" i="1"/>
  <c r="R97" i="1" l="1"/>
  <c r="M97" i="1"/>
  <c r="L97" i="1"/>
  <c r="N97" i="1"/>
  <c r="O97" i="1"/>
  <c r="P97" i="1"/>
  <c r="Q97" i="1"/>
  <c r="S97" i="1"/>
  <c r="H97" i="1"/>
  <c r="T95" i="1" l="1"/>
  <c r="S95" i="1"/>
  <c r="R95" i="1"/>
  <c r="Q95" i="1"/>
  <c r="P95" i="1"/>
  <c r="O95" i="1"/>
  <c r="N95" i="1"/>
  <c r="M95" i="1"/>
  <c r="L95" i="1"/>
  <c r="H95" i="1"/>
  <c r="Q93" i="1"/>
  <c r="P93" i="1"/>
  <c r="O93" i="1"/>
  <c r="N93" i="1"/>
  <c r="Q59" i="1" l="1"/>
  <c r="P59" i="1"/>
  <c r="O59" i="1"/>
  <c r="N59" i="1"/>
  <c r="Q55" i="1" l="1"/>
  <c r="P55" i="1"/>
  <c r="O55" i="1"/>
  <c r="N55" i="1"/>
  <c r="T53" i="1"/>
  <c r="S53" i="1"/>
  <c r="R53" i="1"/>
  <c r="Q53" i="1"/>
  <c r="P53" i="1"/>
  <c r="O53" i="1"/>
  <c r="N53" i="1"/>
  <c r="M53" i="1"/>
  <c r="L53" i="1"/>
  <c r="H53" i="1"/>
  <c r="T23" i="1" l="1"/>
  <c r="S23" i="1"/>
  <c r="S39" i="1" s="1"/>
  <c r="R23" i="1"/>
  <c r="R39" i="1" s="1"/>
  <c r="Q23" i="1"/>
  <c r="P23" i="1"/>
  <c r="O23" i="1"/>
  <c r="N23" i="1"/>
  <c r="M23" i="1"/>
  <c r="M39" i="1" s="1"/>
  <c r="L23" i="1"/>
  <c r="H23" i="1"/>
  <c r="H39" i="1" s="1"/>
  <c r="T88" i="1" l="1"/>
  <c r="S88" i="1"/>
  <c r="R88" i="1"/>
  <c r="Q88" i="1"/>
  <c r="P88" i="1"/>
  <c r="O88" i="1"/>
  <c r="N88" i="1"/>
  <c r="M88" i="1"/>
  <c r="L88" i="1"/>
  <c r="M124" i="1" l="1"/>
  <c r="S124" i="1"/>
  <c r="R124" i="1"/>
  <c r="Q124" i="1"/>
  <c r="P124" i="1"/>
  <c r="O124" i="1"/>
  <c r="N124" i="1"/>
  <c r="L124" i="1"/>
  <c r="H124" i="1"/>
  <c r="Q122" i="1"/>
  <c r="P122" i="1"/>
  <c r="O122" i="1"/>
  <c r="N122" i="1"/>
  <c r="T121" i="1"/>
  <c r="S121" i="1"/>
  <c r="R121" i="1"/>
  <c r="Q121" i="1"/>
  <c r="P121" i="1"/>
  <c r="O121" i="1"/>
  <c r="N121" i="1"/>
  <c r="M121" i="1"/>
  <c r="L121" i="1"/>
  <c r="H121" i="1"/>
  <c r="T120" i="1"/>
  <c r="Q120" i="1"/>
  <c r="P120" i="1"/>
  <c r="O120" i="1"/>
  <c r="N120" i="1"/>
  <c r="M120" i="1"/>
  <c r="L120" i="1"/>
  <c r="H120" i="1"/>
  <c r="M119" i="1"/>
  <c r="L119" i="1"/>
  <c r="H119" i="1"/>
  <c r="T124" i="1" l="1"/>
  <c r="Q29" i="1" l="1"/>
  <c r="P29" i="1"/>
  <c r="O29" i="1"/>
  <c r="N29" i="1"/>
  <c r="T25" i="1"/>
  <c r="T39" i="1" s="1"/>
  <c r="Q25" i="1"/>
  <c r="P25" i="1"/>
  <c r="O25" i="1"/>
  <c r="N25" i="1"/>
  <c r="L168" i="1" l="1"/>
  <c r="L167" i="1"/>
  <c r="S43" i="1" l="1"/>
  <c r="T27" i="1" l="1"/>
  <c r="S27" i="1"/>
  <c r="R27" i="1"/>
  <c r="M27" i="1"/>
  <c r="L27" i="1"/>
  <c r="B12" i="4" l="1"/>
  <c r="P10" i="4"/>
  <c r="O10" i="4"/>
  <c r="N10" i="4"/>
  <c r="M10" i="4"/>
  <c r="S10" i="4" l="1"/>
  <c r="R10" i="4"/>
  <c r="Q10" i="4"/>
  <c r="L39" i="1"/>
  <c r="G10" i="4"/>
  <c r="Q46" i="1"/>
  <c r="P46" i="1"/>
  <c r="O46" i="1"/>
  <c r="N46" i="1"/>
  <c r="L10" i="4" l="1"/>
  <c r="T192" i="1"/>
  <c r="S192" i="1"/>
  <c r="R192" i="1"/>
  <c r="M192" i="1"/>
  <c r="L192" i="1"/>
  <c r="H193" i="1"/>
  <c r="H192" i="1"/>
  <c r="L189" i="1"/>
  <c r="H189" i="1"/>
  <c r="S185" i="1"/>
  <c r="R185" i="1"/>
  <c r="M185" i="1"/>
  <c r="L185" i="1"/>
  <c r="H186" i="1"/>
  <c r="H185" i="1"/>
  <c r="H182" i="1"/>
  <c r="H181" i="1"/>
  <c r="S181" i="1"/>
  <c r="R181" i="1"/>
  <c r="M181" i="1"/>
  <c r="L181" i="1"/>
  <c r="R177" i="1"/>
  <c r="M177" i="1"/>
  <c r="T177" i="1" s="1"/>
  <c r="H172" i="1" l="1"/>
  <c r="S171" i="1"/>
  <c r="R171" i="1"/>
  <c r="M171" i="1"/>
  <c r="L171" i="1"/>
  <c r="L85" i="1" l="1"/>
  <c r="M85" i="1"/>
  <c r="V159" i="2" l="1"/>
  <c r="V158" i="2"/>
  <c r="V157" i="2"/>
  <c r="H155" i="2"/>
  <c r="V155" i="2" s="1"/>
  <c r="T154" i="2"/>
  <c r="T156" i="2" s="1"/>
  <c r="T166" i="2" s="1"/>
  <c r="S154" i="2"/>
  <c r="S156" i="2" s="1"/>
  <c r="S166" i="2" s="1"/>
  <c r="R154" i="2"/>
  <c r="R156" i="2" s="1"/>
  <c r="R166" i="2" s="1"/>
  <c r="Q154" i="2"/>
  <c r="Q156" i="2" s="1"/>
  <c r="P154" i="2"/>
  <c r="P156" i="2" s="1"/>
  <c r="O154" i="2"/>
  <c r="O156" i="2" s="1"/>
  <c r="N154" i="2"/>
  <c r="N156" i="2" s="1"/>
  <c r="M154" i="2"/>
  <c r="M156" i="2" s="1"/>
  <c r="M166" i="2" s="1"/>
  <c r="L154" i="2"/>
  <c r="H154" i="2"/>
  <c r="V153" i="2"/>
  <c r="V152" i="2"/>
  <c r="V151" i="2"/>
  <c r="H149" i="2"/>
  <c r="T148" i="2"/>
  <c r="T150" i="2" s="1"/>
  <c r="T165" i="2" s="1"/>
  <c r="S148" i="2"/>
  <c r="S150" i="2" s="1"/>
  <c r="S165" i="2" s="1"/>
  <c r="R148" i="2"/>
  <c r="R150" i="2" s="1"/>
  <c r="R165" i="2" s="1"/>
  <c r="Q148" i="2"/>
  <c r="P148" i="2"/>
  <c r="O148" i="2"/>
  <c r="N148" i="2"/>
  <c r="M148" i="2"/>
  <c r="M150" i="2" s="1"/>
  <c r="M165" i="2" s="1"/>
  <c r="L148" i="2"/>
  <c r="H148" i="2"/>
  <c r="H144" i="2"/>
  <c r="S143" i="2"/>
  <c r="S145" i="2" s="1"/>
  <c r="R143" i="2"/>
  <c r="R145" i="2" s="1"/>
  <c r="M143" i="2"/>
  <c r="M145" i="2" s="1"/>
  <c r="L143" i="2"/>
  <c r="L145" i="2" s="1"/>
  <c r="H143" i="2"/>
  <c r="V143" i="2" s="1"/>
  <c r="V142" i="2"/>
  <c r="V137" i="2"/>
  <c r="V136" i="2"/>
  <c r="S136" i="2"/>
  <c r="M136" i="2"/>
  <c r="T133" i="2"/>
  <c r="S133" i="2"/>
  <c r="R133" i="2"/>
  <c r="Q133" i="2"/>
  <c r="P133" i="2"/>
  <c r="O133" i="2"/>
  <c r="N133" i="2"/>
  <c r="M133" i="2"/>
  <c r="L133" i="2"/>
  <c r="H133" i="2"/>
  <c r="V133" i="2" s="1"/>
  <c r="T132" i="2"/>
  <c r="S132" i="2"/>
  <c r="R132" i="2"/>
  <c r="Q132" i="2"/>
  <c r="P132" i="2"/>
  <c r="O132" i="2"/>
  <c r="N132" i="2"/>
  <c r="M132" i="2"/>
  <c r="L132" i="2"/>
  <c r="H132" i="2"/>
  <c r="V132" i="2" s="1"/>
  <c r="T131" i="2"/>
  <c r="S131" i="2"/>
  <c r="R131" i="2"/>
  <c r="M131" i="2"/>
  <c r="L131" i="2"/>
  <c r="H131" i="2"/>
  <c r="T130" i="2"/>
  <c r="S130" i="2"/>
  <c r="R130" i="2"/>
  <c r="M130" i="2"/>
  <c r="L130" i="2"/>
  <c r="H130" i="2"/>
  <c r="D130" i="2"/>
  <c r="T129" i="2"/>
  <c r="S129" i="2"/>
  <c r="R129" i="2"/>
  <c r="M129" i="2"/>
  <c r="L129" i="2"/>
  <c r="H129" i="2"/>
  <c r="V129" i="2" s="1"/>
  <c r="D129" i="2"/>
  <c r="T128" i="2"/>
  <c r="S128" i="2"/>
  <c r="R128" i="2"/>
  <c r="Q128" i="2"/>
  <c r="P128" i="2"/>
  <c r="O128" i="2"/>
  <c r="N128" i="2"/>
  <c r="M128" i="2"/>
  <c r="L128" i="2"/>
  <c r="H128" i="2"/>
  <c r="V128" i="2" s="1"/>
  <c r="T127" i="2"/>
  <c r="S127" i="2"/>
  <c r="R127" i="2"/>
  <c r="Q127" i="2"/>
  <c r="P127" i="2"/>
  <c r="O127" i="2"/>
  <c r="N127" i="2"/>
  <c r="M127" i="2"/>
  <c r="L127" i="2"/>
  <c r="H127" i="2"/>
  <c r="V127" i="2" s="1"/>
  <c r="T126" i="2"/>
  <c r="S126" i="2"/>
  <c r="R126" i="2"/>
  <c r="Q126" i="2"/>
  <c r="P126" i="2"/>
  <c r="O126" i="2"/>
  <c r="N126" i="2"/>
  <c r="M126" i="2"/>
  <c r="L126" i="2"/>
  <c r="H126" i="2"/>
  <c r="V126" i="2" s="1"/>
  <c r="T125" i="2"/>
  <c r="S125" i="2"/>
  <c r="R125" i="2"/>
  <c r="Q125" i="2"/>
  <c r="P125" i="2"/>
  <c r="O125" i="2"/>
  <c r="N125" i="2"/>
  <c r="M125" i="2"/>
  <c r="L125" i="2"/>
  <c r="H125" i="2"/>
  <c r="V125" i="2" s="1"/>
  <c r="T124" i="2"/>
  <c r="S124" i="2"/>
  <c r="R124" i="2"/>
  <c r="Q124" i="2"/>
  <c r="P124" i="2"/>
  <c r="O124" i="2"/>
  <c r="N124" i="2"/>
  <c r="M124" i="2"/>
  <c r="L124" i="2"/>
  <c r="H124" i="2"/>
  <c r="V124" i="2" s="1"/>
  <c r="T123" i="2"/>
  <c r="S123" i="2"/>
  <c r="R123" i="2"/>
  <c r="Q123" i="2"/>
  <c r="P123" i="2"/>
  <c r="O123" i="2"/>
  <c r="N123" i="2"/>
  <c r="M123" i="2"/>
  <c r="L123" i="2"/>
  <c r="H123" i="2"/>
  <c r="V123" i="2" s="1"/>
  <c r="T122" i="2"/>
  <c r="S122" i="2"/>
  <c r="R122" i="2"/>
  <c r="Q122" i="2"/>
  <c r="P122" i="2"/>
  <c r="O122" i="2"/>
  <c r="N122" i="2"/>
  <c r="M122" i="2"/>
  <c r="L122" i="2"/>
  <c r="H122" i="2"/>
  <c r="V122" i="2" s="1"/>
  <c r="V121" i="2"/>
  <c r="H119" i="2"/>
  <c r="V119" i="2" s="1"/>
  <c r="T118" i="2"/>
  <c r="T120" i="2" s="1"/>
  <c r="S118" i="2"/>
  <c r="S120" i="2" s="1"/>
  <c r="R118" i="2"/>
  <c r="R120" i="2" s="1"/>
  <c r="Q118" i="2"/>
  <c r="P118" i="2"/>
  <c r="O118" i="2"/>
  <c r="N118" i="2"/>
  <c r="M118" i="2"/>
  <c r="L118" i="2"/>
  <c r="H118" i="2"/>
  <c r="V117" i="2"/>
  <c r="V116" i="2"/>
  <c r="Q115" i="2"/>
  <c r="P115" i="2"/>
  <c r="O115" i="2"/>
  <c r="N115" i="2"/>
  <c r="H113" i="2"/>
  <c r="V113" i="2" s="1"/>
  <c r="T112" i="2"/>
  <c r="T114" i="2" s="1"/>
  <c r="S112" i="2"/>
  <c r="S114" i="2" s="1"/>
  <c r="R112" i="2"/>
  <c r="R114" i="2" s="1"/>
  <c r="M112" i="2"/>
  <c r="M114" i="2" s="1"/>
  <c r="L112" i="2"/>
  <c r="H112" i="2"/>
  <c r="V111" i="2"/>
  <c r="H109" i="2"/>
  <c r="V109" i="2" s="1"/>
  <c r="T108" i="2"/>
  <c r="T110" i="2" s="1"/>
  <c r="T115" i="2" s="1"/>
  <c r="S108" i="2"/>
  <c r="S110" i="2" s="1"/>
  <c r="S115" i="2" s="1"/>
  <c r="R108" i="2"/>
  <c r="R110" i="2" s="1"/>
  <c r="R115" i="2" s="1"/>
  <c r="M108" i="2"/>
  <c r="M110" i="2" s="1"/>
  <c r="M115" i="2" s="1"/>
  <c r="L108" i="2"/>
  <c r="H108" i="2"/>
  <c r="V107" i="2"/>
  <c r="V98" i="2"/>
  <c r="V96" i="2"/>
  <c r="T95" i="2"/>
  <c r="S95" i="2"/>
  <c r="R95" i="2"/>
  <c r="M95" i="2"/>
  <c r="L95" i="2"/>
  <c r="H95" i="2"/>
  <c r="V95" i="2" s="1"/>
  <c r="V94" i="2"/>
  <c r="T93" i="2"/>
  <c r="S93" i="2"/>
  <c r="R93" i="2"/>
  <c r="Q93" i="2"/>
  <c r="P93" i="2"/>
  <c r="O93" i="2"/>
  <c r="N93" i="2"/>
  <c r="M93" i="2"/>
  <c r="L93" i="2"/>
  <c r="H93" i="2"/>
  <c r="V93" i="2" s="1"/>
  <c r="V92" i="2"/>
  <c r="H90" i="2"/>
  <c r="V90" i="2" s="1"/>
  <c r="T89" i="2"/>
  <c r="T91" i="2" s="1"/>
  <c r="S89" i="2"/>
  <c r="S91" i="2" s="1"/>
  <c r="R89" i="2"/>
  <c r="R91" i="2" s="1"/>
  <c r="Q89" i="2"/>
  <c r="P89" i="2"/>
  <c r="O89" i="2"/>
  <c r="N89" i="2"/>
  <c r="M89" i="2"/>
  <c r="M91" i="2" s="1"/>
  <c r="L89" i="2"/>
  <c r="H89" i="2"/>
  <c r="V89" i="2" s="1"/>
  <c r="V88" i="2"/>
  <c r="H86" i="2"/>
  <c r="V86" i="2" s="1"/>
  <c r="T85" i="2"/>
  <c r="S85" i="2"/>
  <c r="S87" i="2" s="1"/>
  <c r="R85" i="2"/>
  <c r="R87" i="2" s="1"/>
  <c r="Q85" i="2"/>
  <c r="Q166" i="2" s="1"/>
  <c r="P85" i="2"/>
  <c r="O85" i="2"/>
  <c r="O166" i="2" s="1"/>
  <c r="N85" i="2"/>
  <c r="N166" i="2" s="1"/>
  <c r="M85" i="2"/>
  <c r="M87" i="2" s="1"/>
  <c r="L85" i="2"/>
  <c r="H85" i="2"/>
  <c r="V85" i="2" s="1"/>
  <c r="V77" i="2"/>
  <c r="D77" i="2"/>
  <c r="S76" i="2"/>
  <c r="R76" i="2"/>
  <c r="M76" i="2"/>
  <c r="L76" i="2"/>
  <c r="H76" i="2"/>
  <c r="D76" i="2"/>
  <c r="V75" i="2"/>
  <c r="H73" i="2"/>
  <c r="V73" i="2" s="1"/>
  <c r="T72" i="2"/>
  <c r="T74" i="2" s="1"/>
  <c r="S72" i="2"/>
  <c r="S74" i="2" s="1"/>
  <c r="R72" i="2"/>
  <c r="R74" i="2" s="1"/>
  <c r="M72" i="2"/>
  <c r="M74" i="2" s="1"/>
  <c r="L72" i="2"/>
  <c r="H72" i="2"/>
  <c r="V70" i="2"/>
  <c r="R68" i="2"/>
  <c r="M68" i="2"/>
  <c r="S68" i="2" s="1"/>
  <c r="L68" i="2"/>
  <c r="H68" i="2"/>
  <c r="D68" i="2"/>
  <c r="V67" i="2"/>
  <c r="H65" i="2"/>
  <c r="V65" i="2" s="1"/>
  <c r="T64" i="2"/>
  <c r="T66" i="2" s="1"/>
  <c r="S64" i="2"/>
  <c r="S66" i="2" s="1"/>
  <c r="R64" i="2"/>
  <c r="R66" i="2" s="1"/>
  <c r="M64" i="2"/>
  <c r="M66" i="2" s="1"/>
  <c r="L64" i="2"/>
  <c r="H64" i="2"/>
  <c r="V64" i="2" s="1"/>
  <c r="V63" i="2"/>
  <c r="H61" i="2"/>
  <c r="V61" i="2" s="1"/>
  <c r="T60" i="2"/>
  <c r="T62" i="2" s="1"/>
  <c r="S60" i="2"/>
  <c r="S62" i="2" s="1"/>
  <c r="R60" i="2"/>
  <c r="R62" i="2" s="1"/>
  <c r="M60" i="2"/>
  <c r="M62" i="2" s="1"/>
  <c r="L60" i="2"/>
  <c r="H60" i="2"/>
  <c r="V59" i="2"/>
  <c r="H57" i="2"/>
  <c r="V57" i="2" s="1"/>
  <c r="T56" i="2"/>
  <c r="T58" i="2" s="1"/>
  <c r="S56" i="2"/>
  <c r="S58" i="2" s="1"/>
  <c r="R56" i="2"/>
  <c r="R58" i="2" s="1"/>
  <c r="Q56" i="2"/>
  <c r="P56" i="2"/>
  <c r="O56" i="2"/>
  <c r="N56" i="2"/>
  <c r="M56" i="2"/>
  <c r="M58" i="2" s="1"/>
  <c r="L56" i="2"/>
  <c r="H56" i="2"/>
  <c r="V55" i="2"/>
  <c r="V54" i="2"/>
  <c r="T52" i="2"/>
  <c r="S52" i="2"/>
  <c r="R52" i="2"/>
  <c r="Q52" i="2"/>
  <c r="P52" i="2"/>
  <c r="O52" i="2"/>
  <c r="N52" i="2"/>
  <c r="M52" i="2"/>
  <c r="L52" i="2"/>
  <c r="H52" i="2"/>
  <c r="V52" i="2" s="1"/>
  <c r="T51" i="2"/>
  <c r="S51" i="2"/>
  <c r="R51" i="2"/>
  <c r="Q51" i="2"/>
  <c r="P51" i="2"/>
  <c r="O51" i="2"/>
  <c r="N51" i="2"/>
  <c r="M51" i="2"/>
  <c r="L51" i="2"/>
  <c r="H51" i="2"/>
  <c r="V51" i="2" s="1"/>
  <c r="V50" i="2"/>
  <c r="T47" i="2"/>
  <c r="S47" i="2"/>
  <c r="R47" i="2"/>
  <c r="Q47" i="2"/>
  <c r="P47" i="2"/>
  <c r="O47" i="2"/>
  <c r="N47" i="2"/>
  <c r="M47" i="2"/>
  <c r="L47" i="2"/>
  <c r="H47" i="2"/>
  <c r="T46" i="2"/>
  <c r="S46" i="2"/>
  <c r="R46" i="2"/>
  <c r="Q46" i="2"/>
  <c r="P46" i="2"/>
  <c r="O46" i="2"/>
  <c r="N46" i="2"/>
  <c r="M46" i="2"/>
  <c r="L46" i="2"/>
  <c r="H46" i="2"/>
  <c r="T45" i="2"/>
  <c r="S45" i="2"/>
  <c r="R45" i="2"/>
  <c r="Q45" i="2"/>
  <c r="P45" i="2"/>
  <c r="O45" i="2"/>
  <c r="N45" i="2"/>
  <c r="M45" i="2"/>
  <c r="L45" i="2"/>
  <c r="H45" i="2"/>
  <c r="T44" i="2"/>
  <c r="S44" i="2"/>
  <c r="R44" i="2"/>
  <c r="M44" i="2"/>
  <c r="L44" i="2"/>
  <c r="H44" i="2"/>
  <c r="T43" i="2"/>
  <c r="S43" i="2"/>
  <c r="R43" i="2"/>
  <c r="Q43" i="2"/>
  <c r="P43" i="2"/>
  <c r="O43" i="2"/>
  <c r="N43" i="2"/>
  <c r="M43" i="2"/>
  <c r="L43" i="2"/>
  <c r="H43" i="2"/>
  <c r="V43" i="2" s="1"/>
  <c r="V42" i="2"/>
  <c r="V41" i="2"/>
  <c r="H39" i="2"/>
  <c r="V39" i="2" s="1"/>
  <c r="T38" i="2"/>
  <c r="T40" i="2" s="1"/>
  <c r="S38" i="2"/>
  <c r="S40" i="2" s="1"/>
  <c r="R38" i="2"/>
  <c r="R40" i="2" s="1"/>
  <c r="Q38" i="2"/>
  <c r="P38" i="2"/>
  <c r="O38" i="2"/>
  <c r="N38" i="2"/>
  <c r="M38" i="2"/>
  <c r="M40" i="2" s="1"/>
  <c r="L38" i="2"/>
  <c r="H38" i="2"/>
  <c r="V37" i="2"/>
  <c r="V33" i="2"/>
  <c r="G32" i="2"/>
  <c r="H31" i="2"/>
  <c r="V31" i="2" s="1"/>
  <c r="T30" i="2"/>
  <c r="T32" i="2" s="1"/>
  <c r="S30" i="2"/>
  <c r="S32" i="2" s="1"/>
  <c r="R30" i="2"/>
  <c r="R32" i="2" s="1"/>
  <c r="Q30" i="2"/>
  <c r="P30" i="2"/>
  <c r="O30" i="2"/>
  <c r="N30" i="2"/>
  <c r="M30" i="2"/>
  <c r="M32" i="2" s="1"/>
  <c r="L30" i="2"/>
  <c r="H30" i="2"/>
  <c r="V30" i="2" s="1"/>
  <c r="H28" i="2"/>
  <c r="V28" i="2" s="1"/>
  <c r="T27" i="2"/>
  <c r="T29" i="2" s="1"/>
  <c r="S27" i="2"/>
  <c r="S29" i="2" s="1"/>
  <c r="R27" i="2"/>
  <c r="R29" i="2" s="1"/>
  <c r="Q27" i="2"/>
  <c r="P27" i="2"/>
  <c r="O27" i="2"/>
  <c r="N27" i="2"/>
  <c r="M27" i="2"/>
  <c r="M29" i="2" s="1"/>
  <c r="L27" i="2"/>
  <c r="H27" i="2"/>
  <c r="V26" i="2"/>
  <c r="V25" i="2"/>
  <c r="T24" i="2"/>
  <c r="S24" i="2"/>
  <c r="R24" i="2"/>
  <c r="M24" i="2"/>
  <c r="L24" i="2"/>
  <c r="H24" i="2"/>
  <c r="V24" i="2" s="1"/>
  <c r="T23" i="2"/>
  <c r="S23" i="2"/>
  <c r="R23" i="2"/>
  <c r="M23" i="2"/>
  <c r="L23" i="2"/>
  <c r="H23" i="2"/>
  <c r="V23" i="2" s="1"/>
  <c r="V22" i="2"/>
  <c r="T21" i="2"/>
  <c r="S21" i="2"/>
  <c r="R21" i="2"/>
  <c r="M21" i="2"/>
  <c r="L21" i="2"/>
  <c r="H21" i="2"/>
  <c r="V21" i="2" s="1"/>
  <c r="T20" i="2"/>
  <c r="S20" i="2"/>
  <c r="R20" i="2"/>
  <c r="M20" i="2"/>
  <c r="L20" i="2"/>
  <c r="H20" i="2"/>
  <c r="V20" i="2" s="1"/>
  <c r="T12" i="2"/>
  <c r="S12" i="2"/>
  <c r="R12" i="2"/>
  <c r="M12" i="2"/>
  <c r="L12" i="2"/>
  <c r="H12" i="2"/>
  <c r="T10" i="2"/>
  <c r="S10" i="2"/>
  <c r="R10" i="2"/>
  <c r="M10" i="2"/>
  <c r="H10" i="2"/>
  <c r="T8" i="2"/>
  <c r="T16" i="2" s="1"/>
  <c r="S8" i="2"/>
  <c r="S16" i="2" s="1"/>
  <c r="R8" i="2"/>
  <c r="R16" i="2" s="1"/>
  <c r="M8" i="2"/>
  <c r="M16" i="2" s="1"/>
  <c r="L8" i="2"/>
  <c r="H8" i="2"/>
  <c r="H16" i="2" s="1"/>
  <c r="T7" i="2"/>
  <c r="S7" i="2"/>
  <c r="R7" i="2"/>
  <c r="M7" i="2"/>
  <c r="L7" i="2"/>
  <c r="H7" i="2"/>
  <c r="B18" i="2"/>
  <c r="V76" i="2" l="1"/>
  <c r="T53" i="2"/>
  <c r="T80" i="2" s="1"/>
  <c r="T15" i="2"/>
  <c r="M53" i="2"/>
  <c r="M80" i="2" s="1"/>
  <c r="O134" i="2"/>
  <c r="M15" i="2"/>
  <c r="R15" i="2"/>
  <c r="H15" i="2"/>
  <c r="S15" i="2"/>
  <c r="H29" i="2"/>
  <c r="V29" i="2" s="1"/>
  <c r="H62" i="2"/>
  <c r="V62" i="2" s="1"/>
  <c r="H145" i="2"/>
  <c r="H156" i="2"/>
  <c r="V156" i="2" s="1"/>
  <c r="M69" i="2"/>
  <c r="V27" i="2"/>
  <c r="R53" i="2"/>
  <c r="R80" i="2" s="1"/>
  <c r="R69" i="2"/>
  <c r="T68" i="2"/>
  <c r="T69" i="2" s="1"/>
  <c r="V68" i="2"/>
  <c r="H114" i="2"/>
  <c r="V114" i="2" s="1"/>
  <c r="N134" i="2"/>
  <c r="R134" i="2"/>
  <c r="V154" i="2"/>
  <c r="P48" i="2"/>
  <c r="T48" i="2"/>
  <c r="O48" i="2"/>
  <c r="S97" i="2"/>
  <c r="Q48" i="2"/>
  <c r="H110" i="2"/>
  <c r="H120" i="2"/>
  <c r="V120" i="2" s="1"/>
  <c r="H40" i="2"/>
  <c r="V40" i="2" s="1"/>
  <c r="H58" i="2"/>
  <c r="V58" i="2" s="1"/>
  <c r="S69" i="2"/>
  <c r="V60" i="2"/>
  <c r="M97" i="2"/>
  <c r="H91" i="2"/>
  <c r="V91" i="2" s="1"/>
  <c r="Q97" i="2"/>
  <c r="V112" i="2"/>
  <c r="P134" i="2"/>
  <c r="M48" i="2"/>
  <c r="H87" i="2"/>
  <c r="V87" i="2" s="1"/>
  <c r="O97" i="2"/>
  <c r="P80" i="2"/>
  <c r="H48" i="2"/>
  <c r="S48" i="2"/>
  <c r="R97" i="2"/>
  <c r="V108" i="2"/>
  <c r="Q134" i="2"/>
  <c r="V118" i="2"/>
  <c r="H32" i="2"/>
  <c r="V32" i="2" s="1"/>
  <c r="O80" i="2"/>
  <c r="S53" i="2"/>
  <c r="S80" i="2" s="1"/>
  <c r="H53" i="2"/>
  <c r="V53" i="2" s="1"/>
  <c r="H74" i="2"/>
  <c r="V72" i="2"/>
  <c r="M120" i="2"/>
  <c r="M134" i="2" s="1"/>
  <c r="V38" i="2"/>
  <c r="N48" i="2"/>
  <c r="R48" i="2"/>
  <c r="Q80" i="2"/>
  <c r="H66" i="2"/>
  <c r="V66" i="2" s="1"/>
  <c r="T76" i="2"/>
  <c r="P166" i="2"/>
  <c r="P97" i="2"/>
  <c r="T87" i="2"/>
  <c r="T97" i="2" s="1"/>
  <c r="S134" i="2"/>
  <c r="S164" i="2" s="1"/>
  <c r="H150" i="2"/>
  <c r="H165" i="2" s="1"/>
  <c r="N80" i="2"/>
  <c r="V56" i="2"/>
  <c r="T134" i="2"/>
  <c r="N97" i="2"/>
  <c r="M164" i="2" l="1"/>
  <c r="R164" i="2"/>
  <c r="H115" i="2"/>
  <c r="V115" i="2" s="1"/>
  <c r="H166" i="2"/>
  <c r="T143" i="2"/>
  <c r="H80" i="2"/>
  <c r="T79" i="2"/>
  <c r="M79" i="2"/>
  <c r="R79" i="2"/>
  <c r="T145" i="2"/>
  <c r="T164" i="2" s="1"/>
  <c r="S79" i="2"/>
  <c r="P79" i="2"/>
  <c r="P164" i="2" s="1"/>
  <c r="O79" i="2"/>
  <c r="O164" i="2" s="1"/>
  <c r="V110" i="2"/>
  <c r="H134" i="2"/>
  <c r="V134" i="2" s="1"/>
  <c r="Q79" i="2"/>
  <c r="Q164" i="2" s="1"/>
  <c r="H97" i="2"/>
  <c r="V97" i="2" s="1"/>
  <c r="N79" i="2"/>
  <c r="N164" i="2" s="1"/>
  <c r="H69" i="2"/>
  <c r="H79" i="2" s="1"/>
  <c r="V74" i="2"/>
  <c r="H164" i="2" l="1"/>
  <c r="V69" i="2"/>
  <c r="A49" i="1" l="1"/>
  <c r="A50" i="1" s="1"/>
  <c r="A52" i="1" s="1"/>
  <c r="A53" i="1" s="1"/>
  <c r="L91" i="1" l="1"/>
  <c r="H91" i="1"/>
  <c r="T185" i="1" l="1"/>
  <c r="T181" i="1" l="1"/>
  <c r="T48" i="1" l="1"/>
  <c r="T72" i="1" s="1"/>
  <c r="S48" i="1"/>
  <c r="S72" i="1" s="1"/>
  <c r="R48" i="1"/>
  <c r="R72" i="1" s="1"/>
  <c r="M48" i="1"/>
  <c r="M72" i="1" s="1"/>
  <c r="L48" i="1"/>
  <c r="Q50" i="1" l="1"/>
  <c r="P50" i="1"/>
  <c r="O50" i="1"/>
  <c r="N50" i="1"/>
  <c r="T275" i="1" l="1"/>
  <c r="S275" i="1"/>
  <c r="R275" i="1"/>
  <c r="M275" i="1"/>
  <c r="L275" i="1"/>
  <c r="H275" i="1"/>
  <c r="T281" i="1"/>
  <c r="S281" i="1"/>
  <c r="R277" i="1"/>
  <c r="R276" i="1"/>
  <c r="M277" i="1"/>
  <c r="M276" i="1"/>
  <c r="L277" i="1"/>
  <c r="L276" i="1"/>
  <c r="H277" i="1"/>
  <c r="H276" i="1"/>
  <c r="A286" i="1" l="1"/>
  <c r="A76" i="1"/>
  <c r="A54" i="1"/>
  <c r="A59" i="1" s="1"/>
  <c r="A71" i="1" s="1"/>
  <c r="A72" i="1" s="1"/>
  <c r="A77" i="1" l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3" i="1" s="1"/>
  <c r="A104" i="1" s="1"/>
  <c r="A107" i="1" l="1"/>
  <c r="A108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30" i="1" l="1"/>
  <c r="A131" i="1" s="1"/>
  <c r="A134" i="1"/>
  <c r="A135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S285" i="1"/>
  <c r="S287" i="1" s="1"/>
  <c r="M285" i="1"/>
  <c r="M287" i="1" s="1"/>
  <c r="T287" i="1" s="1"/>
  <c r="A174" i="1" l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80" i="1" s="1"/>
  <c r="A281" i="1" s="1"/>
  <c r="A282" i="1" s="1"/>
  <c r="A283" i="1" s="1"/>
  <c r="A287" i="1" l="1"/>
  <c r="A288" i="1" s="1"/>
  <c r="A289" i="1" s="1"/>
  <c r="A290" i="1" s="1"/>
  <c r="A291" i="1" s="1"/>
  <c r="T280" i="1"/>
  <c r="T274" i="1"/>
  <c r="S274" i="1"/>
  <c r="R274" i="1"/>
  <c r="M274" i="1"/>
  <c r="L274" i="1"/>
  <c r="H274" i="1"/>
  <c r="D274" i="1"/>
  <c r="D273" i="1"/>
  <c r="T273" i="1"/>
  <c r="S273" i="1"/>
  <c r="R273" i="1"/>
  <c r="M273" i="1"/>
  <c r="L273" i="1"/>
  <c r="H273" i="1"/>
  <c r="T272" i="1"/>
  <c r="S272" i="1"/>
  <c r="R272" i="1"/>
  <c r="M272" i="1"/>
  <c r="L272" i="1"/>
  <c r="H272" i="1"/>
  <c r="T271" i="1"/>
  <c r="S271" i="1"/>
  <c r="R271" i="1"/>
  <c r="M271" i="1"/>
  <c r="L271" i="1"/>
  <c r="H271" i="1"/>
  <c r="T270" i="1"/>
  <c r="S270" i="1"/>
  <c r="R270" i="1"/>
  <c r="M270" i="1"/>
  <c r="L270" i="1"/>
  <c r="H270" i="1"/>
  <c r="T269" i="1"/>
  <c r="S269" i="1"/>
  <c r="R269" i="1"/>
  <c r="M269" i="1"/>
  <c r="H269" i="1"/>
  <c r="T268" i="1"/>
  <c r="S268" i="1"/>
  <c r="R268" i="1"/>
  <c r="M268" i="1"/>
  <c r="L268" i="1"/>
  <c r="H268" i="1"/>
  <c r="T267" i="1"/>
  <c r="S267" i="1"/>
  <c r="R267" i="1"/>
  <c r="M267" i="1"/>
  <c r="L267" i="1"/>
  <c r="H267" i="1"/>
  <c r="T266" i="1"/>
  <c r="S266" i="1"/>
  <c r="R266" i="1"/>
  <c r="M266" i="1"/>
  <c r="L266" i="1"/>
  <c r="H266" i="1"/>
  <c r="V287" i="1" l="1"/>
  <c r="V286" i="1"/>
  <c r="V285" i="1"/>
  <c r="V283" i="1"/>
  <c r="V265" i="1"/>
  <c r="V261" i="1"/>
  <c r="V242" i="1"/>
  <c r="V236" i="1"/>
  <c r="V232" i="1"/>
  <c r="V231" i="1"/>
  <c r="V229" i="1"/>
  <c r="V227" i="1"/>
  <c r="V226" i="1"/>
  <c r="V222" i="1"/>
  <c r="V218" i="1"/>
  <c r="V217" i="1"/>
  <c r="V215" i="1"/>
  <c r="V213" i="1"/>
  <c r="V211" i="1"/>
  <c r="V207" i="1"/>
  <c r="V196" i="1"/>
  <c r="V191" i="1"/>
  <c r="V188" i="1"/>
  <c r="V184" i="1"/>
  <c r="V180" i="1"/>
  <c r="V176" i="1"/>
  <c r="V174" i="1"/>
  <c r="V173" i="1"/>
  <c r="V170" i="1"/>
  <c r="V167" i="1"/>
  <c r="V166" i="1"/>
  <c r="W53" i="1"/>
  <c r="W72" i="1" s="1"/>
  <c r="W91" i="1"/>
  <c r="W83" i="1" l="1"/>
  <c r="W104" i="1" s="1"/>
  <c r="V280" i="1" l="1"/>
  <c r="V281" i="1"/>
  <c r="H325" i="1" l="1"/>
  <c r="R325" i="1"/>
  <c r="M325" i="1"/>
  <c r="S325" i="1"/>
  <c r="S324" i="1"/>
  <c r="R324" i="1"/>
  <c r="M324" i="1"/>
  <c r="L87" i="1" l="1"/>
  <c r="Q83" i="1" l="1"/>
  <c r="P83" i="1"/>
  <c r="O83" i="1"/>
  <c r="N83" i="1"/>
  <c r="M12" i="4" l="1"/>
  <c r="N12" i="4"/>
  <c r="O12" i="4"/>
  <c r="P12" i="4"/>
  <c r="Q77" i="1" l="1"/>
  <c r="P77" i="1"/>
  <c r="O77" i="1"/>
  <c r="N77" i="1"/>
  <c r="V172" i="1" l="1"/>
  <c r="V171" i="1"/>
  <c r="V182" i="1" l="1"/>
  <c r="V181" i="1"/>
  <c r="L177" i="1"/>
  <c r="V228" i="1" l="1"/>
  <c r="V224" i="1"/>
  <c r="V223" i="1"/>
  <c r="V220" i="1"/>
  <c r="V219" i="1"/>
  <c r="B15" i="4" l="1"/>
  <c r="B75" i="1"/>
  <c r="B106" i="1" s="1"/>
  <c r="B134" i="1" s="1"/>
  <c r="R12" i="4"/>
  <c r="Q12" i="4"/>
  <c r="H72" i="1"/>
  <c r="L72" i="1" s="1"/>
  <c r="G12" i="4" l="1"/>
  <c r="S81" i="1"/>
  <c r="R81" i="1"/>
  <c r="L81" i="1"/>
  <c r="M81" i="1"/>
  <c r="V189" i="1" l="1"/>
  <c r="H178" i="1"/>
  <c r="V178" i="1" s="1"/>
  <c r="S313" i="1" l="1"/>
  <c r="R313" i="1"/>
  <c r="L93" i="4" l="1"/>
  <c r="H316" i="1" l="1"/>
  <c r="H81" i="1" l="1"/>
  <c r="T81" i="1" l="1"/>
  <c r="H85" i="1"/>
  <c r="V273" i="1" l="1"/>
  <c r="Q272" i="1"/>
  <c r="P272" i="1"/>
  <c r="O272" i="1"/>
  <c r="N272" i="1"/>
  <c r="V272" i="1"/>
  <c r="S195" i="1" l="1"/>
  <c r="R195" i="1"/>
  <c r="H313" i="1" l="1"/>
  <c r="M313" i="1"/>
  <c r="L116" i="1" l="1"/>
  <c r="R319" i="1" l="1"/>
  <c r="M319" i="1"/>
  <c r="U319" i="1" l="1"/>
  <c r="U321" i="1"/>
  <c r="M132" i="1" l="1"/>
  <c r="V271" i="1" l="1"/>
  <c r="V270" i="1"/>
  <c r="L269" i="1"/>
  <c r="V269" i="1"/>
  <c r="V268" i="1"/>
  <c r="V267" i="1"/>
  <c r="V266" i="1"/>
  <c r="S262" i="1"/>
  <c r="R262" i="1"/>
  <c r="M262" i="1"/>
  <c r="L262" i="1"/>
  <c r="H263" i="1"/>
  <c r="V263" i="1" s="1"/>
  <c r="T262" i="1" l="1"/>
  <c r="S87" i="1" l="1"/>
  <c r="S104" i="1" s="1"/>
  <c r="R87" i="1"/>
  <c r="R104" i="1" s="1"/>
  <c r="M87" i="1"/>
  <c r="M104" i="1" s="1"/>
  <c r="R316" i="1" l="1"/>
  <c r="M316" i="1" l="1"/>
  <c r="V214" i="1" l="1"/>
  <c r="V212" i="1"/>
  <c r="Q270" i="1" l="1"/>
  <c r="P270" i="1"/>
  <c r="O270" i="1"/>
  <c r="N270" i="1"/>
  <c r="D195" i="1" l="1"/>
  <c r="V195" i="1"/>
  <c r="L195" i="1"/>
  <c r="D196" i="1"/>
  <c r="T195" i="1" l="1"/>
  <c r="T149" i="1"/>
  <c r="R149" i="1"/>
  <c r="M149" i="1"/>
  <c r="T148" i="1"/>
  <c r="R148" i="1"/>
  <c r="M148" i="1"/>
  <c r="L149" i="1"/>
  <c r="L148" i="1" l="1"/>
  <c r="H149" i="1"/>
  <c r="H148" i="1"/>
  <c r="D149" i="1"/>
  <c r="D148" i="1"/>
  <c r="S114" i="1" l="1"/>
  <c r="T114" i="1"/>
  <c r="R114" i="1"/>
  <c r="M114" i="1"/>
  <c r="L114" i="1"/>
  <c r="H114" i="1"/>
  <c r="M116" i="1" l="1"/>
  <c r="T165" i="1" l="1"/>
  <c r="R165" i="1"/>
  <c r="M165" i="1"/>
  <c r="L165" i="1"/>
  <c r="S164" i="1"/>
  <c r="T164" i="1"/>
  <c r="R164" i="1"/>
  <c r="M164" i="1"/>
  <c r="L164" i="1"/>
  <c r="H165" i="1"/>
  <c r="V165" i="1" s="1"/>
  <c r="V186" i="1" l="1"/>
  <c r="V185" i="1"/>
  <c r="V193" i="1"/>
  <c r="V192" i="1"/>
  <c r="V209" i="1"/>
  <c r="V205" i="1"/>
  <c r="V204" i="1"/>
  <c r="V225" i="1" l="1"/>
  <c r="H262" i="1" l="1"/>
  <c r="Q277" i="1"/>
  <c r="P277" i="1"/>
  <c r="O277" i="1"/>
  <c r="N277" i="1"/>
  <c r="Q276" i="1"/>
  <c r="P276" i="1"/>
  <c r="O276" i="1"/>
  <c r="N276" i="1"/>
  <c r="Q271" i="1"/>
  <c r="P271" i="1"/>
  <c r="O271" i="1"/>
  <c r="N271" i="1"/>
  <c r="Q269" i="1"/>
  <c r="P269" i="1"/>
  <c r="O269" i="1"/>
  <c r="N269" i="1"/>
  <c r="Q268" i="1"/>
  <c r="P268" i="1"/>
  <c r="O268" i="1"/>
  <c r="N268" i="1"/>
  <c r="V262" i="1" l="1"/>
  <c r="R291" i="1"/>
  <c r="H301" i="1" l="1"/>
  <c r="H300" i="1"/>
  <c r="H299" i="1"/>
  <c r="S301" i="1"/>
  <c r="R301" i="1"/>
  <c r="M301" i="1"/>
  <c r="L301" i="1"/>
  <c r="T299" i="1"/>
  <c r="S299" i="1"/>
  <c r="R299" i="1"/>
  <c r="M299" i="1"/>
  <c r="L299" i="1"/>
  <c r="H171" i="1" l="1"/>
  <c r="B201" i="1" l="1"/>
  <c r="B297" i="1" s="1"/>
  <c r="G146" i="1" l="1"/>
  <c r="S146" i="1"/>
  <c r="R146" i="1"/>
  <c r="M146" i="1"/>
  <c r="H146" i="1" l="1"/>
  <c r="Q101" i="1"/>
  <c r="P101" i="1"/>
  <c r="O101" i="1"/>
  <c r="N101" i="1"/>
  <c r="V238" i="1" l="1"/>
  <c r="V237" i="1"/>
  <c r="V239" i="1" l="1"/>
  <c r="H173" i="1" l="1"/>
  <c r="B18" i="4" l="1"/>
  <c r="B21" i="4" s="1"/>
  <c r="B24" i="4" s="1"/>
  <c r="H15" i="4"/>
  <c r="L321" i="1" l="1"/>
  <c r="L319" i="1"/>
  <c r="Q313" i="1" l="1"/>
  <c r="P313" i="1"/>
  <c r="O313" i="1"/>
  <c r="N313" i="1"/>
  <c r="T264" i="1" l="1"/>
  <c r="T282" i="1" s="1"/>
  <c r="S264" i="1"/>
  <c r="S282" i="1" s="1"/>
  <c r="R264" i="1"/>
  <c r="R282" i="1" s="1"/>
  <c r="M264" i="1"/>
  <c r="M282" i="1" s="1"/>
  <c r="H264" i="1" l="1"/>
  <c r="H282" i="1" s="1"/>
  <c r="V282" i="1" l="1"/>
  <c r="V264" i="1"/>
  <c r="V169" i="1"/>
  <c r="V168" i="1"/>
  <c r="Q311" i="1" l="1"/>
  <c r="P311" i="1"/>
  <c r="O311" i="1"/>
  <c r="N311" i="1"/>
  <c r="T291" i="1" l="1"/>
  <c r="S291" i="1"/>
  <c r="M291" i="1"/>
  <c r="T290" i="1"/>
  <c r="S290" i="1"/>
  <c r="R290" i="1"/>
  <c r="M290" i="1"/>
  <c r="H290" i="1" l="1"/>
  <c r="G25" i="4" s="1"/>
  <c r="H291" i="1" l="1"/>
  <c r="G26" i="4" s="1"/>
  <c r="Q267" i="1"/>
  <c r="P267" i="1"/>
  <c r="O267" i="1"/>
  <c r="N267" i="1"/>
  <c r="Q266" i="1"/>
  <c r="P266" i="1"/>
  <c r="O266" i="1"/>
  <c r="N266" i="1"/>
  <c r="Q262" i="1"/>
  <c r="P262" i="1"/>
  <c r="O262" i="1"/>
  <c r="N262" i="1"/>
  <c r="Q282" i="1" l="1"/>
  <c r="O282" i="1"/>
  <c r="N282" i="1"/>
  <c r="P282" i="1"/>
  <c r="V234" i="1" l="1"/>
  <c r="V233" i="1"/>
  <c r="V235" i="1" l="1"/>
  <c r="V221" i="1" l="1"/>
  <c r="V208" i="1"/>
  <c r="S289" i="1" l="1"/>
  <c r="T289" i="1"/>
  <c r="M289" i="1"/>
  <c r="V210" i="1"/>
  <c r="V206" i="1"/>
  <c r="R289" i="1" l="1"/>
  <c r="Q24" i="4" s="1"/>
  <c r="R24" i="4"/>
  <c r="V230" i="1"/>
  <c r="H289" i="1"/>
  <c r="G24" i="4" s="1"/>
  <c r="V216" i="1" l="1"/>
  <c r="H143" i="1"/>
  <c r="M173" i="1" l="1"/>
  <c r="T194" i="1" l="1"/>
  <c r="T199" i="1" s="1"/>
  <c r="S194" i="1"/>
  <c r="R194" i="1"/>
  <c r="R199" i="1" s="1"/>
  <c r="M194" i="1"/>
  <c r="M199" i="1" s="1"/>
  <c r="T187" i="1"/>
  <c r="S187" i="1"/>
  <c r="R187" i="1"/>
  <c r="M187" i="1"/>
  <c r="T183" i="1"/>
  <c r="S183" i="1"/>
  <c r="R183" i="1"/>
  <c r="M183" i="1"/>
  <c r="H183" i="1"/>
  <c r="V183" i="1" s="1"/>
  <c r="S179" i="1"/>
  <c r="H177" i="1"/>
  <c r="V177" i="1" s="1"/>
  <c r="M190" i="1" l="1"/>
  <c r="R190" i="1"/>
  <c r="S190" i="1"/>
  <c r="H187" i="1"/>
  <c r="V187" i="1" s="1"/>
  <c r="H194" i="1"/>
  <c r="V179" i="1" l="1"/>
  <c r="T190" i="1"/>
  <c r="H199" i="1"/>
  <c r="G22" i="4" s="1"/>
  <c r="V194" i="1"/>
  <c r="H190" i="1"/>
  <c r="V190" i="1" s="1"/>
  <c r="T301" i="1"/>
  <c r="R302" i="1" l="1"/>
  <c r="S302" i="1"/>
  <c r="H302" i="1"/>
  <c r="T302" i="1"/>
  <c r="M302" i="1"/>
  <c r="T321" i="1"/>
  <c r="R321" i="1"/>
  <c r="M321" i="1"/>
  <c r="H321" i="1"/>
  <c r="H320" i="1"/>
  <c r="H319" i="1"/>
  <c r="H322" i="1" l="1"/>
  <c r="T309" i="1"/>
  <c r="R309" i="1"/>
  <c r="M309" i="1"/>
  <c r="R307" i="1"/>
  <c r="M307" i="1"/>
  <c r="T305" i="1"/>
  <c r="R305" i="1"/>
  <c r="M305" i="1"/>
  <c r="M311" i="1" l="1"/>
  <c r="R311" i="1"/>
  <c r="T311" i="1"/>
  <c r="H311" i="1"/>
  <c r="H18" i="4" l="1"/>
  <c r="T328" i="1"/>
  <c r="S328" i="1"/>
  <c r="R328" i="1"/>
  <c r="M328" i="1"/>
  <c r="Q325" i="1"/>
  <c r="P325" i="1"/>
  <c r="O325" i="1"/>
  <c r="N325" i="1"/>
  <c r="T324" i="1"/>
  <c r="S327" i="1"/>
  <c r="Q324" i="1"/>
  <c r="P324" i="1"/>
  <c r="O324" i="1"/>
  <c r="N324" i="1"/>
  <c r="H324" i="1"/>
  <c r="H327" i="1" s="1"/>
  <c r="O328" i="1" l="1"/>
  <c r="P328" i="1"/>
  <c r="H328" i="1"/>
  <c r="Q328" i="1"/>
  <c r="N328" i="1"/>
  <c r="T322" i="1" l="1"/>
  <c r="T327" i="1" s="1"/>
  <c r="R322" i="1"/>
  <c r="R327" i="1" s="1"/>
  <c r="M322" i="1"/>
  <c r="M327" i="1" s="1"/>
  <c r="H331" i="1" s="1"/>
  <c r="Q319" i="1"/>
  <c r="Q322" i="1" s="1"/>
  <c r="P319" i="1"/>
  <c r="P322" i="1" s="1"/>
  <c r="O319" i="1"/>
  <c r="O322" i="1" s="1"/>
  <c r="N319" i="1"/>
  <c r="N322" i="1" s="1"/>
  <c r="Q299" i="1" l="1"/>
  <c r="P299" i="1"/>
  <c r="O299" i="1"/>
  <c r="N299" i="1"/>
  <c r="N302" i="1" l="1"/>
  <c r="O302" i="1"/>
  <c r="P302" i="1"/>
  <c r="Q302" i="1"/>
  <c r="S26" i="4"/>
  <c r="R26" i="4"/>
  <c r="Q26" i="4"/>
  <c r="L26" i="4"/>
  <c r="S25" i="4"/>
  <c r="R25" i="4"/>
  <c r="Q25" i="4"/>
  <c r="L25" i="4"/>
  <c r="Q327" i="1" l="1"/>
  <c r="P28" i="4" s="1"/>
  <c r="P327" i="1"/>
  <c r="O28" i="4" s="1"/>
  <c r="O327" i="1"/>
  <c r="N28" i="4" s="1"/>
  <c r="N327" i="1"/>
  <c r="M28" i="4" s="1"/>
  <c r="L24" i="4" l="1"/>
  <c r="P291" i="1" l="1"/>
  <c r="Q291" i="1"/>
  <c r="N291" i="1"/>
  <c r="O291" i="1"/>
  <c r="Q177" i="1"/>
  <c r="P177" i="1"/>
  <c r="O177" i="1"/>
  <c r="N177" i="1"/>
  <c r="T173" i="1" l="1"/>
  <c r="S173" i="1"/>
  <c r="R173" i="1"/>
  <c r="Q171" i="1"/>
  <c r="P171" i="1"/>
  <c r="O171" i="1"/>
  <c r="N171" i="1"/>
  <c r="T143" i="1" l="1"/>
  <c r="S143" i="1"/>
  <c r="R143" i="1"/>
  <c r="M143" i="1"/>
  <c r="M198" i="1" s="1"/>
  <c r="Q199" i="1"/>
  <c r="P199" i="1"/>
  <c r="O199" i="1"/>
  <c r="N199" i="1"/>
  <c r="P198" i="1" l="1"/>
  <c r="P289" i="1" s="1"/>
  <c r="O198" i="1"/>
  <c r="O289" i="1" s="1"/>
  <c r="N198" i="1"/>
  <c r="N289" i="1" s="1"/>
  <c r="Q198" i="1"/>
  <c r="Q289" i="1" s="1"/>
  <c r="H164" i="1" l="1"/>
  <c r="V164" i="1" s="1"/>
  <c r="H198" i="1" l="1"/>
  <c r="T198" i="1" s="1"/>
  <c r="S21" i="4" s="1"/>
  <c r="S22" i="4"/>
  <c r="L22" i="4"/>
  <c r="L21" i="4"/>
  <c r="G21" i="4" l="1"/>
  <c r="H116" i="1"/>
  <c r="S24" i="4" l="1"/>
  <c r="H132" i="1"/>
  <c r="T132" i="1" s="1"/>
  <c r="G19" i="4" l="1"/>
  <c r="G29" i="4" s="1"/>
  <c r="P119" i="1"/>
  <c r="O119" i="1"/>
  <c r="N119" i="1"/>
  <c r="Q119" i="1"/>
  <c r="S19" i="4" l="1"/>
  <c r="S29" i="4" s="1"/>
  <c r="L19" i="4"/>
  <c r="L29" i="4" s="1"/>
  <c r="S198" i="1" l="1"/>
  <c r="R21" i="4" s="1"/>
  <c r="R198" i="1"/>
  <c r="Q21" i="4" s="1"/>
  <c r="R132" i="1" l="1"/>
  <c r="Q19" i="4" s="1"/>
  <c r="H87" i="1" l="1"/>
  <c r="H104" i="1" s="1"/>
  <c r="L104" i="1" s="1"/>
  <c r="T87" i="1" l="1"/>
  <c r="T104" i="1" s="1"/>
  <c r="R91" i="1" l="1"/>
  <c r="S91" i="1" l="1"/>
  <c r="T91" i="1" l="1"/>
  <c r="M91" i="1"/>
  <c r="S132" i="1" l="1"/>
  <c r="R19" i="4" s="1"/>
  <c r="M123" i="1" l="1"/>
  <c r="M131" i="1" l="1"/>
  <c r="L18" i="4" s="1"/>
  <c r="L12" i="4" l="1"/>
  <c r="S12" i="4" s="1"/>
  <c r="L122" i="1" l="1"/>
  <c r="H123" i="1"/>
  <c r="H131" i="1" s="1"/>
  <c r="G18" i="4" l="1"/>
  <c r="T123" i="1"/>
  <c r="T131" i="1" s="1"/>
  <c r="S18" i="4" s="1"/>
  <c r="Q22" i="4" l="1"/>
  <c r="Q29" i="4" s="1"/>
  <c r="S199" i="1" l="1"/>
  <c r="R22" i="4" s="1"/>
  <c r="R29" i="4" s="1"/>
  <c r="Q15" i="4" l="1"/>
  <c r="G15" i="4" l="1"/>
  <c r="G28" i="4" s="1"/>
  <c r="R122" i="1" l="1"/>
  <c r="R123" i="1" s="1"/>
  <c r="R131" i="1" l="1"/>
  <c r="Q18" i="4" s="1"/>
  <c r="Q28" i="4" s="1"/>
  <c r="L15" i="4"/>
  <c r="L28" i="4" s="1"/>
  <c r="S15" i="4"/>
  <c r="S28" i="4" s="1"/>
  <c r="R15" i="4" l="1"/>
  <c r="S122" i="1" l="1"/>
  <c r="S123" i="1" s="1"/>
  <c r="S131" i="1" l="1"/>
  <c r="R18" i="4" s="1"/>
  <c r="R28" i="4" s="1"/>
</calcChain>
</file>

<file path=xl/sharedStrings.xml><?xml version="1.0" encoding="utf-8"?>
<sst xmlns="http://schemas.openxmlformats.org/spreadsheetml/2006/main" count="824" uniqueCount="242">
  <si>
    <t>PERINCIAN PEMBAYARAN PROYEK</t>
  </si>
  <si>
    <t>No.</t>
  </si>
  <si>
    <t>No. Kontrak Pekerjaan</t>
  </si>
  <si>
    <t>Nilai Kontrak   Include        PPN 10%</t>
  </si>
  <si>
    <t>Nilai Kontrak Excluded      PPN 10%</t>
  </si>
  <si>
    <t>Nomor Kwitansi</t>
  </si>
  <si>
    <t>Tanggal</t>
  </si>
  <si>
    <t>Prestasi</t>
  </si>
  <si>
    <t>Tanggal dibayar</t>
  </si>
  <si>
    <t>Dibayar +            PPN 10%</t>
  </si>
  <si>
    <t>PPh</t>
  </si>
  <si>
    <t>Adm /           Pot Lain-lain</t>
  </si>
  <si>
    <t>Ket</t>
  </si>
  <si>
    <t>`</t>
  </si>
  <si>
    <t>P1301</t>
  </si>
  <si>
    <t>P/2013/03/014</t>
  </si>
  <si>
    <t>P/2015/08/015</t>
  </si>
  <si>
    <t>KODE</t>
  </si>
  <si>
    <t>BCA KCU BINTARO</t>
  </si>
  <si>
    <t>Ditagih</t>
  </si>
  <si>
    <t xml:space="preserve">Dibayar         </t>
  </si>
  <si>
    <t xml:space="preserve">Belum dibayar </t>
  </si>
  <si>
    <t xml:space="preserve">Belum ditagih   </t>
  </si>
  <si>
    <t>P1504</t>
  </si>
  <si>
    <t>RS DR-OEN, SURAKARTA</t>
  </si>
  <si>
    <t>IDR</t>
  </si>
  <si>
    <t>USD</t>
  </si>
  <si>
    <t>P1503</t>
  </si>
  <si>
    <t>GREEN OFFICE PARK-9</t>
  </si>
  <si>
    <t>P1502</t>
  </si>
  <si>
    <t>THE ANVAYA HOTEL</t>
  </si>
  <si>
    <t>P1501</t>
  </si>
  <si>
    <t>MNC TOWER</t>
  </si>
  <si>
    <t>TOTAL -2015</t>
  </si>
  <si>
    <t>P1409</t>
  </si>
  <si>
    <t>S-GERONG</t>
  </si>
  <si>
    <t>P1408</t>
  </si>
  <si>
    <t>UNIV. MARANATHA</t>
  </si>
  <si>
    <t>P1407</t>
  </si>
  <si>
    <t>PURI MATAHARI</t>
  </si>
  <si>
    <t>P1406</t>
  </si>
  <si>
    <t>THE TOWER</t>
  </si>
  <si>
    <t>P1405</t>
  </si>
  <si>
    <t>BLUE BIRD</t>
  </si>
  <si>
    <t>HOTEL &amp; DIKLAT BCA</t>
  </si>
  <si>
    <t>P1401</t>
  </si>
  <si>
    <t>INDONESIA INT. EXPO</t>
  </si>
  <si>
    <t>TOTAL -2014</t>
  </si>
  <si>
    <t>P1308</t>
  </si>
  <si>
    <t>BEC BANDUNG</t>
  </si>
  <si>
    <t>P1307</t>
  </si>
  <si>
    <t>LANDMARK PLUIT</t>
  </si>
  <si>
    <t>P1306</t>
  </si>
  <si>
    <t>APPT GUDANG GARAM</t>
  </si>
  <si>
    <t>P1305</t>
  </si>
  <si>
    <t>THREE PARK KARAWANG</t>
  </si>
  <si>
    <t>P1303</t>
  </si>
  <si>
    <t>SUNTER OFFICE PARK</t>
  </si>
  <si>
    <t>KEDUBES AUSTRALIA</t>
  </si>
  <si>
    <t>AUD</t>
  </si>
  <si>
    <t>TOTAL -2013</t>
  </si>
  <si>
    <t>P1207</t>
  </si>
  <si>
    <t>P1107</t>
  </si>
  <si>
    <t>GUDANG GARAM TOWER</t>
  </si>
  <si>
    <t>P1402</t>
  </si>
  <si>
    <t>KERATON RESIDEN</t>
  </si>
  <si>
    <t>P1001</t>
  </si>
  <si>
    <t>TEMPO SCAN TOWER</t>
  </si>
  <si>
    <t>TOTAL - 2010-2012</t>
  </si>
  <si>
    <t>TAHUN - 2015</t>
  </si>
  <si>
    <t>TAHUN -2014</t>
  </si>
  <si>
    <t>TAHUN -2013</t>
  </si>
  <si>
    <t>TAHUN  2010-2012</t>
  </si>
  <si>
    <t>TOTAL KESELURUHAN</t>
  </si>
  <si>
    <t>P1203</t>
  </si>
  <si>
    <t>ADDITIONAL</t>
  </si>
  <si>
    <t>TOTAL</t>
  </si>
  <si>
    <t>JGF KARAWANG-I</t>
  </si>
  <si>
    <t>MD ENTERTAIMENT AC</t>
  </si>
  <si>
    <t>MD ENTERTAIMENT M&amp;E</t>
  </si>
  <si>
    <t>ADDITIONAL WORK</t>
  </si>
  <si>
    <t>OMMISIONAL WORK</t>
  </si>
  <si>
    <t>247/Per/YTKM/X/2014</t>
  </si>
  <si>
    <t>SPK/HO/AGR/09/14/00532</t>
  </si>
  <si>
    <t>016/BB/TATA-APJ/IX/2014</t>
  </si>
  <si>
    <t>088A/DPBCA/2014</t>
  </si>
  <si>
    <t>SPK/091/IIE/XII/2013</t>
  </si>
  <si>
    <t>SPK/138/IIE/VII/2014</t>
  </si>
  <si>
    <t>SPK/147/IIE/IX/2014</t>
  </si>
  <si>
    <t>SPK : 004906/HO/2211/2012</t>
  </si>
  <si>
    <t>SPK : 005030/HO/2211/2012</t>
  </si>
  <si>
    <t>SPK : 00131/HO/2211/2013</t>
  </si>
  <si>
    <t>BANDUNG ARTHA MAS</t>
  </si>
  <si>
    <t>AREA CINEMA</t>
  </si>
  <si>
    <t>ADDITIONAL WORK  :</t>
  </si>
  <si>
    <t xml:space="preserve">PENAMBAHAN DAYA </t>
  </si>
  <si>
    <t>ADDITIONAL &amp; OMMISIONAL WORK</t>
  </si>
  <si>
    <t>P1403</t>
  </si>
  <si>
    <t>PENGURUSAN SURAT</t>
  </si>
  <si>
    <t>LUNAS</t>
  </si>
  <si>
    <t>SPK : SPK-CON/003/APJ/II/12</t>
  </si>
  <si>
    <t>PROYEK DCI CIKARANG</t>
  </si>
  <si>
    <t>WO NO : 0019/ABP-WO/APJ/VI/2014</t>
  </si>
  <si>
    <t>PO NO : OF150220</t>
  </si>
  <si>
    <t>CLAIM ASSURANSI</t>
  </si>
  <si>
    <t>BAST-2</t>
  </si>
  <si>
    <t>TOTAL -2016</t>
  </si>
  <si>
    <t>P1603</t>
  </si>
  <si>
    <t>CIPUTRA INT. PHASE-1 TOWER-3</t>
  </si>
  <si>
    <t>P1602</t>
  </si>
  <si>
    <t>BCA CPC ALAM SUTERA</t>
  </si>
  <si>
    <t>P1601</t>
  </si>
  <si>
    <t>JUMEIRAH RESORT - BALI</t>
  </si>
  <si>
    <t>P1404</t>
  </si>
  <si>
    <t>YAKOBUS</t>
  </si>
  <si>
    <t>STJO-MNC/LOA/SUB/354/01.15</t>
  </si>
  <si>
    <t>SPK : 016/BBP-SPK/IX/2013</t>
  </si>
  <si>
    <t>SPK : 006/KPU-SPK/IX/2013</t>
  </si>
  <si>
    <t>SPK : 008/BAM-SPK/XII/2014</t>
  </si>
  <si>
    <t>SPK : 045/SPK-BEC/GLP/V/2015</t>
  </si>
  <si>
    <t>SPK : 036/PP-SPK/VIII/2013</t>
  </si>
  <si>
    <t>SPK : 035/PP-SPK/VIII/2013</t>
  </si>
  <si>
    <t>E0029/GG-30/VIII/2013</t>
  </si>
  <si>
    <t>SPK : 037/SGL/BP-SPK/IV/2013</t>
  </si>
  <si>
    <t>SC0014.LTJO</t>
  </si>
  <si>
    <t>PT. MULTIGUNA TRANS ENERGI</t>
  </si>
  <si>
    <t>PENGADAAN KOMPONEN ELEKTRIKAL</t>
  </si>
  <si>
    <t>ADDITIOONAL</t>
  </si>
  <si>
    <t>PROYEK - 2015</t>
  </si>
  <si>
    <t>PROYEK - 2016</t>
  </si>
  <si>
    <t>PROYEK - 2014</t>
  </si>
  <si>
    <t>PROYEK - 2010 - 2012</t>
  </si>
  <si>
    <t>P1505</t>
  </si>
  <si>
    <t>STJO-MNC/LOA/APJ/863-04-16</t>
  </si>
  <si>
    <t>STJO-MNC/LOA/APJ/864-04-16</t>
  </si>
  <si>
    <t xml:space="preserve"> </t>
  </si>
  <si>
    <t>P1604</t>
  </si>
  <si>
    <t>KATERDAL</t>
  </si>
  <si>
    <t>T1401</t>
  </si>
  <si>
    <t>PROYEK - 2013</t>
  </si>
  <si>
    <t>P1605</t>
  </si>
  <si>
    <t>BCA BOROBUDUR - MALANG</t>
  </si>
  <si>
    <t xml:space="preserve">  TAHUN - 2016</t>
  </si>
  <si>
    <t>P1606</t>
  </si>
  <si>
    <t>GUDANG GARAM LT. 16,17,18</t>
  </si>
  <si>
    <t>P1607</t>
  </si>
  <si>
    <t>UNIVERSITAS MULTIMEDIA NUSANTARA</t>
  </si>
  <si>
    <t>SPK : PO0552/PAG/KPS/2016</t>
  </si>
  <si>
    <t>BCA DRC SURABAYA</t>
  </si>
  <si>
    <t>SP  NO : 003/SP-FO/IP/X/2015</t>
  </si>
  <si>
    <t>SP NO : 019/SP-FO/IP/III/2016</t>
  </si>
  <si>
    <t>SP NO : 022/SP-FO/IP/III/2016</t>
  </si>
  <si>
    <t>SP NO : 024/SP-FO/IP/VIII/2016</t>
  </si>
  <si>
    <t>P1608</t>
  </si>
  <si>
    <t>APART@TAMAN PERMATA BUANA</t>
  </si>
  <si>
    <t>WO NO : 0084/ABP-WO/APJ/XII/2016</t>
  </si>
  <si>
    <t>P1611</t>
  </si>
  <si>
    <t>BCA SURABAYA GARDU PLN</t>
  </si>
  <si>
    <t>P1610</t>
  </si>
  <si>
    <t>ALOFT HOTEL BALI</t>
  </si>
  <si>
    <t>UNIT FLOOR STANDING 18 UNIT</t>
  </si>
  <si>
    <t>AC SPLIT PANASONIK</t>
  </si>
  <si>
    <t>FAKTUR PAJAK DOLAR</t>
  </si>
  <si>
    <t>P1612</t>
  </si>
  <si>
    <t>GEREJA KIM TAEGON  TANPA PPN</t>
  </si>
  <si>
    <t>PROYEK - 2017</t>
  </si>
  <si>
    <t>P1701</t>
  </si>
  <si>
    <t>SUDIRMAN 78</t>
  </si>
  <si>
    <t>TOTAL -2017</t>
  </si>
  <si>
    <t>P1609</t>
  </si>
  <si>
    <t>RET-5%</t>
  </si>
  <si>
    <t xml:space="preserve">  TAHUN - 2017</t>
  </si>
  <si>
    <t>DENDA-DENDA</t>
  </si>
  <si>
    <t>P1702</t>
  </si>
  <si>
    <t>SEQUIS TOWER</t>
  </si>
  <si>
    <t>P1302</t>
  </si>
  <si>
    <t>PT. MUG CIMANGGIS</t>
  </si>
  <si>
    <t>P1304</t>
  </si>
  <si>
    <t>THAMRINE B1</t>
  </si>
  <si>
    <t>P1703</t>
  </si>
  <si>
    <t>WALDORF, BALI</t>
  </si>
  <si>
    <t>WO : 0086/ABP-WO/APJ/XII/2016</t>
  </si>
  <si>
    <t>P1704</t>
  </si>
  <si>
    <t>SOUTH GATE TANJUNG BARAT</t>
  </si>
  <si>
    <t>P1700</t>
  </si>
  <si>
    <t>PO-PO</t>
  </si>
  <si>
    <t>RUMAH GO SIAUW HONG</t>
  </si>
  <si>
    <t xml:space="preserve">  </t>
  </si>
  <si>
    <t>PROYEK TINGGAL RETENSI</t>
  </si>
  <si>
    <t>SPK/01/IIE/Convex-IMP/XII/2016 (SPK blm ttd)</t>
  </si>
  <si>
    <t>P1705</t>
  </si>
  <si>
    <t>SERVICE KEDUTAAN AUSTRALIA</t>
  </si>
  <si>
    <t>PROYEK - 2018</t>
  </si>
  <si>
    <t>P1801</t>
  </si>
  <si>
    <t>PERMATA BUANA</t>
  </si>
  <si>
    <t>P1802</t>
  </si>
  <si>
    <t>RAJAWALI PLACE</t>
  </si>
  <si>
    <t>TOTAL -2018</t>
  </si>
  <si>
    <t>P1803</t>
  </si>
  <si>
    <t>ONE GALAXY SURABAYA</t>
  </si>
  <si>
    <t xml:space="preserve">  TAHUN - 2018</t>
  </si>
  <si>
    <t>RET 2,5%</t>
  </si>
  <si>
    <t>P1706</t>
  </si>
  <si>
    <t>CITRA TOWER</t>
  </si>
  <si>
    <t>SOUTH GATE APARTEMENT 1 &amp; 2</t>
  </si>
  <si>
    <t>RET</t>
  </si>
  <si>
    <t>P1805</t>
  </si>
  <si>
    <t>P1806</t>
  </si>
  <si>
    <t>UNIV. MULTIMEDIA NUSANTARA LT. 6, 7, 8</t>
  </si>
  <si>
    <t>F</t>
  </si>
  <si>
    <t>P1807</t>
  </si>
  <si>
    <t>CIPUTRA TOWER-2</t>
  </si>
  <si>
    <t>DASWIN OFFICE PROJECT</t>
  </si>
  <si>
    <t>ADD-5</t>
  </si>
  <si>
    <t>Ret 2,5%</t>
  </si>
  <si>
    <t>RET 5%</t>
  </si>
  <si>
    <t>SPK : 001-A/SPK/BFP/VIII/2018</t>
  </si>
  <si>
    <t>SPK : 067/APJ/ENG/P1303/E/11/18</t>
  </si>
  <si>
    <t xml:space="preserve">   PEN :069.R1/APJ/ENG/P1303/E/11/18</t>
  </si>
  <si>
    <t>UNIV. MULTIMEDIA NUSANTARA LT. 9, 10, 11</t>
  </si>
  <si>
    <t>M,O,U</t>
  </si>
  <si>
    <t>Ret  5%</t>
  </si>
  <si>
    <t>PROYEK - 2019</t>
  </si>
  <si>
    <t>P1901</t>
  </si>
  <si>
    <t>BCA FORESTA</t>
  </si>
  <si>
    <t>DP-20%</t>
  </si>
  <si>
    <t>TOTAL -2019</t>
  </si>
  <si>
    <t xml:space="preserve">  TAHUN - 2019</t>
  </si>
  <si>
    <t>STAFF RESIDEN KEDUTAAN AUSTRALIA</t>
  </si>
  <si>
    <t>P1902</t>
  </si>
  <si>
    <t>P1903</t>
  </si>
  <si>
    <t>BCA SEMARANG</t>
  </si>
  <si>
    <t>P1809</t>
  </si>
  <si>
    <t>MNC LAND</t>
  </si>
  <si>
    <t>SANTOS JAYA ABADI</t>
  </si>
  <si>
    <t>Mega Cahaya Bersama</t>
  </si>
  <si>
    <t>Master system infotama</t>
  </si>
  <si>
    <t xml:space="preserve">PROYEK LAIN-LAIN </t>
  </si>
  <si>
    <t>Dari 2017 sampai 2019</t>
  </si>
  <si>
    <t>\]</t>
  </si>
  <si>
    <t>kjh</t>
  </si>
  <si>
    <t>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</si>
</sst>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(&quot;Rp&quot;* #,##0_);_(&quot;Rp&quot;* \(#,##0\);_(&quot;Rp&quot;* &quot;-&quot;_);_(@_)"/>
    <numFmt numFmtId="165" formatCode="_(* #,##0_);_(* \(#,##0\);_(* &quot;-&quot;_);_(@_)"/>
    <numFmt numFmtId="166" formatCode="_(* #,##0.00_);_(* \(#,##0.00\);_(* &quot;-&quot;??_);_(@_)"/>
    <numFmt numFmtId="167" formatCode="[$$-409]#,##0.00"/>
    <numFmt numFmtId="168" formatCode="0.0000%"/>
    <numFmt numFmtId="169" formatCode="_([$USD]\ * #,##0_);_([$USD]\ * \(#,##0\);_([$USD]\ * &quot;-&quot;_);_(@_)"/>
    <numFmt numFmtId="170" formatCode="_([$USD]\ * #,##0.00_);_([$USD]\ * \(#,##0.00\);_([$USD]\ * &quot;-&quot;_);_(@_)"/>
    <numFmt numFmtId="171" formatCode="_([$AUD]\ * #,##0_);_([$AUD]\ * \(#,##0\);_([$AUD]\ * &quot;-&quot;_);_(@_)"/>
    <numFmt numFmtId="172" formatCode="0.0%"/>
    <numFmt numFmtId="173" formatCode="0.000%"/>
  </numFmts>
  <fonts count="3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name val="Arial"/>
      <family val="2"/>
    </font>
    <font>
      <sz val="11"/>
      <name val="Arial Narrow"/>
      <family val="2"/>
    </font>
    <font>
      <sz val="12"/>
      <name val="Arial Narrow"/>
      <family val="2"/>
    </font>
    <font>
      <sz val="9"/>
      <name val="Arial Narrow"/>
      <family val="2"/>
    </font>
    <font>
      <sz val="10"/>
      <name val="Helv"/>
      <family val="2"/>
    </font>
    <font>
      <sz val="18"/>
      <name val="Arial"/>
      <family val="2"/>
    </font>
    <font>
      <sz val="9"/>
      <color theme="1"/>
      <name val="Arial"/>
      <family val="2"/>
    </font>
    <font>
      <sz val="11"/>
      <color theme="1"/>
      <name val="Arial Narrow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sz val="11"/>
      <color rgb="FFFF0000"/>
      <name val="Arial Narrow"/>
      <family val="2"/>
    </font>
    <font>
      <b/>
      <sz val="11"/>
      <color theme="1"/>
      <name val="Arial Narrow"/>
      <family val="2"/>
    </font>
    <font>
      <b/>
      <sz val="11"/>
      <name val="Arial Narrow"/>
      <family val="2"/>
    </font>
    <font>
      <b/>
      <sz val="14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Arial Narrow"/>
      <family val="2"/>
    </font>
    <font>
      <b/>
      <sz val="11"/>
      <color rgb="FFFF0000"/>
      <name val="Arial Narrow"/>
      <family val="2"/>
    </font>
    <font>
      <u/>
      <sz val="11"/>
      <color theme="10"/>
      <name val="Calibri"/>
      <family val="2"/>
      <charset val="1"/>
      <scheme val="minor"/>
    </font>
    <font>
      <sz val="10"/>
      <color theme="1"/>
      <name val="Arial Narrow"/>
      <family val="2"/>
    </font>
    <font>
      <sz val="18"/>
      <color theme="1"/>
      <name val="Arial"/>
      <family val="2"/>
    </font>
    <font>
      <sz val="9"/>
      <color theme="1"/>
      <name val="Arial Narrow"/>
      <family val="2"/>
    </font>
    <font>
      <sz val="11"/>
      <name val="Calibri"/>
      <family val="2"/>
      <charset val="1"/>
      <scheme val="minor"/>
    </font>
    <font>
      <b/>
      <sz val="14"/>
      <name val="Arial"/>
      <family val="2"/>
    </font>
    <font>
      <sz val="12"/>
      <name val="Arial"/>
      <family val="2"/>
    </font>
    <font>
      <sz val="12"/>
      <name val="Calibri"/>
      <family val="2"/>
      <charset val="1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2" fillId="0" borderId="0" applyFont="0" applyFill="0" applyBorder="0" applyAlignment="0" applyProtection="0"/>
    <xf numFmtId="0" fontId="7" fillId="0" borderId="0"/>
    <xf numFmtId="0" fontId="22" fillId="0" borderId="0" applyNumberFormat="0" applyFill="0" applyBorder="0" applyAlignment="0" applyProtection="0"/>
  </cellStyleXfs>
  <cellXfs count="451">
    <xf numFmtId="0" fontId="0" fillId="0" borderId="0" xfId="0"/>
    <xf numFmtId="0" fontId="2" fillId="0" borderId="0" xfId="3"/>
    <xf numFmtId="14" fontId="4" fillId="0" borderId="1" xfId="3" applyNumberFormat="1" applyFont="1" applyBorder="1" applyAlignment="1">
      <alignment horizontal="center" vertical="center" wrapText="1"/>
    </xf>
    <xf numFmtId="3" fontId="4" fillId="0" borderId="1" xfId="3" applyNumberFormat="1" applyFont="1" applyBorder="1"/>
    <xf numFmtId="14" fontId="4" fillId="0" borderId="2" xfId="3" applyNumberFormat="1" applyFont="1" applyBorder="1"/>
    <xf numFmtId="0" fontId="5" fillId="0" borderId="4" xfId="3" applyFont="1" applyBorder="1" applyAlignment="1">
      <alignment horizontal="center" vertical="center" wrapText="1"/>
    </xf>
    <xf numFmtId="0" fontId="4" fillId="0" borderId="2" xfId="3" applyFont="1" applyBorder="1" applyAlignment="1">
      <alignment vertical="center" wrapText="1"/>
    </xf>
    <xf numFmtId="0" fontId="5" fillId="0" borderId="4" xfId="3" applyFont="1" applyBorder="1" applyAlignment="1">
      <alignment horizontal="centerContinuous" vertical="center" wrapText="1"/>
    </xf>
    <xf numFmtId="0" fontId="4" fillId="0" borderId="5" xfId="3" applyFont="1" applyBorder="1" applyAlignment="1">
      <alignment horizontal="centerContinuous" vertical="center" wrapText="1"/>
    </xf>
    <xf numFmtId="0" fontId="4" fillId="0" borderId="12" xfId="3" applyFont="1" applyBorder="1" applyAlignment="1">
      <alignment horizontal="centerContinuous" vertical="center" wrapText="1"/>
    </xf>
    <xf numFmtId="167" fontId="4" fillId="0" borderId="2" xfId="3" applyNumberFormat="1" applyFont="1" applyBorder="1"/>
    <xf numFmtId="165" fontId="4" fillId="0" borderId="2" xfId="3" applyNumberFormat="1" applyFont="1" applyBorder="1"/>
    <xf numFmtId="0" fontId="6" fillId="0" borderId="4" xfId="3" applyFont="1" applyBorder="1" applyAlignment="1">
      <alignment horizontal="centerContinuous" vertical="center" wrapText="1"/>
    </xf>
    <xf numFmtId="0" fontId="6" fillId="0" borderId="6" xfId="3" applyFont="1" applyBorder="1" applyAlignment="1">
      <alignment horizontal="centerContinuous" vertical="center" wrapText="1"/>
    </xf>
    <xf numFmtId="0" fontId="10" fillId="0" borderId="2" xfId="3" applyFont="1" applyBorder="1" applyAlignment="1">
      <alignment horizontal="center"/>
    </xf>
    <xf numFmtId="0" fontId="12" fillId="0" borderId="7" xfId="3" applyFont="1" applyBorder="1" applyAlignment="1">
      <alignment horizontal="left" indent="1"/>
    </xf>
    <xf numFmtId="0" fontId="12" fillId="0" borderId="0" xfId="3" applyFont="1" applyBorder="1" applyAlignment="1">
      <alignment horizontal="left" indent="1"/>
    </xf>
    <xf numFmtId="0" fontId="13" fillId="0" borderId="8" xfId="3" applyFont="1" applyBorder="1" applyAlignment="1">
      <alignment horizontal="left" indent="1"/>
    </xf>
    <xf numFmtId="0" fontId="11" fillId="0" borderId="7" xfId="3" applyFont="1" applyBorder="1" applyAlignment="1">
      <alignment horizontal="left" indent="1"/>
    </xf>
    <xf numFmtId="0" fontId="11" fillId="0" borderId="0" xfId="3" applyFont="1" applyBorder="1" applyAlignment="1">
      <alignment horizontal="left"/>
    </xf>
    <xf numFmtId="0" fontId="9" fillId="0" borderId="8" xfId="3" applyFont="1" applyBorder="1" applyAlignment="1">
      <alignment horizontal="left"/>
    </xf>
    <xf numFmtId="165" fontId="10" fillId="0" borderId="2" xfId="3" applyNumberFormat="1" applyFont="1" applyBorder="1"/>
    <xf numFmtId="14" fontId="11" fillId="0" borderId="0" xfId="3" applyNumberFormat="1" applyFont="1" applyBorder="1" applyAlignment="1">
      <alignment horizontal="left" indent="1"/>
    </xf>
    <xf numFmtId="14" fontId="9" fillId="0" borderId="8" xfId="3" applyNumberFormat="1" applyFont="1" applyBorder="1" applyAlignment="1">
      <alignment horizontal="left" indent="1"/>
    </xf>
    <xf numFmtId="0" fontId="11" fillId="0" borderId="0" xfId="3" applyFont="1" applyBorder="1" applyAlignment="1">
      <alignment horizontal="left" indent="1"/>
    </xf>
    <xf numFmtId="0" fontId="9" fillId="0" borderId="8" xfId="3" applyFont="1" applyBorder="1" applyAlignment="1">
      <alignment horizontal="left" indent="1"/>
    </xf>
    <xf numFmtId="0" fontId="14" fillId="0" borderId="0" xfId="3" applyFont="1"/>
    <xf numFmtId="165" fontId="10" fillId="0" borderId="2" xfId="1" applyFont="1" applyBorder="1"/>
    <xf numFmtId="165" fontId="4" fillId="0" borderId="2" xfId="1" applyFont="1" applyBorder="1"/>
    <xf numFmtId="0" fontId="4" fillId="0" borderId="0" xfId="3" applyFont="1" applyBorder="1" applyAlignment="1">
      <alignment horizontal="centerContinuous" vertical="center" wrapText="1"/>
    </xf>
    <xf numFmtId="0" fontId="6" fillId="0" borderId="8" xfId="3" applyFont="1" applyBorder="1" applyAlignment="1">
      <alignment horizontal="centerContinuous" vertical="center" wrapText="1"/>
    </xf>
    <xf numFmtId="14" fontId="4" fillId="0" borderId="2" xfId="3" applyNumberFormat="1" applyFont="1" applyBorder="1" applyAlignment="1">
      <alignment horizontal="center" vertical="center" wrapText="1"/>
    </xf>
    <xf numFmtId="165" fontId="4" fillId="0" borderId="2" xfId="1" applyFont="1" applyBorder="1" applyAlignment="1">
      <alignment horizontal="center" vertical="center" wrapText="1"/>
    </xf>
    <xf numFmtId="168" fontId="4" fillId="0" borderId="2" xfId="2" applyNumberFormat="1" applyFont="1" applyBorder="1" applyAlignment="1">
      <alignment horizontal="center" vertical="center" wrapText="1"/>
    </xf>
    <xf numFmtId="169" fontId="10" fillId="0" borderId="2" xfId="3" applyNumberFormat="1" applyFont="1" applyBorder="1"/>
    <xf numFmtId="169" fontId="4" fillId="0" borderId="2" xfId="1" applyNumberFormat="1" applyFont="1" applyBorder="1" applyAlignment="1">
      <alignment horizontal="center" vertical="center" wrapText="1"/>
    </xf>
    <xf numFmtId="169" fontId="4" fillId="0" borderId="2" xfId="3" applyNumberFormat="1" applyFont="1" applyBorder="1"/>
    <xf numFmtId="169" fontId="4" fillId="0" borderId="2" xfId="3" applyNumberFormat="1" applyFont="1" applyBorder="1" applyAlignment="1">
      <alignment horizontal="center" vertical="center" wrapText="1"/>
    </xf>
    <xf numFmtId="14" fontId="0" fillId="0" borderId="0" xfId="0" applyNumberFormat="1"/>
    <xf numFmtId="170" fontId="2" fillId="0" borderId="0" xfId="3" applyNumberFormat="1"/>
    <xf numFmtId="170" fontId="5" fillId="0" borderId="4" xfId="3" applyNumberFormat="1" applyFont="1" applyBorder="1" applyAlignment="1">
      <alignment horizontal="center" vertical="center" wrapText="1"/>
    </xf>
    <xf numFmtId="170" fontId="4" fillId="0" borderId="1" xfId="3" applyNumberFormat="1" applyFont="1" applyBorder="1" applyAlignment="1">
      <alignment horizontal="center" vertical="center" wrapText="1"/>
    </xf>
    <xf numFmtId="170" fontId="0" fillId="0" borderId="0" xfId="0" applyNumberFormat="1"/>
    <xf numFmtId="0" fontId="4" fillId="0" borderId="1" xfId="3" applyFont="1" applyBorder="1" applyAlignment="1">
      <alignment horizontal="center" vertical="center" wrapText="1"/>
    </xf>
    <xf numFmtId="0" fontId="4" fillId="0" borderId="2" xfId="3" applyFont="1" applyBorder="1" applyAlignment="1">
      <alignment horizontal="center" vertical="center" wrapText="1"/>
    </xf>
    <xf numFmtId="171" fontId="10" fillId="0" borderId="2" xfId="1" applyNumberFormat="1" applyFont="1" applyBorder="1"/>
    <xf numFmtId="171" fontId="10" fillId="0" borderId="2" xfId="3" applyNumberFormat="1" applyFont="1" applyBorder="1"/>
    <xf numFmtId="171" fontId="4" fillId="0" borderId="2" xfId="1" applyNumberFormat="1" applyFont="1" applyBorder="1" applyAlignment="1">
      <alignment horizontal="center" vertical="center" wrapText="1"/>
    </xf>
    <xf numFmtId="171" fontId="4" fillId="0" borderId="2" xfId="3" applyNumberFormat="1" applyFont="1" applyBorder="1"/>
    <xf numFmtId="171" fontId="4" fillId="0" borderId="2" xfId="3" applyNumberFormat="1" applyFont="1" applyBorder="1" applyAlignment="1">
      <alignment horizontal="center" vertical="center" wrapText="1"/>
    </xf>
    <xf numFmtId="171" fontId="15" fillId="0" borderId="2" xfId="1" applyNumberFormat="1" applyFont="1" applyBorder="1" applyAlignment="1">
      <alignment horizontal="center" vertical="center" wrapText="1"/>
    </xf>
    <xf numFmtId="170" fontId="10" fillId="0" borderId="2" xfId="1" applyNumberFormat="1" applyFont="1" applyBorder="1" applyAlignment="1">
      <alignment horizontal="center" vertical="center" wrapText="1"/>
    </xf>
    <xf numFmtId="0" fontId="10" fillId="0" borderId="7" xfId="3" applyFont="1" applyBorder="1" applyAlignment="1">
      <alignment horizontal="center"/>
    </xf>
    <xf numFmtId="9" fontId="4" fillId="0" borderId="2" xfId="2" applyFont="1" applyBorder="1" applyAlignment="1">
      <alignment horizontal="center" vertical="center" wrapText="1"/>
    </xf>
    <xf numFmtId="14" fontId="13" fillId="0" borderId="8" xfId="3" applyNumberFormat="1" applyFont="1" applyBorder="1" applyAlignment="1">
      <alignment horizontal="left" indent="1"/>
    </xf>
    <xf numFmtId="0" fontId="16" fillId="0" borderId="5" xfId="3" applyFont="1" applyBorder="1" applyAlignment="1">
      <alignment horizontal="center"/>
    </xf>
    <xf numFmtId="165" fontId="16" fillId="0" borderId="1" xfId="3" applyNumberFormat="1" applyFont="1" applyBorder="1"/>
    <xf numFmtId="14" fontId="17" fillId="0" borderId="1" xfId="3" applyNumberFormat="1" applyFont="1" applyBorder="1" applyAlignment="1">
      <alignment horizontal="center" vertical="center" wrapText="1"/>
    </xf>
    <xf numFmtId="168" fontId="17" fillId="0" borderId="1" xfId="2" applyNumberFormat="1" applyFont="1" applyBorder="1" applyAlignment="1">
      <alignment horizontal="center" vertical="center" wrapText="1"/>
    </xf>
    <xf numFmtId="0" fontId="17" fillId="0" borderId="1" xfId="3" applyFont="1" applyBorder="1" applyAlignment="1">
      <alignment vertical="center" wrapText="1"/>
    </xf>
    <xf numFmtId="0" fontId="16" fillId="0" borderId="9" xfId="3" applyFont="1" applyBorder="1" applyAlignment="1">
      <alignment horizontal="center"/>
    </xf>
    <xf numFmtId="165" fontId="16" fillId="0" borderId="3" xfId="3" applyNumberFormat="1" applyFont="1" applyBorder="1"/>
    <xf numFmtId="0" fontId="17" fillId="0" borderId="3" xfId="3" applyFont="1" applyBorder="1" applyAlignment="1">
      <alignment horizontal="center" vertical="center" wrapText="1"/>
    </xf>
    <xf numFmtId="14" fontId="17" fillId="0" borderId="3" xfId="3" applyNumberFormat="1" applyFont="1" applyBorder="1" applyAlignment="1">
      <alignment horizontal="center" vertical="center" wrapText="1"/>
    </xf>
    <xf numFmtId="168" fontId="17" fillId="0" borderId="3" xfId="2" applyNumberFormat="1" applyFont="1" applyBorder="1" applyAlignment="1">
      <alignment horizontal="center" vertical="center" wrapText="1"/>
    </xf>
    <xf numFmtId="165" fontId="17" fillId="0" borderId="3" xfId="1" applyFont="1" applyBorder="1" applyAlignment="1">
      <alignment horizontal="center" vertical="center" wrapText="1"/>
    </xf>
    <xf numFmtId="0" fontId="17" fillId="0" borderId="3" xfId="3" applyFont="1" applyBorder="1" applyAlignment="1">
      <alignment vertical="center" wrapText="1"/>
    </xf>
    <xf numFmtId="165" fontId="10" fillId="0" borderId="2" xfId="1" applyFont="1" applyFill="1" applyBorder="1"/>
    <xf numFmtId="169" fontId="10" fillId="0" borderId="2" xfId="1" applyNumberFormat="1" applyFont="1" applyBorder="1" applyAlignment="1">
      <alignment horizontal="center" vertical="center" wrapText="1"/>
    </xf>
    <xf numFmtId="0" fontId="16" fillId="0" borderId="7" xfId="3" applyFont="1" applyBorder="1" applyAlignment="1">
      <alignment horizontal="center"/>
    </xf>
    <xf numFmtId="165" fontId="16" fillId="0" borderId="2" xfId="3" applyNumberFormat="1" applyFont="1" applyBorder="1"/>
    <xf numFmtId="14" fontId="17" fillId="0" borderId="2" xfId="3" applyNumberFormat="1" applyFont="1" applyBorder="1" applyAlignment="1">
      <alignment horizontal="center" vertical="center" wrapText="1"/>
    </xf>
    <xf numFmtId="168" fontId="17" fillId="0" borderId="2" xfId="2" applyNumberFormat="1" applyFont="1" applyBorder="1" applyAlignment="1">
      <alignment horizontal="center" vertical="center" wrapText="1"/>
    </xf>
    <xf numFmtId="0" fontId="17" fillId="0" borderId="2" xfId="3" applyFont="1" applyBorder="1" applyAlignment="1">
      <alignment vertical="center" wrapText="1"/>
    </xf>
    <xf numFmtId="169" fontId="16" fillId="0" borderId="2" xfId="3" applyNumberFormat="1" applyFont="1" applyBorder="1"/>
    <xf numFmtId="171" fontId="16" fillId="0" borderId="3" xfId="3" applyNumberFormat="1" applyFont="1" applyBorder="1"/>
    <xf numFmtId="0" fontId="10" fillId="0" borderId="3" xfId="3" applyFont="1" applyBorder="1" applyAlignment="1">
      <alignment horizontal="center"/>
    </xf>
    <xf numFmtId="171" fontId="4" fillId="0" borderId="2" xfId="2" applyNumberFormat="1" applyFont="1" applyBorder="1" applyAlignment="1">
      <alignment horizontal="center" vertical="center" wrapText="1"/>
    </xf>
    <xf numFmtId="165" fontId="17" fillId="0" borderId="2" xfId="1" applyFont="1" applyBorder="1" applyAlignment="1">
      <alignment horizontal="center" vertical="center" wrapText="1"/>
    </xf>
    <xf numFmtId="0" fontId="11" fillId="0" borderId="11" xfId="3" applyFont="1" applyBorder="1" applyAlignment="1">
      <alignment horizontal="left" indent="1"/>
    </xf>
    <xf numFmtId="165" fontId="10" fillId="0" borderId="3" xfId="1" applyFont="1" applyBorder="1"/>
    <xf numFmtId="171" fontId="10" fillId="0" borderId="3" xfId="3" applyNumberFormat="1" applyFont="1" applyBorder="1"/>
    <xf numFmtId="0" fontId="4" fillId="0" borderId="3" xfId="3" applyFont="1" applyBorder="1" applyAlignment="1">
      <alignment horizontal="center" vertical="center" wrapText="1"/>
    </xf>
    <xf numFmtId="14" fontId="4" fillId="0" borderId="3" xfId="3" applyNumberFormat="1" applyFont="1" applyBorder="1" applyAlignment="1">
      <alignment horizontal="center" vertical="center" wrapText="1"/>
    </xf>
    <xf numFmtId="171" fontId="15" fillId="0" borderId="3" xfId="1" applyNumberFormat="1" applyFont="1" applyBorder="1" applyAlignment="1">
      <alignment horizontal="center" vertical="center" wrapText="1"/>
    </xf>
    <xf numFmtId="171" fontId="4" fillId="0" borderId="3" xfId="1" applyNumberFormat="1" applyFont="1" applyBorder="1" applyAlignment="1">
      <alignment horizontal="center" vertical="center" wrapText="1"/>
    </xf>
    <xf numFmtId="171" fontId="4" fillId="0" borderId="3" xfId="3" applyNumberFormat="1" applyFont="1" applyBorder="1"/>
    <xf numFmtId="171" fontId="4" fillId="0" borderId="3" xfId="3" applyNumberFormat="1" applyFont="1" applyBorder="1" applyAlignment="1">
      <alignment horizontal="center" vertical="center" wrapText="1"/>
    </xf>
    <xf numFmtId="165" fontId="10" fillId="0" borderId="2" xfId="1" applyFont="1" applyBorder="1" applyAlignment="1">
      <alignment horizontal="center" vertical="center" wrapText="1"/>
    </xf>
    <xf numFmtId="171" fontId="10" fillId="0" borderId="2" xfId="1" applyNumberFormat="1" applyFont="1" applyBorder="1" applyAlignment="1">
      <alignment horizontal="center" vertical="center" wrapText="1"/>
    </xf>
    <xf numFmtId="0" fontId="12" fillId="0" borderId="9" xfId="3" applyFont="1" applyBorder="1" applyAlignment="1">
      <alignment horizontal="left" indent="1"/>
    </xf>
    <xf numFmtId="14" fontId="13" fillId="0" borderId="10" xfId="3" applyNumberFormat="1" applyFont="1" applyBorder="1" applyAlignment="1">
      <alignment horizontal="left" indent="1"/>
    </xf>
    <xf numFmtId="165" fontId="12" fillId="0" borderId="7" xfId="3" applyNumberFormat="1" applyFont="1" applyBorder="1" applyAlignment="1">
      <alignment horizontal="left" indent="1"/>
    </xf>
    <xf numFmtId="165" fontId="0" fillId="0" borderId="0" xfId="1" applyFont="1"/>
    <xf numFmtId="0" fontId="12" fillId="0" borderId="11" xfId="3" applyFont="1" applyBorder="1" applyAlignment="1">
      <alignment horizontal="left" indent="1"/>
    </xf>
    <xf numFmtId="14" fontId="4" fillId="0" borderId="0" xfId="3" applyNumberFormat="1" applyFont="1" applyBorder="1" applyAlignment="1">
      <alignment horizontal="center" vertical="center" wrapText="1"/>
    </xf>
    <xf numFmtId="0" fontId="13" fillId="0" borderId="10" xfId="3" applyFont="1" applyBorder="1" applyAlignment="1">
      <alignment horizontal="left" indent="1"/>
    </xf>
    <xf numFmtId="169" fontId="10" fillId="0" borderId="3" xfId="3" applyNumberFormat="1" applyFont="1" applyBorder="1"/>
    <xf numFmtId="14" fontId="4" fillId="0" borderId="11" xfId="3" applyNumberFormat="1" applyFont="1" applyBorder="1" applyAlignment="1">
      <alignment horizontal="center" vertical="center" wrapText="1"/>
    </xf>
    <xf numFmtId="165" fontId="10" fillId="0" borderId="3" xfId="3" applyNumberFormat="1" applyFont="1" applyBorder="1"/>
    <xf numFmtId="14" fontId="11" fillId="0" borderId="11" xfId="3" applyNumberFormat="1" applyFont="1" applyBorder="1" applyAlignment="1">
      <alignment horizontal="left" indent="1"/>
    </xf>
    <xf numFmtId="0" fontId="12" fillId="0" borderId="13" xfId="3" applyFont="1" applyBorder="1" applyAlignment="1">
      <alignment horizontal="left" indent="1"/>
    </xf>
    <xf numFmtId="0" fontId="12" fillId="0" borderId="14" xfId="3" applyFont="1" applyBorder="1" applyAlignment="1">
      <alignment horizontal="left" indent="1"/>
    </xf>
    <xf numFmtId="0" fontId="13" fillId="0" borderId="15" xfId="3" applyFont="1" applyBorder="1" applyAlignment="1">
      <alignment horizontal="left" indent="1"/>
    </xf>
    <xf numFmtId="165" fontId="10" fillId="0" borderId="4" xfId="1" applyFont="1" applyBorder="1"/>
    <xf numFmtId="169" fontId="10" fillId="0" borderId="4" xfId="3" applyNumberFormat="1" applyFont="1" applyBorder="1"/>
    <xf numFmtId="0" fontId="4" fillId="0" borderId="4" xfId="3" applyFont="1" applyBorder="1" applyAlignment="1">
      <alignment horizontal="center" vertical="center" wrapText="1"/>
    </xf>
    <xf numFmtId="14" fontId="4" fillId="0" borderId="14" xfId="3" applyNumberFormat="1" applyFont="1" applyBorder="1" applyAlignment="1">
      <alignment horizontal="center" vertical="center" wrapText="1"/>
    </xf>
    <xf numFmtId="165" fontId="10" fillId="0" borderId="2" xfId="2" applyNumberFormat="1" applyFont="1" applyBorder="1" applyAlignment="1">
      <alignment horizontal="center"/>
    </xf>
    <xf numFmtId="14" fontId="0" fillId="0" borderId="11" xfId="0" applyNumberFormat="1" applyBorder="1"/>
    <xf numFmtId="169" fontId="4" fillId="0" borderId="3" xfId="3" applyNumberFormat="1" applyFont="1" applyBorder="1" applyAlignment="1">
      <alignment horizontal="center" vertical="center" wrapText="1"/>
    </xf>
    <xf numFmtId="0" fontId="10" fillId="0" borderId="9" xfId="3" applyFont="1" applyBorder="1" applyAlignment="1">
      <alignment horizontal="center"/>
    </xf>
    <xf numFmtId="0" fontId="4" fillId="0" borderId="3" xfId="3" applyFont="1" applyBorder="1" applyAlignment="1">
      <alignment vertical="center" wrapText="1"/>
    </xf>
    <xf numFmtId="10" fontId="2" fillId="0" borderId="0" xfId="2" applyNumberFormat="1" applyFont="1"/>
    <xf numFmtId="10" fontId="5" fillId="0" borderId="4" xfId="2" applyNumberFormat="1" applyFont="1" applyBorder="1" applyAlignment="1">
      <alignment horizontal="center" vertical="center" wrapText="1"/>
    </xf>
    <xf numFmtId="10" fontId="4" fillId="0" borderId="2" xfId="2" applyNumberFormat="1" applyFont="1" applyBorder="1" applyAlignment="1">
      <alignment horizontal="center" vertical="center" wrapText="1"/>
    </xf>
    <xf numFmtId="10" fontId="4" fillId="0" borderId="3" xfId="2" applyNumberFormat="1" applyFont="1" applyBorder="1" applyAlignment="1">
      <alignment horizontal="center" vertical="center" wrapText="1"/>
    </xf>
    <xf numFmtId="10" fontId="10" fillId="0" borderId="2" xfId="2" applyNumberFormat="1" applyFont="1" applyBorder="1" applyAlignment="1">
      <alignment horizontal="center"/>
    </xf>
    <xf numFmtId="10" fontId="10" fillId="0" borderId="3" xfId="2" applyNumberFormat="1" applyFont="1" applyBorder="1" applyAlignment="1">
      <alignment horizontal="center"/>
    </xf>
    <xf numFmtId="10" fontId="10" fillId="0" borderId="4" xfId="2" applyNumberFormat="1" applyFont="1" applyBorder="1" applyAlignment="1">
      <alignment horizontal="center"/>
    </xf>
    <xf numFmtId="10" fontId="0" fillId="0" borderId="0" xfId="2" applyNumberFormat="1" applyFont="1"/>
    <xf numFmtId="0" fontId="15" fillId="0" borderId="7" xfId="3" applyFont="1" applyBorder="1" applyAlignment="1">
      <alignment horizontal="center"/>
    </xf>
    <xf numFmtId="169" fontId="10" fillId="0" borderId="2" xfId="1" applyNumberFormat="1" applyFont="1" applyBorder="1"/>
    <xf numFmtId="169" fontId="10" fillId="0" borderId="3" xfId="1" applyNumberFormat="1" applyFont="1" applyBorder="1"/>
    <xf numFmtId="0" fontId="16" fillId="0" borderId="2" xfId="3" applyFont="1" applyBorder="1" applyAlignment="1">
      <alignment horizontal="center"/>
    </xf>
    <xf numFmtId="14" fontId="0" fillId="0" borderId="0" xfId="0" applyNumberFormat="1" applyBorder="1"/>
    <xf numFmtId="0" fontId="16" fillId="0" borderId="3" xfId="3" applyFont="1" applyBorder="1" applyAlignment="1">
      <alignment horizontal="center"/>
    </xf>
    <xf numFmtId="0" fontId="4" fillId="0" borderId="1" xfId="3" applyFont="1" applyBorder="1" applyAlignment="1">
      <alignment vertical="center" wrapText="1"/>
    </xf>
    <xf numFmtId="9" fontId="10" fillId="0" borderId="2" xfId="2" applyFont="1" applyBorder="1" applyAlignment="1">
      <alignment horizontal="center"/>
    </xf>
    <xf numFmtId="165" fontId="16" fillId="0" borderId="2" xfId="1" applyFont="1" applyBorder="1" applyAlignment="1">
      <alignment horizontal="center" vertical="center" wrapText="1"/>
    </xf>
    <xf numFmtId="0" fontId="4" fillId="0" borderId="2" xfId="3" applyFont="1" applyBorder="1" applyAlignment="1">
      <alignment horizontal="center" vertical="center" wrapText="1"/>
    </xf>
    <xf numFmtId="9" fontId="10" fillId="0" borderId="3" xfId="2" applyFont="1" applyBorder="1" applyAlignment="1">
      <alignment horizontal="center"/>
    </xf>
    <xf numFmtId="9" fontId="10" fillId="0" borderId="2" xfId="1" applyNumberFormat="1" applyFont="1" applyBorder="1" applyAlignment="1">
      <alignment horizontal="center"/>
    </xf>
    <xf numFmtId="0" fontId="4" fillId="0" borderId="7" xfId="3" applyFont="1" applyBorder="1" applyAlignment="1">
      <alignment horizontal="centerContinuous" vertical="center" wrapText="1"/>
    </xf>
    <xf numFmtId="170" fontId="4" fillId="0" borderId="2" xfId="3" applyNumberFormat="1" applyFont="1" applyBorder="1" applyAlignment="1">
      <alignment horizontal="center" vertical="center" wrapText="1"/>
    </xf>
    <xf numFmtId="3" fontId="4" fillId="0" borderId="2" xfId="3" applyNumberFormat="1" applyFont="1" applyBorder="1"/>
    <xf numFmtId="165" fontId="4" fillId="0" borderId="2" xfId="3" applyNumberFormat="1" applyFont="1" applyBorder="1" applyAlignment="1">
      <alignment horizontal="center" vertical="center" wrapText="1"/>
    </xf>
    <xf numFmtId="0" fontId="11" fillId="0" borderId="14" xfId="3" applyFont="1" applyBorder="1" applyAlignment="1">
      <alignment horizontal="left" indent="1"/>
    </xf>
    <xf numFmtId="14" fontId="4" fillId="0" borderId="4" xfId="3" applyNumberFormat="1" applyFont="1" applyBorder="1" applyAlignment="1">
      <alignment horizontal="center" vertical="center" wrapText="1"/>
    </xf>
    <xf numFmtId="0" fontId="0" fillId="0" borderId="0" xfId="0" quotePrefix="1"/>
    <xf numFmtId="0" fontId="19" fillId="0" borderId="0" xfId="3" applyFont="1"/>
    <xf numFmtId="0" fontId="20" fillId="0" borderId="4" xfId="3" applyFont="1" applyBorder="1" applyAlignment="1">
      <alignment horizontal="center" vertical="center" wrapText="1"/>
    </xf>
    <xf numFmtId="0" fontId="10" fillId="0" borderId="7" xfId="3" applyFont="1" applyBorder="1" applyAlignment="1">
      <alignment horizontal="center" vertical="center" wrapText="1"/>
    </xf>
    <xf numFmtId="0" fontId="0" fillId="0" borderId="0" xfId="0" applyFont="1"/>
    <xf numFmtId="0" fontId="11" fillId="0" borderId="9" xfId="3" applyFont="1" applyBorder="1" applyAlignment="1">
      <alignment horizontal="left" indent="1"/>
    </xf>
    <xf numFmtId="0" fontId="4" fillId="0" borderId="2" xfId="3" applyFont="1" applyBorder="1" applyAlignment="1">
      <alignment horizontal="center" vertical="center" wrapText="1"/>
    </xf>
    <xf numFmtId="165" fontId="10" fillId="0" borderId="2" xfId="1" applyNumberFormat="1" applyFont="1" applyBorder="1"/>
    <xf numFmtId="14" fontId="9" fillId="0" borderId="10" xfId="3" applyNumberFormat="1" applyFont="1" applyBorder="1" applyAlignment="1">
      <alignment horizontal="left" indent="1"/>
    </xf>
    <xf numFmtId="0" fontId="17" fillId="0" borderId="2" xfId="3" applyFont="1" applyBorder="1" applyAlignment="1">
      <alignment horizontal="center" vertical="center" wrapText="1"/>
    </xf>
    <xf numFmtId="0" fontId="17" fillId="0" borderId="1" xfId="3" applyFont="1" applyBorder="1" applyAlignment="1">
      <alignment horizontal="center" vertical="center" wrapText="1"/>
    </xf>
    <xf numFmtId="172" fontId="10" fillId="0" borderId="2" xfId="2" applyNumberFormat="1" applyFont="1" applyBorder="1" applyAlignment="1">
      <alignment horizontal="center"/>
    </xf>
    <xf numFmtId="0" fontId="21" fillId="0" borderId="1" xfId="3" applyFont="1" applyBorder="1" applyAlignment="1">
      <alignment vertical="center" wrapText="1"/>
    </xf>
    <xf numFmtId="0" fontId="21" fillId="0" borderId="2" xfId="3" applyFont="1" applyBorder="1" applyAlignment="1">
      <alignment vertical="center" wrapText="1"/>
    </xf>
    <xf numFmtId="0" fontId="21" fillId="0" borderId="3" xfId="3" applyFont="1" applyBorder="1" applyAlignment="1">
      <alignment vertical="center" wrapText="1"/>
    </xf>
    <xf numFmtId="165" fontId="16" fillId="0" borderId="3" xfId="1" applyFont="1" applyBorder="1" applyAlignment="1">
      <alignment horizontal="center" vertical="center" wrapText="1"/>
    </xf>
    <xf numFmtId="165" fontId="21" fillId="0" borderId="1" xfId="1" applyFont="1" applyBorder="1"/>
    <xf numFmtId="165" fontId="21" fillId="0" borderId="1" xfId="3" applyNumberFormat="1" applyFont="1" applyBorder="1"/>
    <xf numFmtId="0" fontId="21" fillId="0" borderId="1" xfId="3" applyFont="1" applyBorder="1" applyAlignment="1">
      <alignment horizontal="center" vertical="center" wrapText="1"/>
    </xf>
    <xf numFmtId="14" fontId="21" fillId="0" borderId="1" xfId="3" applyNumberFormat="1" applyFont="1" applyBorder="1" applyAlignment="1">
      <alignment horizontal="center" vertical="center" wrapText="1"/>
    </xf>
    <xf numFmtId="10" fontId="21" fillId="0" borderId="1" xfId="2" applyNumberFormat="1" applyFont="1" applyBorder="1" applyAlignment="1">
      <alignment horizontal="center" vertical="center" wrapText="1"/>
    </xf>
    <xf numFmtId="165" fontId="21" fillId="0" borderId="1" xfId="1" applyFont="1" applyBorder="1" applyAlignment="1">
      <alignment horizontal="center" vertical="center" wrapText="1"/>
    </xf>
    <xf numFmtId="169" fontId="21" fillId="0" borderId="3" xfId="3" applyNumberFormat="1" applyFont="1" applyBorder="1"/>
    <xf numFmtId="165" fontId="21" fillId="0" borderId="3" xfId="3" applyNumberFormat="1" applyFont="1" applyBorder="1"/>
    <xf numFmtId="0" fontId="21" fillId="0" borderId="3" xfId="3" applyFont="1" applyBorder="1" applyAlignment="1">
      <alignment horizontal="center" vertical="center" wrapText="1"/>
    </xf>
    <xf numFmtId="14" fontId="21" fillId="0" borderId="3" xfId="3" applyNumberFormat="1" applyFont="1" applyBorder="1" applyAlignment="1">
      <alignment horizontal="center" vertical="center" wrapText="1"/>
    </xf>
    <xf numFmtId="10" fontId="21" fillId="0" borderId="3" xfId="2" applyNumberFormat="1" applyFont="1" applyBorder="1" applyAlignment="1">
      <alignment horizontal="center" vertical="center" wrapText="1"/>
    </xf>
    <xf numFmtId="165" fontId="21" fillId="0" borderId="3" xfId="1" applyFont="1" applyBorder="1" applyAlignment="1">
      <alignment horizontal="center" vertical="center" wrapText="1"/>
    </xf>
    <xf numFmtId="169" fontId="21" fillId="0" borderId="3" xfId="1" applyNumberFormat="1" applyFont="1" applyBorder="1"/>
    <xf numFmtId="169" fontId="21" fillId="0" borderId="2" xfId="3" applyNumberFormat="1" applyFont="1" applyBorder="1"/>
    <xf numFmtId="169" fontId="21" fillId="0" borderId="2" xfId="3" applyNumberFormat="1" applyFont="1" applyBorder="1" applyAlignment="1">
      <alignment horizontal="center" vertical="center" wrapText="1"/>
    </xf>
    <xf numFmtId="10" fontId="21" fillId="0" borderId="2" xfId="2" applyNumberFormat="1" applyFont="1" applyBorder="1" applyAlignment="1">
      <alignment horizontal="center" vertical="center" wrapText="1"/>
    </xf>
    <xf numFmtId="171" fontId="21" fillId="0" borderId="3" xfId="1" applyNumberFormat="1" applyFont="1" applyBorder="1"/>
    <xf numFmtId="171" fontId="21" fillId="0" borderId="3" xfId="3" applyNumberFormat="1" applyFont="1" applyBorder="1"/>
    <xf numFmtId="171" fontId="21" fillId="0" borderId="3" xfId="3" applyNumberFormat="1" applyFont="1" applyBorder="1" applyAlignment="1">
      <alignment horizontal="center" vertical="center" wrapText="1"/>
    </xf>
    <xf numFmtId="9" fontId="10" fillId="0" borderId="2" xfId="2" applyNumberFormat="1" applyFont="1" applyBorder="1" applyAlignment="1">
      <alignment horizontal="center"/>
    </xf>
    <xf numFmtId="0" fontId="12" fillId="0" borderId="9" xfId="3" applyFont="1" applyBorder="1" applyAlignment="1" applyProtection="1">
      <alignment horizontal="left" indent="1"/>
      <protection locked="0"/>
    </xf>
    <xf numFmtId="0" fontId="11" fillId="0" borderId="11" xfId="3" applyFont="1" applyBorder="1" applyAlignment="1" applyProtection="1">
      <alignment horizontal="left" indent="1"/>
      <protection locked="0"/>
    </xf>
    <xf numFmtId="0" fontId="13" fillId="0" borderId="10" xfId="3" applyFont="1" applyBorder="1" applyAlignment="1" applyProtection="1">
      <alignment horizontal="left" indent="1"/>
      <protection locked="0"/>
    </xf>
    <xf numFmtId="165" fontId="10" fillId="0" borderId="3" xfId="1" applyFont="1" applyBorder="1" applyProtection="1">
      <protection locked="0"/>
    </xf>
    <xf numFmtId="169" fontId="10" fillId="0" borderId="3" xfId="3" applyNumberFormat="1" applyFont="1" applyBorder="1" applyProtection="1">
      <protection locked="0"/>
    </xf>
    <xf numFmtId="0" fontId="4" fillId="0" borderId="3" xfId="3" applyFont="1" applyBorder="1" applyAlignment="1" applyProtection="1">
      <alignment horizontal="center" vertical="center" wrapText="1"/>
      <protection locked="0"/>
    </xf>
    <xf numFmtId="14" fontId="4" fillId="0" borderId="3" xfId="3" applyNumberFormat="1" applyFont="1" applyBorder="1" applyAlignment="1" applyProtection="1">
      <alignment horizontal="center" vertical="center" wrapText="1"/>
      <protection locked="0"/>
    </xf>
    <xf numFmtId="9" fontId="10" fillId="0" borderId="3" xfId="2" applyFont="1" applyBorder="1" applyAlignment="1" applyProtection="1">
      <alignment horizontal="center"/>
      <protection locked="0"/>
    </xf>
    <xf numFmtId="0" fontId="4" fillId="0" borderId="2" xfId="3" applyFont="1" applyBorder="1" applyAlignment="1" applyProtection="1">
      <alignment vertical="center" wrapText="1"/>
      <protection locked="0"/>
    </xf>
    <xf numFmtId="165" fontId="10" fillId="0" borderId="2" xfId="1" applyFont="1" applyBorder="1" applyProtection="1">
      <protection locked="0"/>
    </xf>
    <xf numFmtId="169" fontId="10" fillId="0" borderId="2" xfId="3" applyNumberFormat="1" applyFont="1" applyBorder="1" applyProtection="1">
      <protection locked="0"/>
    </xf>
    <xf numFmtId="0" fontId="4" fillId="0" borderId="2" xfId="3" applyFont="1" applyBorder="1" applyAlignment="1" applyProtection="1">
      <alignment horizontal="center" vertical="center" wrapText="1"/>
      <protection locked="0"/>
    </xf>
    <xf numFmtId="14" fontId="4" fillId="0" borderId="2" xfId="3" applyNumberFormat="1" applyFont="1" applyBorder="1" applyAlignment="1" applyProtection="1">
      <alignment horizontal="center" vertical="center" wrapText="1"/>
      <protection locked="0"/>
    </xf>
    <xf numFmtId="9" fontId="10" fillId="0" borderId="2" xfId="2" applyFont="1" applyBorder="1" applyAlignment="1" applyProtection="1">
      <alignment horizontal="center"/>
      <protection locked="0"/>
    </xf>
    <xf numFmtId="0" fontId="12" fillId="0" borderId="7" xfId="3" applyFont="1" applyBorder="1" applyAlignment="1" applyProtection="1">
      <alignment horizontal="left" indent="1"/>
      <protection locked="0"/>
    </xf>
    <xf numFmtId="0" fontId="11" fillId="0" borderId="0" xfId="3" applyFont="1" applyBorder="1" applyAlignment="1" applyProtection="1">
      <alignment horizontal="left" indent="1"/>
      <protection locked="0"/>
    </xf>
    <xf numFmtId="0" fontId="13" fillId="0" borderId="8" xfId="3" applyFont="1" applyBorder="1" applyAlignment="1" applyProtection="1">
      <alignment horizontal="left" indent="1"/>
      <protection locked="0"/>
    </xf>
    <xf numFmtId="0" fontId="5" fillId="0" borderId="0" xfId="3" applyFont="1" applyBorder="1" applyAlignment="1">
      <alignment horizontal="center" vertical="center" wrapText="1"/>
    </xf>
    <xf numFmtId="0" fontId="5" fillId="0" borderId="2" xfId="3" applyFont="1" applyBorder="1" applyAlignment="1">
      <alignment horizontal="center" vertical="center" wrapText="1"/>
    </xf>
    <xf numFmtId="10" fontId="5" fillId="0" borderId="2" xfId="2" applyNumberFormat="1" applyFont="1" applyBorder="1" applyAlignment="1">
      <alignment horizontal="center" vertical="center" wrapText="1"/>
    </xf>
    <xf numFmtId="170" fontId="5" fillId="0" borderId="2" xfId="3" applyNumberFormat="1" applyFont="1" applyBorder="1" applyAlignment="1">
      <alignment horizontal="center" vertical="center" wrapText="1"/>
    </xf>
    <xf numFmtId="165" fontId="5" fillId="0" borderId="4" xfId="1" applyFont="1" applyBorder="1" applyAlignment="1">
      <alignment horizontal="center" vertical="center" wrapText="1"/>
    </xf>
    <xf numFmtId="165" fontId="5" fillId="0" borderId="0" xfId="1" applyFont="1" applyBorder="1" applyAlignment="1">
      <alignment horizontal="center" vertical="center" wrapText="1"/>
    </xf>
    <xf numFmtId="9" fontId="12" fillId="0" borderId="7" xfId="2" applyFont="1" applyBorder="1" applyAlignment="1">
      <alignment horizontal="left" indent="1"/>
    </xf>
    <xf numFmtId="9" fontId="11" fillId="0" borderId="0" xfId="2" applyFont="1" applyBorder="1" applyAlignment="1">
      <alignment horizontal="left" indent="1"/>
    </xf>
    <xf numFmtId="9" fontId="11" fillId="0" borderId="7" xfId="2" applyFont="1" applyBorder="1" applyAlignment="1">
      <alignment horizontal="left" indent="1"/>
    </xf>
    <xf numFmtId="9" fontId="12" fillId="0" borderId="0" xfId="2" applyFont="1" applyBorder="1" applyAlignment="1">
      <alignment horizontal="left" indent="1"/>
    </xf>
    <xf numFmtId="9" fontId="12" fillId="0" borderId="11" xfId="2" applyFont="1" applyBorder="1" applyAlignment="1">
      <alignment horizontal="left" indent="1"/>
    </xf>
    <xf numFmtId="165" fontId="0" fillId="0" borderId="0" xfId="0" applyNumberFormat="1"/>
    <xf numFmtId="165" fontId="17" fillId="0" borderId="1" xfId="3" applyNumberFormat="1" applyFont="1" applyBorder="1" applyAlignment="1">
      <alignment vertical="center" wrapText="1"/>
    </xf>
    <xf numFmtId="165" fontId="23" fillId="0" borderId="0" xfId="1" applyFont="1"/>
    <xf numFmtId="165" fontId="10" fillId="0" borderId="0" xfId="1" applyFont="1" applyBorder="1"/>
    <xf numFmtId="165" fontId="10" fillId="0" borderId="0" xfId="0" applyNumberFormat="1" applyFont="1"/>
    <xf numFmtId="0" fontId="0" fillId="0" borderId="0" xfId="0" applyAlignment="1">
      <alignment horizontal="center"/>
    </xf>
    <xf numFmtId="170" fontId="10" fillId="0" borderId="3" xfId="1" applyNumberFormat="1" applyFont="1" applyBorder="1" applyAlignment="1">
      <alignment horizontal="center" vertical="center" wrapText="1"/>
    </xf>
    <xf numFmtId="169" fontId="4" fillId="0" borderId="3" xfId="1" applyNumberFormat="1" applyFont="1" applyBorder="1" applyAlignment="1">
      <alignment horizontal="center" vertical="center" wrapText="1"/>
    </xf>
    <xf numFmtId="169" fontId="4" fillId="0" borderId="3" xfId="3" applyNumberFormat="1" applyFont="1" applyBorder="1"/>
    <xf numFmtId="0" fontId="18" fillId="0" borderId="0" xfId="3" applyFont="1" applyBorder="1" applyAlignment="1">
      <alignment horizontal="left" vertical="center"/>
    </xf>
    <xf numFmtId="0" fontId="18" fillId="0" borderId="8" xfId="3" applyFont="1" applyBorder="1" applyAlignment="1">
      <alignment horizontal="left" vertical="center"/>
    </xf>
    <xf numFmtId="170" fontId="0" fillId="0" borderId="0" xfId="0" applyNumberFormat="1" applyFont="1"/>
    <xf numFmtId="0" fontId="11" fillId="0" borderId="0" xfId="3" applyFont="1"/>
    <xf numFmtId="10" fontId="11" fillId="0" borderId="0" xfId="2" applyNumberFormat="1" applyFont="1"/>
    <xf numFmtId="170" fontId="11" fillId="0" borderId="0" xfId="3" applyNumberFormat="1" applyFont="1"/>
    <xf numFmtId="0" fontId="20" fillId="0" borderId="4" xfId="3" applyFont="1" applyBorder="1" applyAlignment="1">
      <alignment horizontal="centerContinuous" vertical="center" wrapText="1"/>
    </xf>
    <xf numFmtId="0" fontId="25" fillId="0" borderId="4" xfId="3" applyFont="1" applyBorder="1" applyAlignment="1">
      <alignment horizontal="centerContinuous" vertical="center" wrapText="1"/>
    </xf>
    <xf numFmtId="10" fontId="20" fillId="0" borderId="4" xfId="2" applyNumberFormat="1" applyFont="1" applyBorder="1" applyAlignment="1">
      <alignment horizontal="center" vertical="center" wrapText="1"/>
    </xf>
    <xf numFmtId="170" fontId="20" fillId="0" borderId="4" xfId="3" applyNumberFormat="1" applyFont="1" applyBorder="1" applyAlignment="1">
      <alignment horizontal="center" vertical="center" wrapText="1"/>
    </xf>
    <xf numFmtId="165" fontId="20" fillId="0" borderId="4" xfId="1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6" fillId="0" borderId="1" xfId="3" applyFont="1" applyBorder="1" applyAlignment="1">
      <alignment horizontal="center" vertical="center" wrapText="1"/>
    </xf>
    <xf numFmtId="0" fontId="20" fillId="0" borderId="2" xfId="3" applyFont="1" applyBorder="1" applyAlignment="1">
      <alignment horizontal="center" vertical="center" wrapText="1"/>
    </xf>
    <xf numFmtId="10" fontId="20" fillId="0" borderId="2" xfId="2" applyNumberFormat="1" applyFont="1" applyBorder="1" applyAlignment="1">
      <alignment horizontal="center" vertical="center" wrapText="1"/>
    </xf>
    <xf numFmtId="170" fontId="20" fillId="0" borderId="2" xfId="3" applyNumberFormat="1" applyFont="1" applyBorder="1" applyAlignment="1">
      <alignment horizontal="center" vertical="center" wrapText="1"/>
    </xf>
    <xf numFmtId="165" fontId="20" fillId="0" borderId="0" xfId="1" applyFont="1" applyBorder="1" applyAlignment="1">
      <alignment horizontal="center" vertical="center" wrapText="1"/>
    </xf>
    <xf numFmtId="0" fontId="20" fillId="0" borderId="0" xfId="3" applyFont="1" applyBorder="1" applyAlignment="1">
      <alignment horizontal="center" vertical="center" wrapText="1"/>
    </xf>
    <xf numFmtId="0" fontId="16" fillId="0" borderId="2" xfId="3" applyFont="1" applyBorder="1" applyAlignment="1">
      <alignment horizontal="center" vertical="center" wrapText="1"/>
    </xf>
    <xf numFmtId="165" fontId="20" fillId="0" borderId="2" xfId="3" applyNumberFormat="1" applyFont="1" applyBorder="1" applyAlignment="1">
      <alignment horizontal="center" vertical="center" wrapText="1"/>
    </xf>
    <xf numFmtId="14" fontId="20" fillId="0" borderId="2" xfId="2" applyNumberFormat="1" applyFont="1" applyBorder="1" applyAlignment="1">
      <alignment horizontal="center" vertical="center" wrapText="1"/>
    </xf>
    <xf numFmtId="165" fontId="20" fillId="0" borderId="2" xfId="1" applyFont="1" applyBorder="1" applyAlignment="1">
      <alignment horizontal="center" vertical="center" wrapText="1"/>
    </xf>
    <xf numFmtId="9" fontId="20" fillId="0" borderId="2" xfId="2" applyFont="1" applyBorder="1" applyAlignment="1">
      <alignment horizontal="center" vertical="center" wrapText="1"/>
    </xf>
    <xf numFmtId="9" fontId="20" fillId="0" borderId="2" xfId="3" applyNumberFormat="1" applyFont="1" applyBorder="1" applyAlignment="1">
      <alignment horizontal="center" vertical="center" wrapText="1"/>
    </xf>
    <xf numFmtId="165" fontId="16" fillId="0" borderId="1" xfId="1" applyFont="1" applyBorder="1"/>
    <xf numFmtId="14" fontId="16" fillId="0" borderId="1" xfId="3" applyNumberFormat="1" applyFont="1" applyBorder="1" applyAlignment="1">
      <alignment horizontal="center" vertical="center" wrapText="1"/>
    </xf>
    <xf numFmtId="10" fontId="16" fillId="0" borderId="1" xfId="2" applyNumberFormat="1" applyFont="1" applyBorder="1" applyAlignment="1">
      <alignment horizontal="center" vertical="center" wrapText="1"/>
    </xf>
    <xf numFmtId="165" fontId="16" fillId="0" borderId="1" xfId="1" applyFont="1" applyBorder="1" applyAlignment="1">
      <alignment horizontal="center" vertical="center" wrapText="1"/>
    </xf>
    <xf numFmtId="0" fontId="16" fillId="0" borderId="1" xfId="3" applyFont="1" applyBorder="1" applyAlignment="1">
      <alignment vertical="center" wrapText="1"/>
    </xf>
    <xf numFmtId="165" fontId="16" fillId="0" borderId="3" xfId="1" applyFont="1" applyBorder="1"/>
    <xf numFmtId="0" fontId="16" fillId="0" borderId="3" xfId="3" applyFont="1" applyBorder="1" applyAlignment="1">
      <alignment horizontal="center" vertical="center" wrapText="1"/>
    </xf>
    <xf numFmtId="14" fontId="16" fillId="0" borderId="3" xfId="3" applyNumberFormat="1" applyFont="1" applyBorder="1" applyAlignment="1">
      <alignment horizontal="center" vertical="center" wrapText="1"/>
    </xf>
    <xf numFmtId="10" fontId="16" fillId="0" borderId="3" xfId="2" applyNumberFormat="1" applyFont="1" applyBorder="1" applyAlignment="1">
      <alignment horizontal="center" vertical="center" wrapText="1"/>
    </xf>
    <xf numFmtId="169" fontId="16" fillId="0" borderId="3" xfId="3" applyNumberFormat="1" applyFont="1" applyBorder="1"/>
    <xf numFmtId="0" fontId="16" fillId="0" borderId="3" xfId="3" applyFont="1" applyBorder="1" applyAlignment="1">
      <alignment vertical="center" wrapText="1"/>
    </xf>
    <xf numFmtId="0" fontId="20" fillId="0" borderId="0" xfId="3" applyFont="1" applyBorder="1" applyAlignment="1">
      <alignment horizontal="centerContinuous" vertical="center" wrapText="1"/>
    </xf>
    <xf numFmtId="0" fontId="25" fillId="0" borderId="8" xfId="3" applyFont="1" applyBorder="1" applyAlignment="1">
      <alignment horizontal="centerContinuous" vertical="center" wrapText="1"/>
    </xf>
    <xf numFmtId="0" fontId="10" fillId="0" borderId="2" xfId="3" applyFont="1" applyBorder="1" applyAlignment="1">
      <alignment horizontal="center" vertical="center" wrapText="1"/>
    </xf>
    <xf numFmtId="14" fontId="10" fillId="0" borderId="2" xfId="3" applyNumberFormat="1" applyFont="1" applyBorder="1" applyAlignment="1">
      <alignment horizontal="center" vertical="center" wrapText="1"/>
    </xf>
    <xf numFmtId="10" fontId="10" fillId="0" borderId="2" xfId="2" applyNumberFormat="1" applyFont="1" applyBorder="1" applyAlignment="1">
      <alignment horizontal="center" vertical="center" wrapText="1"/>
    </xf>
    <xf numFmtId="170" fontId="10" fillId="0" borderId="2" xfId="3" applyNumberFormat="1" applyFont="1" applyBorder="1" applyAlignment="1">
      <alignment horizontal="center" vertical="center" wrapText="1"/>
    </xf>
    <xf numFmtId="3" fontId="10" fillId="0" borderId="2" xfId="3" applyNumberFormat="1" applyFont="1" applyBorder="1"/>
    <xf numFmtId="0" fontId="10" fillId="0" borderId="2" xfId="3" applyFont="1" applyBorder="1" applyAlignment="1">
      <alignment vertical="center" wrapText="1"/>
    </xf>
    <xf numFmtId="165" fontId="10" fillId="0" borderId="2" xfId="3" applyNumberFormat="1" applyFont="1" applyBorder="1" applyAlignment="1">
      <alignment horizontal="center" vertical="center" wrapText="1"/>
    </xf>
    <xf numFmtId="168" fontId="10" fillId="0" borderId="2" xfId="2" applyNumberFormat="1" applyFont="1" applyBorder="1" applyAlignment="1">
      <alignment horizontal="center" vertical="center" wrapText="1"/>
    </xf>
    <xf numFmtId="165" fontId="10" fillId="0" borderId="2" xfId="2" applyNumberFormat="1" applyFont="1" applyBorder="1" applyAlignment="1">
      <alignment horizontal="center" vertical="center" wrapText="1"/>
    </xf>
    <xf numFmtId="14" fontId="10" fillId="0" borderId="2" xfId="2" applyNumberFormat="1" applyFont="1" applyBorder="1" applyAlignment="1">
      <alignment horizontal="center" vertical="center" wrapText="1"/>
    </xf>
    <xf numFmtId="9" fontId="10" fillId="0" borderId="2" xfId="2" applyFont="1" applyBorder="1" applyAlignment="1">
      <alignment horizontal="center" vertical="center" wrapText="1"/>
    </xf>
    <xf numFmtId="9" fontId="10" fillId="0" borderId="2" xfId="2" applyNumberFormat="1" applyFont="1" applyBorder="1" applyAlignment="1">
      <alignment horizontal="center" vertical="center" wrapText="1"/>
    </xf>
    <xf numFmtId="165" fontId="10" fillId="0" borderId="2" xfId="1" applyNumberFormat="1" applyFont="1" applyBorder="1" applyAlignment="1">
      <alignment horizontal="center" vertical="center" wrapText="1"/>
    </xf>
    <xf numFmtId="3" fontId="10" fillId="0" borderId="8" xfId="3" applyNumberFormat="1" applyFont="1" applyBorder="1" applyAlignment="1">
      <alignment horizontal="left" vertical="center" wrapText="1"/>
    </xf>
    <xf numFmtId="172" fontId="10" fillId="0" borderId="2" xfId="2" applyNumberFormat="1" applyFont="1" applyBorder="1" applyAlignment="1">
      <alignment horizontal="center" vertical="center" wrapText="1"/>
    </xf>
    <xf numFmtId="0" fontId="10" fillId="0" borderId="0" xfId="3" applyFont="1" applyBorder="1" applyAlignment="1">
      <alignment horizontal="centerContinuous" vertical="center" wrapText="1"/>
    </xf>
    <xf numFmtId="14" fontId="10" fillId="0" borderId="2" xfId="3" applyNumberFormat="1" applyFont="1" applyBorder="1"/>
    <xf numFmtId="167" fontId="10" fillId="0" borderId="2" xfId="3" applyNumberFormat="1" applyFont="1" applyBorder="1"/>
    <xf numFmtId="165" fontId="10" fillId="0" borderId="2" xfId="3" applyNumberFormat="1" applyFont="1" applyBorder="1" applyAlignment="1"/>
    <xf numFmtId="169" fontId="10" fillId="0" borderId="2" xfId="3" applyNumberFormat="1" applyFont="1" applyBorder="1" applyAlignment="1">
      <alignment horizontal="center" vertical="center" wrapText="1"/>
    </xf>
    <xf numFmtId="14" fontId="0" fillId="0" borderId="0" xfId="0" applyNumberFormat="1" applyFont="1"/>
    <xf numFmtId="0" fontId="10" fillId="0" borderId="3" xfId="3" applyFont="1" applyBorder="1" applyAlignment="1">
      <alignment horizontal="center" vertical="center" wrapText="1"/>
    </xf>
    <xf numFmtId="14" fontId="10" fillId="0" borderId="3" xfId="3" applyNumberFormat="1" applyFont="1" applyBorder="1" applyAlignment="1">
      <alignment horizontal="center" vertical="center" wrapText="1"/>
    </xf>
    <xf numFmtId="165" fontId="0" fillId="0" borderId="0" xfId="0" applyNumberFormat="1" applyFont="1"/>
    <xf numFmtId="14" fontId="10" fillId="0" borderId="11" xfId="3" applyNumberFormat="1" applyFont="1" applyBorder="1" applyAlignment="1">
      <alignment horizontal="center" vertical="center" wrapText="1"/>
    </xf>
    <xf numFmtId="14" fontId="10" fillId="0" borderId="0" xfId="3" applyNumberFormat="1" applyFont="1" applyBorder="1" applyAlignment="1">
      <alignment horizontal="center" vertical="center" wrapText="1"/>
    </xf>
    <xf numFmtId="0" fontId="10" fillId="0" borderId="3" xfId="3" applyFont="1" applyBorder="1" applyAlignment="1">
      <alignment vertical="center" wrapText="1"/>
    </xf>
    <xf numFmtId="0" fontId="10" fillId="0" borderId="2" xfId="3" applyFont="1" applyBorder="1" applyAlignment="1" applyProtection="1">
      <alignment vertical="center" wrapText="1"/>
      <protection locked="0"/>
    </xf>
    <xf numFmtId="0" fontId="10" fillId="0" borderId="4" xfId="3" applyFont="1" applyBorder="1" applyAlignment="1">
      <alignment horizontal="center" vertical="center" wrapText="1"/>
    </xf>
    <xf numFmtId="14" fontId="10" fillId="0" borderId="4" xfId="3" applyNumberFormat="1" applyFont="1" applyBorder="1" applyAlignment="1">
      <alignment horizontal="center" vertical="center" wrapText="1"/>
    </xf>
    <xf numFmtId="169" fontId="16" fillId="0" borderId="3" xfId="1" applyNumberFormat="1" applyFont="1" applyBorder="1"/>
    <xf numFmtId="14" fontId="10" fillId="0" borderId="14" xfId="3" applyNumberFormat="1" applyFont="1" applyBorder="1" applyAlignment="1">
      <alignment horizontal="center" vertical="center" wrapText="1"/>
    </xf>
    <xf numFmtId="171" fontId="10" fillId="0" borderId="2" xfId="3" applyNumberFormat="1" applyFont="1" applyBorder="1" applyAlignment="1">
      <alignment horizontal="center" vertical="center" wrapText="1"/>
    </xf>
    <xf numFmtId="14" fontId="0" fillId="0" borderId="11" xfId="0" applyNumberFormat="1" applyFont="1" applyBorder="1"/>
    <xf numFmtId="10" fontId="10" fillId="0" borderId="3" xfId="2" applyNumberFormat="1" applyFont="1" applyBorder="1" applyAlignment="1">
      <alignment horizontal="center" vertical="center" wrapText="1"/>
    </xf>
    <xf numFmtId="14" fontId="0" fillId="0" borderId="0" xfId="0" applyNumberFormat="1" applyFont="1" applyBorder="1"/>
    <xf numFmtId="171" fontId="10" fillId="0" borderId="3" xfId="1" applyNumberFormat="1" applyFont="1" applyBorder="1" applyAlignment="1">
      <alignment horizontal="center" vertical="center" wrapText="1"/>
    </xf>
    <xf numFmtId="171" fontId="10" fillId="0" borderId="3" xfId="3" applyNumberFormat="1" applyFont="1" applyBorder="1" applyAlignment="1">
      <alignment horizontal="center" vertical="center" wrapText="1"/>
    </xf>
    <xf numFmtId="169" fontId="10" fillId="0" borderId="3" xfId="3" applyNumberFormat="1" applyFont="1" applyBorder="1" applyAlignment="1">
      <alignment horizontal="center" vertical="center" wrapText="1"/>
    </xf>
    <xf numFmtId="169" fontId="16" fillId="0" borderId="2" xfId="3" applyNumberFormat="1" applyFont="1" applyBorder="1" applyAlignment="1">
      <alignment horizontal="center" vertical="center" wrapText="1"/>
    </xf>
    <xf numFmtId="10" fontId="16" fillId="0" borderId="2" xfId="2" applyNumberFormat="1" applyFont="1" applyBorder="1" applyAlignment="1">
      <alignment horizontal="center" vertical="center" wrapText="1"/>
    </xf>
    <xf numFmtId="0" fontId="16" fillId="0" borderId="2" xfId="3" applyFont="1" applyBorder="1" applyAlignment="1">
      <alignment vertical="center" wrapText="1"/>
    </xf>
    <xf numFmtId="171" fontId="16" fillId="0" borderId="3" xfId="1" applyNumberFormat="1" applyFont="1" applyBorder="1"/>
    <xf numFmtId="171" fontId="16" fillId="0" borderId="3" xfId="3" applyNumberFormat="1" applyFont="1" applyBorder="1" applyAlignment="1">
      <alignment horizontal="center" vertical="center" wrapText="1"/>
    </xf>
    <xf numFmtId="171" fontId="16" fillId="0" borderId="2" xfId="3" applyNumberFormat="1" applyFont="1" applyBorder="1" applyAlignment="1">
      <alignment horizontal="center" vertical="center" wrapText="1"/>
    </xf>
    <xf numFmtId="165" fontId="16" fillId="0" borderId="2" xfId="1" applyFont="1" applyBorder="1" applyAlignment="1">
      <alignment horizontal="left" vertical="center" wrapText="1"/>
    </xf>
    <xf numFmtId="169" fontId="16" fillId="0" borderId="3" xfId="3" applyNumberFormat="1" applyFont="1" applyBorder="1" applyAlignment="1">
      <alignment horizontal="center" vertical="center" wrapText="1"/>
    </xf>
    <xf numFmtId="165" fontId="10" fillId="0" borderId="2" xfId="1" applyFont="1" applyBorder="1" applyAlignment="1">
      <alignment horizontal="center"/>
    </xf>
    <xf numFmtId="0" fontId="20" fillId="0" borderId="1" xfId="3" applyFont="1" applyBorder="1" applyAlignment="1">
      <alignment horizontal="center" vertical="center" wrapText="1"/>
    </xf>
    <xf numFmtId="0" fontId="20" fillId="0" borderId="12" xfId="3" applyFont="1" applyBorder="1" applyAlignment="1">
      <alignment horizontal="centerContinuous" vertical="center" wrapText="1"/>
    </xf>
    <xf numFmtId="0" fontId="25" fillId="0" borderId="6" xfId="3" applyFont="1" applyBorder="1" applyAlignment="1">
      <alignment horizontal="centerContinuous" vertical="center" wrapText="1"/>
    </xf>
    <xf numFmtId="165" fontId="16" fillId="0" borderId="2" xfId="1" applyFont="1" applyBorder="1"/>
    <xf numFmtId="14" fontId="16" fillId="0" borderId="2" xfId="3" applyNumberFormat="1" applyFont="1" applyBorder="1" applyAlignment="1">
      <alignment horizontal="center" vertical="center" wrapText="1"/>
    </xf>
    <xf numFmtId="0" fontId="15" fillId="0" borderId="2" xfId="3" applyFont="1" applyBorder="1" applyAlignment="1">
      <alignment vertical="center" wrapText="1"/>
    </xf>
    <xf numFmtId="0" fontId="26" fillId="0" borderId="0" xfId="0" applyFont="1"/>
    <xf numFmtId="0" fontId="16" fillId="0" borderId="2" xfId="3" applyFont="1" applyBorder="1" applyAlignment="1">
      <alignment horizontal="center" vertical="center" wrapText="1"/>
    </xf>
    <xf numFmtId="0" fontId="4" fillId="0" borderId="7" xfId="3" applyFont="1" applyBorder="1" applyAlignment="1">
      <alignment horizontal="center" vertical="center" wrapText="1"/>
    </xf>
    <xf numFmtId="0" fontId="17" fillId="2" borderId="5" xfId="3" applyFont="1" applyFill="1" applyBorder="1" applyAlignment="1">
      <alignment horizontal="center"/>
    </xf>
    <xf numFmtId="0" fontId="17" fillId="0" borderId="9" xfId="3" applyFont="1" applyBorder="1" applyAlignment="1">
      <alignment horizontal="center"/>
    </xf>
    <xf numFmtId="0" fontId="4" fillId="0" borderId="7" xfId="3" applyFont="1" applyBorder="1" applyAlignment="1">
      <alignment horizontal="center"/>
    </xf>
    <xf numFmtId="0" fontId="17" fillId="0" borderId="5" xfId="3" applyFont="1" applyBorder="1" applyAlignment="1">
      <alignment horizontal="center"/>
    </xf>
    <xf numFmtId="0" fontId="4" fillId="0" borderId="9" xfId="3" applyFont="1" applyBorder="1" applyAlignment="1">
      <alignment horizontal="center"/>
    </xf>
    <xf numFmtId="0" fontId="17" fillId="0" borderId="7" xfId="3" applyFont="1" applyBorder="1" applyAlignment="1">
      <alignment horizontal="center"/>
    </xf>
    <xf numFmtId="0" fontId="17" fillId="0" borderId="3" xfId="3" applyFont="1" applyBorder="1" applyAlignment="1">
      <alignment horizontal="center"/>
    </xf>
    <xf numFmtId="0" fontId="10" fillId="0" borderId="2" xfId="3" applyFont="1" applyBorder="1" applyAlignment="1" applyProtection="1">
      <alignment horizontal="center" vertical="center" wrapText="1"/>
      <protection locked="0"/>
    </xf>
    <xf numFmtId="14" fontId="10" fillId="0" borderId="2" xfId="3" applyNumberFormat="1" applyFont="1" applyBorder="1" applyAlignment="1" applyProtection="1">
      <alignment horizontal="center" vertical="center" wrapText="1"/>
      <protection locked="0"/>
    </xf>
    <xf numFmtId="9" fontId="10" fillId="0" borderId="2" xfId="3" applyNumberFormat="1" applyFont="1" applyBorder="1" applyAlignment="1">
      <alignment horizontal="center" vertical="center" wrapText="1"/>
    </xf>
    <xf numFmtId="0" fontId="17" fillId="0" borderId="2" xfId="3" applyFont="1" applyBorder="1" applyAlignment="1">
      <alignment horizontal="center" vertical="center" wrapText="1"/>
    </xf>
    <xf numFmtId="9" fontId="16" fillId="0" borderId="1" xfId="2" applyFont="1" applyBorder="1" applyAlignment="1">
      <alignment horizontal="center"/>
    </xf>
    <xf numFmtId="0" fontId="18" fillId="0" borderId="0" xfId="3" applyFont="1" applyBorder="1" applyAlignment="1">
      <alignment horizontal="left" vertical="center"/>
    </xf>
    <xf numFmtId="0" fontId="18" fillId="0" borderId="8" xfId="3" applyFont="1" applyBorder="1" applyAlignment="1">
      <alignment horizontal="left" vertical="center"/>
    </xf>
    <xf numFmtId="0" fontId="16" fillId="0" borderId="2" xfId="3" applyFont="1" applyBorder="1" applyAlignment="1">
      <alignment horizontal="center" vertical="center" wrapText="1"/>
    </xf>
    <xf numFmtId="0" fontId="5" fillId="0" borderId="7" xfId="3" applyFont="1" applyBorder="1" applyAlignment="1">
      <alignment horizontal="center" vertical="center" wrapText="1"/>
    </xf>
    <xf numFmtId="0" fontId="4" fillId="3" borderId="7" xfId="3" applyFont="1" applyFill="1" applyBorder="1" applyAlignment="1">
      <alignment horizontal="center"/>
    </xf>
    <xf numFmtId="169" fontId="10" fillId="0" borderId="3" xfId="1" applyNumberFormat="1" applyFont="1" applyBorder="1" applyAlignment="1">
      <alignment horizontal="center" vertical="center" wrapText="1"/>
    </xf>
    <xf numFmtId="0" fontId="4" fillId="0" borderId="2" xfId="3" applyFont="1" applyBorder="1" applyAlignment="1">
      <alignment horizontal="center"/>
    </xf>
    <xf numFmtId="14" fontId="0" fillId="0" borderId="2" xfId="0" applyNumberFormat="1" applyFont="1" applyBorder="1"/>
    <xf numFmtId="0" fontId="0" fillId="0" borderId="2" xfId="0" applyFont="1" applyBorder="1"/>
    <xf numFmtId="0" fontId="4" fillId="0" borderId="3" xfId="3" applyFont="1" applyBorder="1" applyAlignment="1">
      <alignment horizontal="center"/>
    </xf>
    <xf numFmtId="0" fontId="0" fillId="0" borderId="3" xfId="0" applyFont="1" applyBorder="1"/>
    <xf numFmtId="0" fontId="0" fillId="0" borderId="0" xfId="0" applyFont="1" applyBorder="1"/>
    <xf numFmtId="0" fontId="0" fillId="0" borderId="8" xfId="0" applyFont="1" applyBorder="1"/>
    <xf numFmtId="0" fontId="0" fillId="0" borderId="11" xfId="0" applyFont="1" applyBorder="1"/>
    <xf numFmtId="0" fontId="0" fillId="0" borderId="10" xfId="0" applyFont="1" applyBorder="1"/>
    <xf numFmtId="165" fontId="10" fillId="0" borderId="2" xfId="0" applyNumberFormat="1" applyFont="1" applyBorder="1"/>
    <xf numFmtId="168" fontId="20" fillId="0" borderId="2" xfId="2" applyNumberFormat="1" applyFont="1" applyBorder="1" applyAlignment="1">
      <alignment horizontal="center" vertical="center" wrapText="1"/>
    </xf>
    <xf numFmtId="0" fontId="27" fillId="0" borderId="7" xfId="3" applyFont="1" applyBorder="1" applyAlignment="1">
      <alignment horizontal="left" vertical="center"/>
    </xf>
    <xf numFmtId="0" fontId="5" fillId="0" borderId="7" xfId="3" applyFont="1" applyBorder="1" applyAlignment="1">
      <alignment horizontal="centerContinuous" vertical="center" wrapText="1"/>
    </xf>
    <xf numFmtId="0" fontId="28" fillId="0" borderId="7" xfId="3" applyFont="1" applyBorder="1" applyAlignment="1">
      <alignment horizontal="left" vertical="center"/>
    </xf>
    <xf numFmtId="0" fontId="4" fillId="0" borderId="7" xfId="3" applyFont="1" applyBorder="1" applyAlignment="1">
      <alignment horizontal="left" vertical="center" wrapText="1"/>
    </xf>
    <xf numFmtId="0" fontId="29" fillId="0" borderId="7" xfId="14" applyFont="1" applyBorder="1" applyAlignment="1">
      <alignment horizontal="left" vertical="center"/>
    </xf>
    <xf numFmtId="0" fontId="4" fillId="0" borderId="7" xfId="3" applyFont="1" applyBorder="1" applyAlignment="1">
      <alignment horizontal="left" vertical="center"/>
    </xf>
    <xf numFmtId="0" fontId="30" fillId="0" borderId="7" xfId="3" applyFont="1" applyBorder="1" applyAlignment="1">
      <alignment horizontal="left" indent="1"/>
    </xf>
    <xf numFmtId="0" fontId="2" fillId="0" borderId="7" xfId="3" applyFont="1" applyBorder="1" applyAlignment="1">
      <alignment horizontal="left" indent="1"/>
    </xf>
    <xf numFmtId="9" fontId="30" fillId="0" borderId="7" xfId="2" applyFont="1" applyBorder="1" applyAlignment="1">
      <alignment horizontal="left" indent="1"/>
    </xf>
    <xf numFmtId="9" fontId="2" fillId="0" borderId="7" xfId="2" applyFont="1" applyBorder="1" applyAlignment="1">
      <alignment horizontal="left" indent="1"/>
    </xf>
    <xf numFmtId="9" fontId="30" fillId="0" borderId="9" xfId="2" applyFont="1" applyBorder="1" applyAlignment="1">
      <alignment horizontal="left" indent="1"/>
    </xf>
    <xf numFmtId="0" fontId="30" fillId="0" borderId="9" xfId="3" applyFont="1" applyBorder="1" applyAlignment="1">
      <alignment horizontal="left" indent="1"/>
    </xf>
    <xf numFmtId="0" fontId="30" fillId="0" borderId="9" xfId="3" applyFont="1" applyBorder="1" applyAlignment="1" applyProtection="1">
      <alignment horizontal="left" indent="1"/>
      <protection locked="0"/>
    </xf>
    <xf numFmtId="0" fontId="2" fillId="0" borderId="9" xfId="3" applyFont="1" applyBorder="1" applyAlignment="1">
      <alignment horizontal="left" indent="1"/>
    </xf>
    <xf numFmtId="165" fontId="30" fillId="0" borderId="7" xfId="3" applyNumberFormat="1" applyFont="1" applyBorder="1" applyAlignment="1">
      <alignment horizontal="left" indent="1"/>
    </xf>
    <xf numFmtId="0" fontId="30" fillId="0" borderId="13" xfId="3" applyFont="1" applyBorder="1" applyAlignment="1">
      <alignment horizontal="left" indent="1"/>
    </xf>
    <xf numFmtId="0" fontId="31" fillId="0" borderId="7" xfId="0" applyFont="1" applyBorder="1"/>
    <xf numFmtId="0" fontId="26" fillId="0" borderId="9" xfId="0" applyFont="1" applyBorder="1"/>
    <xf numFmtId="0" fontId="27" fillId="0" borderId="0" xfId="3" applyFont="1" applyBorder="1" applyAlignment="1">
      <alignment horizontal="left" vertical="center"/>
    </xf>
    <xf numFmtId="0" fontId="27" fillId="0" borderId="8" xfId="3" applyFont="1" applyBorder="1" applyAlignment="1">
      <alignment horizontal="left" vertical="center"/>
    </xf>
    <xf numFmtId="0" fontId="16" fillId="0" borderId="2" xfId="3" applyFont="1" applyBorder="1" applyAlignment="1">
      <alignment horizontal="center" vertical="center" wrapText="1"/>
    </xf>
    <xf numFmtId="165" fontId="15" fillId="0" borderId="3" xfId="3" applyNumberFormat="1" applyFont="1" applyBorder="1"/>
    <xf numFmtId="0" fontId="32" fillId="0" borderId="7" xfId="3" applyFont="1" applyBorder="1" applyAlignment="1">
      <alignment horizontal="left" vertical="center"/>
    </xf>
    <xf numFmtId="165" fontId="16" fillId="0" borderId="1" xfId="2" applyNumberFormat="1" applyFont="1" applyBorder="1" applyAlignment="1">
      <alignment horizontal="center"/>
    </xf>
    <xf numFmtId="173" fontId="20" fillId="0" borderId="2" xfId="2" applyNumberFormat="1" applyFont="1" applyBorder="1" applyAlignment="1">
      <alignment horizontal="center" vertical="center" wrapText="1"/>
    </xf>
    <xf numFmtId="0" fontId="15" fillId="0" borderId="7" xfId="3" applyFont="1" applyBorder="1" applyAlignment="1">
      <alignment horizontal="center" vertical="center" wrapText="1"/>
    </xf>
    <xf numFmtId="0" fontId="4" fillId="0" borderId="0" xfId="3" applyFont="1" applyBorder="1" applyAlignment="1">
      <alignment horizontal="left" vertical="center" wrapText="1"/>
    </xf>
    <xf numFmtId="0" fontId="4" fillId="0" borderId="8" xfId="3" applyFont="1" applyBorder="1" applyAlignment="1">
      <alignment horizontal="left" vertical="center" wrapText="1"/>
    </xf>
    <xf numFmtId="3" fontId="4" fillId="0" borderId="8" xfId="3" applyNumberFormat="1" applyFont="1" applyBorder="1" applyAlignment="1">
      <alignment horizontal="left" vertical="center" wrapText="1"/>
    </xf>
    <xf numFmtId="0" fontId="4" fillId="0" borderId="7" xfId="3" applyFont="1" applyBorder="1" applyAlignment="1">
      <alignment horizontal="left" vertical="center" wrapText="1"/>
    </xf>
    <xf numFmtId="0" fontId="4" fillId="0" borderId="0" xfId="3" applyFont="1" applyBorder="1" applyAlignment="1">
      <alignment horizontal="left" vertical="center" wrapText="1"/>
    </xf>
    <xf numFmtId="0" fontId="4" fillId="0" borderId="8" xfId="3" applyFont="1" applyBorder="1" applyAlignment="1">
      <alignment horizontal="left" vertical="center" wrapText="1"/>
    </xf>
    <xf numFmtId="0" fontId="15" fillId="3" borderId="7" xfId="3" applyFont="1" applyFill="1" applyBorder="1" applyAlignment="1">
      <alignment horizontal="center" vertical="center" wrapText="1"/>
    </xf>
    <xf numFmtId="0" fontId="10" fillId="3" borderId="2" xfId="3" applyFont="1" applyFill="1" applyBorder="1" applyAlignment="1">
      <alignment horizontal="center"/>
    </xf>
    <xf numFmtId="0" fontId="2" fillId="3" borderId="7" xfId="3" applyFont="1" applyFill="1" applyBorder="1" applyAlignment="1">
      <alignment horizontal="left" indent="1"/>
    </xf>
    <xf numFmtId="0" fontId="11" fillId="3" borderId="0" xfId="3" applyFont="1" applyFill="1" applyBorder="1" applyAlignment="1">
      <alignment horizontal="left" indent="1"/>
    </xf>
    <xf numFmtId="0" fontId="9" fillId="3" borderId="8" xfId="3" applyFont="1" applyFill="1" applyBorder="1" applyAlignment="1">
      <alignment horizontal="left" indent="1"/>
    </xf>
    <xf numFmtId="165" fontId="10" fillId="3" borderId="2" xfId="3" applyNumberFormat="1" applyFont="1" applyFill="1" applyBorder="1"/>
    <xf numFmtId="0" fontId="10" fillId="3" borderId="2" xfId="3" applyFont="1" applyFill="1" applyBorder="1" applyAlignment="1">
      <alignment horizontal="center" vertical="center" wrapText="1"/>
    </xf>
    <xf numFmtId="14" fontId="10" fillId="3" borderId="2" xfId="3" applyNumberFormat="1" applyFont="1" applyFill="1" applyBorder="1" applyAlignment="1">
      <alignment horizontal="center" vertical="center" wrapText="1"/>
    </xf>
    <xf numFmtId="10" fontId="10" fillId="3" borderId="2" xfId="2" applyNumberFormat="1" applyFont="1" applyFill="1" applyBorder="1" applyAlignment="1">
      <alignment horizontal="center" vertical="center" wrapText="1"/>
    </xf>
    <xf numFmtId="165" fontId="10" fillId="3" borderId="2" xfId="1" applyFont="1" applyFill="1" applyBorder="1" applyAlignment="1">
      <alignment horizontal="center" vertical="center" wrapText="1"/>
    </xf>
    <xf numFmtId="165" fontId="10" fillId="3" borderId="2" xfId="1" applyFont="1" applyFill="1" applyBorder="1"/>
    <xf numFmtId="0" fontId="10" fillId="3" borderId="2" xfId="3" applyFont="1" applyFill="1" applyBorder="1" applyAlignment="1">
      <alignment vertical="center" wrapText="1"/>
    </xf>
    <xf numFmtId="0" fontId="0" fillId="3" borderId="0" xfId="0" applyFont="1" applyFill="1"/>
    <xf numFmtId="165" fontId="0" fillId="3" borderId="0" xfId="1" applyFont="1" applyFill="1"/>
    <xf numFmtId="0" fontId="4" fillId="0" borderId="5" xfId="3" applyFont="1" applyBorder="1" applyAlignment="1">
      <alignment horizontal="center"/>
    </xf>
    <xf numFmtId="0" fontId="30" fillId="0" borderId="5" xfId="3" applyFont="1" applyBorder="1" applyAlignment="1">
      <alignment horizontal="left" indent="1"/>
    </xf>
    <xf numFmtId="0" fontId="11" fillId="0" borderId="12" xfId="3" applyFont="1" applyBorder="1" applyAlignment="1">
      <alignment horizontal="left" indent="1"/>
    </xf>
    <xf numFmtId="0" fontId="13" fillId="0" borderId="6" xfId="3" applyFont="1" applyBorder="1" applyAlignment="1">
      <alignment horizontal="left" indent="1"/>
    </xf>
    <xf numFmtId="165" fontId="10" fillId="0" borderId="1" xfId="1" applyFont="1" applyBorder="1"/>
    <xf numFmtId="169" fontId="10" fillId="0" borderId="1" xfId="3" applyNumberFormat="1" applyFont="1" applyBorder="1"/>
    <xf numFmtId="0" fontId="10" fillId="0" borderId="1" xfId="3" applyFont="1" applyBorder="1" applyAlignment="1">
      <alignment horizontal="center" vertical="center" wrapText="1"/>
    </xf>
    <xf numFmtId="14" fontId="10" fillId="0" borderId="1" xfId="3" applyNumberFormat="1" applyFont="1" applyBorder="1" applyAlignment="1">
      <alignment horizontal="center" vertical="center" wrapText="1"/>
    </xf>
    <xf numFmtId="10" fontId="10" fillId="0" borderId="1" xfId="2" applyNumberFormat="1" applyFont="1" applyBorder="1" applyAlignment="1">
      <alignment horizontal="center"/>
    </xf>
    <xf numFmtId="0" fontId="10" fillId="0" borderId="1" xfId="3" applyFont="1" applyBorder="1" applyAlignment="1">
      <alignment vertical="center" wrapText="1"/>
    </xf>
    <xf numFmtId="0" fontId="18" fillId="0" borderId="0" xfId="3" applyFont="1" applyBorder="1" applyAlignment="1">
      <alignment horizontal="left" vertical="center"/>
    </xf>
    <xf numFmtId="0" fontId="18" fillId="0" borderId="8" xfId="3" applyFont="1" applyBorder="1" applyAlignment="1">
      <alignment horizontal="left" vertical="center"/>
    </xf>
    <xf numFmtId="0" fontId="16" fillId="0" borderId="2" xfId="3" applyFont="1" applyBorder="1" applyAlignment="1">
      <alignment horizontal="center" vertical="center" wrapText="1"/>
    </xf>
    <xf numFmtId="0" fontId="12" fillId="0" borderId="0" xfId="3" applyFont="1" applyBorder="1" applyAlignment="1">
      <alignment horizontal="left" vertical="center"/>
    </xf>
    <xf numFmtId="0" fontId="18" fillId="0" borderId="7" xfId="3" applyFont="1" applyBorder="1" applyAlignment="1">
      <alignment horizontal="left" vertical="center"/>
    </xf>
    <xf numFmtId="0" fontId="18" fillId="0" borderId="0" xfId="3" applyFont="1" applyBorder="1" applyAlignment="1">
      <alignment horizontal="left" vertical="center"/>
    </xf>
    <xf numFmtId="0" fontId="18" fillId="0" borderId="8" xfId="3" applyFont="1" applyBorder="1" applyAlignment="1">
      <alignment horizontal="left" vertical="center"/>
    </xf>
    <xf numFmtId="0" fontId="16" fillId="0" borderId="2" xfId="3" applyFont="1" applyBorder="1" applyAlignment="1">
      <alignment horizontal="center" vertical="center" wrapText="1"/>
    </xf>
    <xf numFmtId="0" fontId="18" fillId="0" borderId="7" xfId="3" applyFont="1" applyBorder="1" applyAlignment="1">
      <alignment horizontal="center" vertical="center"/>
    </xf>
    <xf numFmtId="0" fontId="18" fillId="0" borderId="0" xfId="3" applyFont="1" applyBorder="1" applyAlignment="1">
      <alignment horizontal="center" vertical="center"/>
    </xf>
    <xf numFmtId="0" fontId="18" fillId="0" borderId="8" xfId="3" applyFont="1" applyBorder="1" applyAlignment="1">
      <alignment horizontal="center" vertical="center"/>
    </xf>
    <xf numFmtId="165" fontId="33" fillId="0" borderId="2" xfId="3" applyNumberFormat="1" applyFont="1" applyBorder="1" applyAlignment="1">
      <alignment horizontal="center" vertical="center" wrapText="1"/>
    </xf>
    <xf numFmtId="165" fontId="15" fillId="0" borderId="2" xfId="3" applyNumberFormat="1" applyFont="1" applyBorder="1" applyAlignment="1">
      <alignment horizontal="center" vertical="center" wrapText="1"/>
    </xf>
    <xf numFmtId="0" fontId="8" fillId="0" borderId="0" xfId="3" applyFont="1" applyAlignment="1">
      <alignment horizontal="center" vertical="center"/>
    </xf>
    <xf numFmtId="0" fontId="12" fillId="0" borderId="5" xfId="3" applyFont="1" applyBorder="1" applyAlignment="1">
      <alignment horizontal="center" vertical="center"/>
    </xf>
    <xf numFmtId="0" fontId="12" fillId="0" borderId="12" xfId="3" applyFont="1" applyBorder="1" applyAlignment="1">
      <alignment horizontal="center" vertical="center"/>
    </xf>
    <xf numFmtId="0" fontId="12" fillId="0" borderId="6" xfId="3" applyFont="1" applyBorder="1" applyAlignment="1">
      <alignment horizontal="center" vertical="center"/>
    </xf>
    <xf numFmtId="0" fontId="12" fillId="0" borderId="7" xfId="3" applyFont="1" applyBorder="1" applyAlignment="1">
      <alignment horizontal="center" vertical="center"/>
    </xf>
    <xf numFmtId="0" fontId="12" fillId="0" borderId="0" xfId="3" applyFont="1" applyBorder="1" applyAlignment="1">
      <alignment horizontal="center" vertical="center"/>
    </xf>
    <xf numFmtId="0" fontId="12" fillId="0" borderId="8" xfId="3" applyFont="1" applyBorder="1" applyAlignment="1">
      <alignment horizontal="center" vertical="center"/>
    </xf>
    <xf numFmtId="0" fontId="12" fillId="0" borderId="9" xfId="3" applyFont="1" applyBorder="1" applyAlignment="1">
      <alignment horizontal="center" vertical="center"/>
    </xf>
    <xf numFmtId="0" fontId="12" fillId="0" borderId="11" xfId="3" applyFont="1" applyBorder="1" applyAlignment="1">
      <alignment horizontal="center" vertical="center"/>
    </xf>
    <xf numFmtId="0" fontId="12" fillId="0" borderId="10" xfId="3" applyFont="1" applyBorder="1" applyAlignment="1">
      <alignment horizontal="center" vertical="center"/>
    </xf>
    <xf numFmtId="0" fontId="12" fillId="0" borderId="7" xfId="3" applyFont="1" applyBorder="1" applyAlignment="1">
      <alignment horizontal="left"/>
    </xf>
    <xf numFmtId="0" fontId="12" fillId="0" borderId="0" xfId="3" applyFont="1" applyBorder="1" applyAlignment="1">
      <alignment horizontal="left"/>
    </xf>
    <xf numFmtId="165" fontId="23" fillId="0" borderId="2" xfId="3" applyNumberFormat="1" applyFont="1" applyBorder="1" applyAlignment="1">
      <alignment horizontal="center" vertical="center" wrapText="1"/>
    </xf>
    <xf numFmtId="0" fontId="18" fillId="0" borderId="5" xfId="3" applyFont="1" applyBorder="1" applyAlignment="1">
      <alignment horizontal="center" vertical="center"/>
    </xf>
    <xf numFmtId="0" fontId="18" fillId="0" borderId="12" xfId="3" applyFont="1" applyBorder="1" applyAlignment="1">
      <alignment horizontal="center" vertical="center"/>
    </xf>
    <xf numFmtId="0" fontId="18" fillId="0" borderId="6" xfId="3" applyFont="1" applyBorder="1" applyAlignment="1">
      <alignment horizontal="center" vertical="center"/>
    </xf>
    <xf numFmtId="0" fontId="18" fillId="0" borderId="9" xfId="3" applyFont="1" applyBorder="1" applyAlignment="1">
      <alignment horizontal="center" vertical="center"/>
    </xf>
    <xf numFmtId="0" fontId="18" fillId="0" borderId="11" xfId="3" applyFont="1" applyBorder="1" applyAlignment="1">
      <alignment horizontal="center" vertical="center"/>
    </xf>
    <xf numFmtId="0" fontId="18" fillId="0" borderId="10" xfId="3" applyFont="1" applyBorder="1" applyAlignment="1">
      <alignment horizontal="center" vertical="center"/>
    </xf>
    <xf numFmtId="0" fontId="18" fillId="0" borderId="7" xfId="3" applyFont="1" applyBorder="1" applyAlignment="1">
      <alignment horizontal="left" vertical="center"/>
    </xf>
    <xf numFmtId="0" fontId="18" fillId="0" borderId="0" xfId="3" applyFont="1" applyBorder="1" applyAlignment="1">
      <alignment horizontal="left" vertical="center"/>
    </xf>
    <xf numFmtId="0" fontId="18" fillId="0" borderId="8" xfId="3" applyFont="1" applyBorder="1" applyAlignment="1">
      <alignment horizontal="left" vertical="center"/>
    </xf>
    <xf numFmtId="0" fontId="16" fillId="0" borderId="2" xfId="3" applyFont="1" applyBorder="1" applyAlignment="1">
      <alignment horizontal="center" vertical="center" wrapText="1"/>
    </xf>
    <xf numFmtId="0" fontId="18" fillId="3" borderId="7" xfId="3" applyFont="1" applyFill="1" applyBorder="1" applyAlignment="1">
      <alignment horizontal="left" vertical="center"/>
    </xf>
    <xf numFmtId="0" fontId="18" fillId="3" borderId="0" xfId="3" applyFont="1" applyFill="1" applyBorder="1" applyAlignment="1">
      <alignment horizontal="left" vertical="center"/>
    </xf>
    <xf numFmtId="0" fontId="18" fillId="3" borderId="8" xfId="3" applyFont="1" applyFill="1" applyBorder="1" applyAlignment="1">
      <alignment horizontal="left" vertical="center"/>
    </xf>
    <xf numFmtId="0" fontId="4" fillId="0" borderId="7" xfId="3" applyFont="1" applyBorder="1" applyAlignment="1">
      <alignment horizontal="left" vertical="center" wrapText="1"/>
    </xf>
    <xf numFmtId="0" fontId="4" fillId="0" borderId="0" xfId="3" applyFont="1" applyBorder="1" applyAlignment="1">
      <alignment horizontal="left" vertical="center" wrapText="1"/>
    </xf>
    <xf numFmtId="0" fontId="4" fillId="0" borderId="8" xfId="3" applyFont="1" applyBorder="1" applyAlignment="1">
      <alignment horizontal="left" vertical="center" wrapText="1"/>
    </xf>
    <xf numFmtId="0" fontId="18" fillId="0" borderId="7" xfId="3" applyFont="1" applyBorder="1" applyAlignment="1">
      <alignment horizontal="center" vertical="center"/>
    </xf>
    <xf numFmtId="0" fontId="18" fillId="0" borderId="0" xfId="3" applyFont="1" applyBorder="1" applyAlignment="1">
      <alignment horizontal="center" vertical="center"/>
    </xf>
    <xf numFmtId="0" fontId="18" fillId="0" borderId="8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17" fillId="0" borderId="2" xfId="3" applyFont="1" applyBorder="1" applyAlignment="1">
      <alignment horizontal="center" vertical="center" wrapText="1"/>
    </xf>
    <xf numFmtId="0" fontId="18" fillId="0" borderId="5" xfId="3" applyFont="1" applyBorder="1" applyAlignment="1">
      <alignment horizontal="left" vertical="center"/>
    </xf>
    <xf numFmtId="0" fontId="18" fillId="0" borderId="12" xfId="3" applyFont="1" applyBorder="1" applyAlignment="1">
      <alignment horizontal="left" vertical="center"/>
    </xf>
    <xf numFmtId="0" fontId="18" fillId="0" borderId="6" xfId="3" applyFont="1" applyBorder="1" applyAlignment="1">
      <alignment horizontal="left" vertical="center"/>
    </xf>
    <xf numFmtId="0" fontId="20" fillId="0" borderId="5" xfId="3" applyFont="1" applyBorder="1" applyAlignment="1">
      <alignment horizontal="center" vertical="center" wrapText="1"/>
    </xf>
    <xf numFmtId="0" fontId="20" fillId="0" borderId="5" xfId="3" applyFont="1" applyBorder="1" applyAlignment="1">
      <alignment horizontal="centerContinuous" vertical="center" wrapText="1"/>
    </xf>
    <xf numFmtId="0" fontId="20" fillId="0" borderId="7" xfId="3" applyFont="1" applyBorder="1" applyAlignment="1">
      <alignment horizontal="center" vertical="center" wrapText="1"/>
    </xf>
    <xf numFmtId="0" fontId="20" fillId="0" borderId="7" xfId="3" applyFont="1" applyBorder="1" applyAlignment="1">
      <alignment horizontal="centerContinuous" vertical="center" wrapText="1"/>
    </xf>
    <xf numFmtId="0" fontId="20" fillId="0" borderId="7" xfId="3" applyFont="1" applyBorder="1" applyAlignment="1">
      <alignment horizontal="left" vertical="center" wrapText="1"/>
    </xf>
    <xf numFmtId="0" fontId="20" fillId="0" borderId="0" xfId="3" applyFont="1" applyBorder="1" applyAlignment="1">
      <alignment horizontal="left" vertical="center" wrapText="1"/>
    </xf>
    <xf numFmtId="0" fontId="20" fillId="0" borderId="8" xfId="3" applyFont="1" applyBorder="1" applyAlignment="1">
      <alignment horizontal="left" vertical="center" wrapText="1"/>
    </xf>
    <xf numFmtId="0" fontId="20" fillId="0" borderId="7" xfId="3" applyFont="1" applyBorder="1" applyAlignment="1">
      <alignment horizontal="left" vertical="center" wrapText="1"/>
    </xf>
    <xf numFmtId="0" fontId="20" fillId="0" borderId="0" xfId="3" applyFont="1" applyBorder="1" applyAlignment="1">
      <alignment horizontal="left" vertical="center" wrapText="1"/>
    </xf>
    <xf numFmtId="0" fontId="20" fillId="0" borderId="8" xfId="3" applyFont="1" applyBorder="1" applyAlignment="1">
      <alignment horizontal="left" vertical="center" wrapText="1"/>
    </xf>
  </cellXfs>
  <cellStyles count="15">
    <cellStyle name="0,0_x000d__x000a_NA_x000d__x000a_" xfId="4"/>
    <cellStyle name="Comma [0]" xfId="1" builtinId="6"/>
    <cellStyle name="Comma [0] 2" xfId="6"/>
    <cellStyle name="Comma 2" xfId="7"/>
    <cellStyle name="Comma 3" xfId="5"/>
    <cellStyle name="Currency [0] 2" xfId="8"/>
    <cellStyle name="Hyperlink" xfId="14" builtinId="8"/>
    <cellStyle name="Normal" xfId="0" builtinId="0"/>
    <cellStyle name="Normal 2" xfId="3"/>
    <cellStyle name="Normal 2 2" xfId="9"/>
    <cellStyle name="Normal 3" xfId="10"/>
    <cellStyle name="Normal 5" xfId="11"/>
    <cellStyle name="Percent" xfId="2" builtinId="5"/>
    <cellStyle name="Percent 2" xfId="12"/>
    <cellStyle name="Style 1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9" Type="http://schemas.openxmlformats.org/officeDocument/2006/relationships/externalLink" Target="externalLinks/externalLink34.xml"/><Relationship Id="rId21" Type="http://schemas.openxmlformats.org/officeDocument/2006/relationships/externalLink" Target="externalLinks/externalLink16.xml"/><Relationship Id="rId34" Type="http://schemas.openxmlformats.org/officeDocument/2006/relationships/externalLink" Target="externalLinks/externalLink29.xml"/><Relationship Id="rId42" Type="http://schemas.openxmlformats.org/officeDocument/2006/relationships/externalLink" Target="externalLinks/externalLink37.xml"/><Relationship Id="rId47" Type="http://schemas.openxmlformats.org/officeDocument/2006/relationships/externalLink" Target="externalLinks/externalLink42.xml"/><Relationship Id="rId50" Type="http://schemas.openxmlformats.org/officeDocument/2006/relationships/externalLink" Target="externalLinks/externalLink45.xml"/><Relationship Id="rId55" Type="http://schemas.openxmlformats.org/officeDocument/2006/relationships/externalLink" Target="externalLinks/externalLink50.xml"/><Relationship Id="rId63" Type="http://schemas.openxmlformats.org/officeDocument/2006/relationships/externalLink" Target="externalLinks/externalLink58.xml"/><Relationship Id="rId68" Type="http://schemas.openxmlformats.org/officeDocument/2006/relationships/externalLink" Target="externalLinks/externalLink63.xml"/><Relationship Id="rId76" Type="http://schemas.openxmlformats.org/officeDocument/2006/relationships/calcChain" Target="calcChain.xml"/><Relationship Id="rId7" Type="http://schemas.openxmlformats.org/officeDocument/2006/relationships/externalLink" Target="externalLinks/externalLink2.xml"/><Relationship Id="rId71" Type="http://schemas.openxmlformats.org/officeDocument/2006/relationships/externalLink" Target="externalLinks/externalLink6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4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27.xml"/><Relationship Id="rId37" Type="http://schemas.openxmlformats.org/officeDocument/2006/relationships/externalLink" Target="externalLinks/externalLink32.xml"/><Relationship Id="rId40" Type="http://schemas.openxmlformats.org/officeDocument/2006/relationships/externalLink" Target="externalLinks/externalLink35.xml"/><Relationship Id="rId45" Type="http://schemas.openxmlformats.org/officeDocument/2006/relationships/externalLink" Target="externalLinks/externalLink40.xml"/><Relationship Id="rId53" Type="http://schemas.openxmlformats.org/officeDocument/2006/relationships/externalLink" Target="externalLinks/externalLink48.xml"/><Relationship Id="rId58" Type="http://schemas.openxmlformats.org/officeDocument/2006/relationships/externalLink" Target="externalLinks/externalLink53.xml"/><Relationship Id="rId66" Type="http://schemas.openxmlformats.org/officeDocument/2006/relationships/externalLink" Target="externalLinks/externalLink61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36" Type="http://schemas.openxmlformats.org/officeDocument/2006/relationships/externalLink" Target="externalLinks/externalLink31.xml"/><Relationship Id="rId49" Type="http://schemas.openxmlformats.org/officeDocument/2006/relationships/externalLink" Target="externalLinks/externalLink44.xml"/><Relationship Id="rId57" Type="http://schemas.openxmlformats.org/officeDocument/2006/relationships/externalLink" Target="externalLinks/externalLink52.xml"/><Relationship Id="rId61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externalLink" Target="externalLinks/externalLink26.xml"/><Relationship Id="rId44" Type="http://schemas.openxmlformats.org/officeDocument/2006/relationships/externalLink" Target="externalLinks/externalLink39.xml"/><Relationship Id="rId52" Type="http://schemas.openxmlformats.org/officeDocument/2006/relationships/externalLink" Target="externalLinks/externalLink47.xml"/><Relationship Id="rId60" Type="http://schemas.openxmlformats.org/officeDocument/2006/relationships/externalLink" Target="externalLinks/externalLink55.xml"/><Relationship Id="rId65" Type="http://schemas.openxmlformats.org/officeDocument/2006/relationships/externalLink" Target="externalLinks/externalLink60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externalLink" Target="externalLinks/externalLink30.xml"/><Relationship Id="rId43" Type="http://schemas.openxmlformats.org/officeDocument/2006/relationships/externalLink" Target="externalLinks/externalLink38.xml"/><Relationship Id="rId48" Type="http://schemas.openxmlformats.org/officeDocument/2006/relationships/externalLink" Target="externalLinks/externalLink43.xml"/><Relationship Id="rId56" Type="http://schemas.openxmlformats.org/officeDocument/2006/relationships/externalLink" Target="externalLinks/externalLink51.xml"/><Relationship Id="rId64" Type="http://schemas.openxmlformats.org/officeDocument/2006/relationships/externalLink" Target="externalLinks/externalLink59.xml"/><Relationship Id="rId69" Type="http://schemas.openxmlformats.org/officeDocument/2006/relationships/externalLink" Target="externalLinks/externalLink64.xml"/><Relationship Id="rId8" Type="http://schemas.openxmlformats.org/officeDocument/2006/relationships/externalLink" Target="externalLinks/externalLink3.xml"/><Relationship Id="rId51" Type="http://schemas.openxmlformats.org/officeDocument/2006/relationships/externalLink" Target="externalLinks/externalLink46.xml"/><Relationship Id="rId72" Type="http://schemas.openxmlformats.org/officeDocument/2006/relationships/externalLink" Target="externalLinks/externalLink67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28.xml"/><Relationship Id="rId38" Type="http://schemas.openxmlformats.org/officeDocument/2006/relationships/externalLink" Target="externalLinks/externalLink33.xml"/><Relationship Id="rId46" Type="http://schemas.openxmlformats.org/officeDocument/2006/relationships/externalLink" Target="externalLinks/externalLink41.xml"/><Relationship Id="rId59" Type="http://schemas.openxmlformats.org/officeDocument/2006/relationships/externalLink" Target="externalLinks/externalLink54.xml"/><Relationship Id="rId67" Type="http://schemas.openxmlformats.org/officeDocument/2006/relationships/externalLink" Target="externalLinks/externalLink62.xml"/><Relationship Id="rId20" Type="http://schemas.openxmlformats.org/officeDocument/2006/relationships/externalLink" Target="externalLinks/externalLink15.xml"/><Relationship Id="rId41" Type="http://schemas.openxmlformats.org/officeDocument/2006/relationships/externalLink" Target="externalLinks/externalLink36.xml"/><Relationship Id="rId54" Type="http://schemas.openxmlformats.org/officeDocument/2006/relationships/externalLink" Target="externalLinks/externalLink49.xml"/><Relationship Id="rId62" Type="http://schemas.openxmlformats.org/officeDocument/2006/relationships/externalLink" Target="externalLinks/externalLink57.xml"/><Relationship Id="rId70" Type="http://schemas.openxmlformats.org/officeDocument/2006/relationships/externalLink" Target="externalLinks/externalLink65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1505-BCA%20KCU%20BINTARO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1806%20SOUTH%20GATE%20APT%201%20&amp;%20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P1805%20CITRA%20TOWER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P1804%20CITRA%20TOWER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P1803%20ONE%20GALAXY%20SURABAYA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P1802%20RAJAWALI%20PALACE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P1706%20MNC%20LAND-2018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P1706%20MNC%20-2018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P1705-KEDUBES%20AUSTRALIA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P1704%20WALDORF-BALI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1703%20SOUTH%20GATE%20MA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1405-BLUE%20BIRD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P1703%20SOUTH%20GATE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P1702%20SEQUIS%20TOWER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1701%20SUDIRMAN78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P1700%20LAIN-LAIN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P1612-GEREJA%20KIM%20TAEGON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P1612-GEREJA%20KIM%20TAEGON(LUNAS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P1610-ALOFT%20HOTEL%20BALI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P1609%20RUMAH%20BAPAK%20GO%20SIAUW%20HONG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P1609%20RUMAH%20BAPAK%20GO%20SIO%20HOX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P1608%20BCA%20SURABAYA%20GARDU%20PL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1903-BCA%20SEMARANG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P1608%20BCA%20SURABAYA%20GARDU%20PLN%20(LUNAS)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P1607%20UNIV%20MULTIMEDIA%20NUSANTARA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P1607%20UNIV.%20MEDIA%20%20NUSANTARA%20LT%206,%207,%208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P1607%20UNIV.%20MEDIA%20%20NUSANTARA%20LT%209,%2010,11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P1606%20GUDANG%20GARAM%20LT%2016,17,18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P1605%20BCA%20BOROBUDUR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P1604%20KATERDAL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P1603-CIPUTRA%20INT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P1602-BCA%20CPC%20ALAM%20SUTERA(LUNAS)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P1602-BCA%20CPC%20ALAM%20SUTER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1902-RESIDEN%20KEDUBES%20AUSTRALIA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P1601%20JUMEIRAH-BALI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P1503-GREEN%20OFFICE%20PARK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P1502-THE%20ANVAYA%20BALI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P1502-THE%20ANVAYA%20BALI(LUNAS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P1501-MNC%20MEDIA%20TOWER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P1404%20AULA%20SEKOLAH%20YACOBUS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P1409-SUNGAI%20GERONG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P1407-PURIMATAHARI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Lunas/P1407-PURIMATAHARI(LUNAS)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P1401-IIE-SERPON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1901%20BCA%20FORESTA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T1401%20GEREJA%20ST%20YOHANES%20CILANGKAP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P1401%20GEREJA%20ST%20YOHANES%20CILANGKAP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P1303-SUNTER%20OFFICE%20PARK-R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P1207-MD%20ENTERTAINT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P1203-JGF%20KARAWANG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P1204-DCI%20CIKARANG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P1204-DCI%20CIKARANG(LUNAS)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P1201%20BCA%20SURABAYA(LUNAS)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P1201%20BCA%20SURABAYA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P1107-GUDANG%20GARAM%20TOWE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1807%20CIPUTRA%20TOWER%202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P1001-TEMPO%20SCAN%20TOWER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P1001-TEMPO%20SCAN%20TOWER(LUNAS)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P1504-RS%20DR-OEN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P1406-THE%20TOWER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P1403-HOTEL%20&amp;%20DIKLAT%20BCA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P1308-BEC%20BANDUNG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P1307-LANDMARK%20PLUIT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P1301-KEDUBES%20AUSTRALI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1809%20CIPUTRA%20TOWER%20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1808%20DASWIN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1807%20DASW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21">
          <cell r="H21">
            <v>199999999.99999997</v>
          </cell>
        </row>
        <row r="24">
          <cell r="H24">
            <v>0</v>
          </cell>
        </row>
      </sheetData>
      <sheetData sheetId="1" refreshError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4">
          <cell r="G34">
            <v>111204500000.00002</v>
          </cell>
          <cell r="K34">
            <v>0.17918300000000001</v>
          </cell>
          <cell r="L34">
            <v>32622954209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23557563369</v>
          </cell>
          <cell r="R34">
            <v>9065390840</v>
          </cell>
          <cell r="S34">
            <v>78581545791.000015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5">
          <cell r="G35">
            <v>112523578611.40001</v>
          </cell>
          <cell r="K35">
            <v>0.9143</v>
          </cell>
          <cell r="L35">
            <v>94682800119</v>
          </cell>
          <cell r="Q35">
            <v>94682800119</v>
          </cell>
          <cell r="R35">
            <v>0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7">
          <cell r="K27" t="str">
            <v>ANG-2</v>
          </cell>
          <cell r="L27">
            <v>825000000</v>
          </cell>
          <cell r="Q27">
            <v>825000000</v>
          </cell>
          <cell r="R27">
            <v>0</v>
          </cell>
          <cell r="S27" t="str">
            <v>LUNAS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8">
          <cell r="G28">
            <v>152550000000</v>
          </cell>
          <cell r="K28">
            <v>0.18959999999999999</v>
          </cell>
          <cell r="L28">
            <v>57981175105</v>
          </cell>
          <cell r="Q28">
            <v>49638115729</v>
          </cell>
          <cell r="R28">
            <v>8343059376</v>
          </cell>
          <cell r="S28">
            <v>94568824895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2">
          <cell r="G22">
            <v>28582290000.000004</v>
          </cell>
          <cell r="K22" t="str">
            <v>29%,78%,95%</v>
          </cell>
          <cell r="L22">
            <v>13638554594</v>
          </cell>
          <cell r="Q22">
            <v>13638554594</v>
          </cell>
          <cell r="S22">
            <v>14943735406.000004</v>
          </cell>
        </row>
        <row r="24">
          <cell r="G24">
            <v>39600000</v>
          </cell>
        </row>
        <row r="27">
          <cell r="K27" t="str">
            <v xml:space="preserve">PELUNASAN FF </v>
          </cell>
          <cell r="L27">
            <v>29700000</v>
          </cell>
          <cell r="Q27">
            <v>29700000</v>
          </cell>
          <cell r="R27">
            <v>0</v>
          </cell>
          <cell r="S27">
            <v>9900000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7">
          <cell r="G27">
            <v>24931390000.000004</v>
          </cell>
          <cell r="R27">
            <v>0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57">
          <cell r="M57"/>
          <cell r="N57"/>
          <cell r="O57"/>
          <cell r="P57"/>
        </row>
        <row r="109">
          <cell r="G109">
            <v>1318228616.4000001</v>
          </cell>
          <cell r="K109">
            <v>1</v>
          </cell>
          <cell r="L109">
            <v>334198334</v>
          </cell>
          <cell r="Q109">
            <v>0</v>
          </cell>
          <cell r="R109">
            <v>334198334</v>
          </cell>
          <cell r="S109">
            <v>984030282.4000001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7">
          <cell r="G27">
            <v>52860400000</v>
          </cell>
          <cell r="K27" t="str">
            <v>DP-40%</v>
          </cell>
          <cell r="L27">
            <v>52860400000</v>
          </cell>
          <cell r="Q27">
            <v>52860400000</v>
          </cell>
          <cell r="R27">
            <v>0</v>
          </cell>
          <cell r="S27">
            <v>0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3">
          <cell r="G33">
            <v>185785408116</v>
          </cell>
          <cell r="K33">
            <v>0.83169999999999999</v>
          </cell>
          <cell r="L33">
            <v>150507975354</v>
          </cell>
          <cell r="Q33">
            <v>135836985036</v>
          </cell>
          <cell r="R33">
            <v>14670990318</v>
          </cell>
          <cell r="S33">
            <v>35277432762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7">
          <cell r="G7">
            <v>25795000000</v>
          </cell>
        </row>
        <row r="21">
          <cell r="G21">
            <v>86458262</v>
          </cell>
        </row>
        <row r="25">
          <cell r="G25">
            <v>451000000.00000006</v>
          </cell>
        </row>
        <row r="26">
          <cell r="G26">
            <v>2896126532.2000003</v>
          </cell>
        </row>
        <row r="28">
          <cell r="K28">
            <v>0</v>
          </cell>
        </row>
        <row r="31">
          <cell r="K31">
            <v>0</v>
          </cell>
          <cell r="L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K32">
            <v>1</v>
          </cell>
          <cell r="L32">
            <v>28691127373</v>
          </cell>
          <cell r="Q32">
            <v>28691127373</v>
          </cell>
          <cell r="R32">
            <v>0</v>
          </cell>
          <cell r="S32" t="str">
            <v>LUNAS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27">
          <cell r="K27">
            <v>0.83279999999999998</v>
          </cell>
        </row>
        <row r="40">
          <cell r="G40">
            <v>66670000000</v>
          </cell>
          <cell r="K40">
            <v>0.77400000000000002</v>
          </cell>
          <cell r="L40">
            <v>49181224838</v>
          </cell>
          <cell r="Q40">
            <v>49181224838</v>
          </cell>
          <cell r="R40">
            <v>0</v>
          </cell>
          <cell r="S40">
            <v>17488775162</v>
          </cell>
        </row>
      </sheetData>
      <sheetData sheetId="1" refreshError="1"/>
      <sheetData sheetId="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7">
          <cell r="G27"/>
        </row>
        <row r="28">
          <cell r="G28">
            <v>99061041733.500015</v>
          </cell>
          <cell r="K28">
            <v>1</v>
          </cell>
          <cell r="L28">
            <v>96584515690</v>
          </cell>
          <cell r="M28"/>
          <cell r="N28"/>
          <cell r="O28"/>
          <cell r="P28"/>
          <cell r="Q28">
            <v>96584515690</v>
          </cell>
          <cell r="R28">
            <v>0</v>
          </cell>
          <cell r="S28">
            <v>2476526043.5000153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4">
          <cell r="G24">
            <v>30051524901.099998</v>
          </cell>
          <cell r="K24">
            <v>0.98663699999999999</v>
          </cell>
          <cell r="L24">
            <v>27221935741</v>
          </cell>
          <cell r="M24"/>
          <cell r="N24"/>
          <cell r="O24"/>
          <cell r="P24"/>
          <cell r="Q24">
            <v>27221935741</v>
          </cell>
          <cell r="S24">
            <v>2829589160.0999985</v>
          </cell>
        </row>
        <row r="26">
          <cell r="G26">
            <v>72315949</v>
          </cell>
          <cell r="L26">
            <v>36157975</v>
          </cell>
          <cell r="Q26">
            <v>36157975</v>
          </cell>
          <cell r="R26"/>
          <cell r="S26"/>
        </row>
        <row r="27">
          <cell r="L27">
            <v>36157974</v>
          </cell>
          <cell r="Q27">
            <v>36157974</v>
          </cell>
          <cell r="R27"/>
          <cell r="S27"/>
        </row>
        <row r="29">
          <cell r="G29">
            <v>404199620</v>
          </cell>
          <cell r="L29">
            <v>121259886</v>
          </cell>
          <cell r="Q29">
            <v>121259886</v>
          </cell>
          <cell r="R29"/>
        </row>
        <row r="30">
          <cell r="K30">
            <v>1</v>
          </cell>
          <cell r="L30">
            <v>260281340</v>
          </cell>
          <cell r="Q30">
            <v>260281340</v>
          </cell>
          <cell r="R30"/>
        </row>
        <row r="41">
          <cell r="R41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7">
          <cell r="M27"/>
          <cell r="N27"/>
          <cell r="O27"/>
          <cell r="P27"/>
        </row>
        <row r="41">
          <cell r="G41">
            <v>2093209797</v>
          </cell>
          <cell r="K41">
            <v>1</v>
          </cell>
          <cell r="L41">
            <v>2093209797</v>
          </cell>
          <cell r="Q41">
            <v>437523727</v>
          </cell>
          <cell r="R41">
            <v>1655686070</v>
          </cell>
          <cell r="S41">
            <v>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25">
          <cell r="G25">
            <v>1565560000</v>
          </cell>
          <cell r="K25">
            <v>1</v>
          </cell>
          <cell r="L25">
            <v>1565560000</v>
          </cell>
        </row>
      </sheetData>
      <sheetData sheetId="1" refreshError="1"/>
      <sheetData sheetId="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5">
          <cell r="Q25">
            <v>1565560000</v>
          </cell>
          <cell r="R25">
            <v>0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7">
          <cell r="G27">
            <v>6054345000</v>
          </cell>
          <cell r="K27">
            <v>0.33329999999999999</v>
          </cell>
          <cell r="L27">
            <v>3438829900</v>
          </cell>
          <cell r="Q27">
            <v>3438829900</v>
          </cell>
          <cell r="R27">
            <v>0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4">
          <cell r="G34">
            <v>1079460000</v>
          </cell>
          <cell r="K34">
            <v>0.93730527578604117</v>
          </cell>
          <cell r="L34">
            <v>1011783553</v>
          </cell>
          <cell r="Q34">
            <v>1011783553</v>
          </cell>
          <cell r="R34">
            <v>0</v>
          </cell>
          <cell r="S34">
            <v>67676447</v>
          </cell>
        </row>
      </sheetData>
      <sheetData sheetId="1"/>
      <sheetData sheetId="2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9">
          <cell r="G9">
            <v>792900000</v>
          </cell>
        </row>
        <row r="27">
          <cell r="G27">
            <v>942900000</v>
          </cell>
        </row>
      </sheetData>
      <sheetData sheetId="1"/>
      <sheetData sheetId="2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2">
          <cell r="G22">
            <v>1185665300.0019999</v>
          </cell>
          <cell r="K22">
            <v>1</v>
          </cell>
          <cell r="L22">
            <v>1185665300</v>
          </cell>
          <cell r="S22">
            <v>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4">
          <cell r="G34">
            <v>34897500000</v>
          </cell>
          <cell r="K34" t="str">
            <v>DP-20%</v>
          </cell>
          <cell r="L34">
            <v>6979500000</v>
          </cell>
          <cell r="Q34">
            <v>6979500000</v>
          </cell>
          <cell r="R34">
            <v>0</v>
          </cell>
          <cell r="S34">
            <v>27918000000</v>
          </cell>
        </row>
      </sheetData>
      <sheetData sheetId="1"/>
      <sheetData sheetId="2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2">
          <cell r="Q22">
            <v>1185665300</v>
          </cell>
          <cell r="R22">
            <v>0</v>
          </cell>
        </row>
      </sheetData>
      <sheetData sheetId="1" refreshError="1"/>
      <sheetData sheetId="2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7">
          <cell r="G27">
            <v>15031964000</v>
          </cell>
          <cell r="K27">
            <v>1</v>
          </cell>
          <cell r="L27">
            <v>14283500800</v>
          </cell>
          <cell r="Q27">
            <v>14283500800</v>
          </cell>
          <cell r="R27">
            <v>0</v>
          </cell>
          <cell r="S27">
            <v>748463200</v>
          </cell>
        </row>
      </sheetData>
      <sheetData sheetId="1"/>
      <sheetData sheetId="2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7">
          <cell r="G27">
            <v>1974126000.0000002</v>
          </cell>
          <cell r="K27">
            <v>1</v>
          </cell>
          <cell r="L27">
            <v>1875419700</v>
          </cell>
          <cell r="M27"/>
          <cell r="N27"/>
          <cell r="O27"/>
          <cell r="P27"/>
          <cell r="Q27">
            <v>1875419700</v>
          </cell>
          <cell r="R27">
            <v>0</v>
          </cell>
          <cell r="S27">
            <v>98706300.000000238</v>
          </cell>
        </row>
      </sheetData>
      <sheetData sheetId="1"/>
      <sheetData sheetId="2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7">
          <cell r="G27">
            <v>2981799711.0000005</v>
          </cell>
          <cell r="K27">
            <v>1</v>
          </cell>
          <cell r="L27">
            <v>2832709724.9000001</v>
          </cell>
          <cell r="Q27">
            <v>2740381644</v>
          </cell>
          <cell r="R27">
            <v>92328080.900000006</v>
          </cell>
          <cell r="S27">
            <v>149089986.10000038</v>
          </cell>
        </row>
      </sheetData>
      <sheetData sheetId="1"/>
      <sheetData sheetId="2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1">
          <cell r="G31">
            <v>0</v>
          </cell>
        </row>
        <row r="33">
          <cell r="G33">
            <v>8707376659</v>
          </cell>
          <cell r="K33">
            <v>1</v>
          </cell>
          <cell r="L33">
            <v>8707376659</v>
          </cell>
          <cell r="Q33">
            <v>8707376659</v>
          </cell>
          <cell r="R33">
            <v>0</v>
          </cell>
          <cell r="S33">
            <v>0</v>
          </cell>
        </row>
      </sheetData>
      <sheetData sheetId="1"/>
      <sheetData sheetId="2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9">
          <cell r="G29">
            <v>10704471949</v>
          </cell>
          <cell r="K29" t="str">
            <v>BAST-2-5%</v>
          </cell>
          <cell r="L29">
            <v>10704471949</v>
          </cell>
          <cell r="Q29">
            <v>10704471949</v>
          </cell>
          <cell r="R29">
            <v>0</v>
          </cell>
          <cell r="S29">
            <v>0</v>
          </cell>
        </row>
      </sheetData>
      <sheetData sheetId="1" refreshError="1"/>
      <sheetData sheetId="2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6">
          <cell r="G26">
            <v>2984095000</v>
          </cell>
          <cell r="K26">
            <v>0.97249300000000005</v>
          </cell>
          <cell r="L26">
            <v>3044243000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3044243000</v>
          </cell>
          <cell r="R26">
            <v>0</v>
          </cell>
          <cell r="S26">
            <v>-60148000</v>
          </cell>
        </row>
      </sheetData>
      <sheetData sheetId="1"/>
      <sheetData sheetId="2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7">
          <cell r="L27"/>
        </row>
        <row r="28">
          <cell r="G28">
            <v>50303010153.099998</v>
          </cell>
          <cell r="L28">
            <v>1</v>
          </cell>
          <cell r="M28">
            <v>47787859646</v>
          </cell>
          <cell r="R28">
            <v>47787859646</v>
          </cell>
          <cell r="S28">
            <v>0</v>
          </cell>
        </row>
      </sheetData>
      <sheetData sheetId="1"/>
      <sheetData sheetId="2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69">
          <cell r="G69">
            <v>55541499249.695007</v>
          </cell>
          <cell r="L69">
            <v>55541499249.798996</v>
          </cell>
          <cell r="Q69">
            <v>55541499249.798996</v>
          </cell>
          <cell r="R69">
            <v>0</v>
          </cell>
          <cell r="S69">
            <v>-0.1039886474609375</v>
          </cell>
        </row>
      </sheetData>
      <sheetData sheetId="1"/>
      <sheetData sheetId="2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4">
          <cell r="G34">
            <v>26489900000</v>
          </cell>
          <cell r="K34" t="str">
            <v>DP-25%</v>
          </cell>
          <cell r="L34">
            <v>6622475000</v>
          </cell>
          <cell r="Q34">
            <v>6622475000</v>
          </cell>
          <cell r="R34">
            <v>0</v>
          </cell>
          <cell r="S34">
            <v>19867425000</v>
          </cell>
        </row>
      </sheetData>
      <sheetData sheetId="1"/>
      <sheetData sheetId="2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2">
          <cell r="G22">
            <v>237699999.90000001</v>
          </cell>
        </row>
        <row r="50">
          <cell r="G50">
            <v>78272510769.600006</v>
          </cell>
          <cell r="L50" t="str">
            <v>ANGS-34</v>
          </cell>
          <cell r="M50">
            <v>62922733645</v>
          </cell>
          <cell r="R50">
            <v>56739295534</v>
          </cell>
          <cell r="S50">
            <v>6183438111</v>
          </cell>
          <cell r="T50">
            <v>15349777124.600006</v>
          </cell>
        </row>
      </sheetData>
      <sheetData sheetId="1"/>
      <sheetData sheetId="2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5">
          <cell r="G25">
            <v>50539445099</v>
          </cell>
          <cell r="L25">
            <v>1</v>
          </cell>
          <cell r="M25">
            <v>50539445099</v>
          </cell>
          <cell r="R25">
            <v>50539445099</v>
          </cell>
          <cell r="S25">
            <v>0</v>
          </cell>
          <cell r="T25">
            <v>0</v>
          </cell>
        </row>
      </sheetData>
      <sheetData sheetId="1" refreshError="1"/>
      <sheetData sheetId="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24">
          <cell r="G24">
            <v>28231500000</v>
          </cell>
          <cell r="L24" t="str">
            <v>RET-5%</v>
          </cell>
          <cell r="M24">
            <v>28231500000</v>
          </cell>
          <cell r="R24">
            <v>26819924999</v>
          </cell>
          <cell r="S24">
            <v>1411575000</v>
          </cell>
          <cell r="T24">
            <v>0</v>
          </cell>
        </row>
      </sheetData>
      <sheetData sheetId="1" refreshError="1"/>
      <sheetData sheetId="2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4">
          <cell r="R24">
            <v>28231499999</v>
          </cell>
          <cell r="S24">
            <v>0</v>
          </cell>
          <cell r="T24">
            <v>0</v>
          </cell>
        </row>
      </sheetData>
      <sheetData sheetId="1"/>
      <sheetData sheetId="2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3">
          <cell r="G23">
            <v>-4084624878.4000001</v>
          </cell>
        </row>
        <row r="42">
          <cell r="G42">
            <v>86129678965</v>
          </cell>
          <cell r="K42" t="str">
            <v>RET 5%</v>
          </cell>
          <cell r="L42">
            <v>86129678964.899994</v>
          </cell>
          <cell r="Q42">
            <v>82564261451.899994</v>
          </cell>
          <cell r="R42">
            <v>3565417513</v>
          </cell>
        </row>
        <row r="54">
          <cell r="G54">
            <v>4004627000</v>
          </cell>
          <cell r="K54" t="str">
            <v>RET 5%</v>
          </cell>
          <cell r="L54">
            <v>4004626999.8000002</v>
          </cell>
          <cell r="M54"/>
          <cell r="N54"/>
          <cell r="O54"/>
          <cell r="P54"/>
          <cell r="Q54">
            <v>3822593499.8000002</v>
          </cell>
          <cell r="R54">
            <v>182033500</v>
          </cell>
          <cell r="S54"/>
        </row>
        <row r="62">
          <cell r="G62">
            <v>4578145000</v>
          </cell>
          <cell r="K62" t="str">
            <v>RET 5%</v>
          </cell>
          <cell r="L62">
            <v>4578145000</v>
          </cell>
          <cell r="M62"/>
          <cell r="N62"/>
          <cell r="O62"/>
          <cell r="P62"/>
          <cell r="Q62">
            <v>4370047500</v>
          </cell>
          <cell r="R62">
            <v>208097500</v>
          </cell>
          <cell r="S62">
            <v>0</v>
          </cell>
        </row>
        <row r="82">
          <cell r="G82">
            <v>1143008.8999999999</v>
          </cell>
          <cell r="K82" t="str">
            <v>RET 5%</v>
          </cell>
          <cell r="L82">
            <v>1143014.1000000001</v>
          </cell>
          <cell r="M82"/>
          <cell r="N82"/>
          <cell r="O82"/>
          <cell r="P82"/>
          <cell r="Q82">
            <v>1085863.6000000001</v>
          </cell>
          <cell r="R82">
            <v>57150.5</v>
          </cell>
          <cell r="S82">
            <v>-5.2000000001862645</v>
          </cell>
        </row>
        <row r="135">
          <cell r="K135" t="str">
            <v>RET 5%</v>
          </cell>
          <cell r="M135"/>
          <cell r="N135"/>
          <cell r="O135"/>
          <cell r="P135"/>
        </row>
        <row r="139">
          <cell r="G139">
            <v>2052386794.7</v>
          </cell>
          <cell r="L139">
            <v>2052386794</v>
          </cell>
          <cell r="Q139">
            <v>2030137994</v>
          </cell>
          <cell r="R139">
            <v>22248800</v>
          </cell>
          <cell r="S139">
            <v>0.70000004768371582</v>
          </cell>
        </row>
      </sheetData>
      <sheetData sheetId="1"/>
      <sheetData sheetId="2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9">
          <cell r="C9" t="str">
            <v>Pen : 037R1/APJ/MRK/UMUM/E/11-14</v>
          </cell>
        </row>
        <row r="11">
          <cell r="C11" t="str">
            <v>AULA SEKOLAH SANTO YACOBUS</v>
          </cell>
        </row>
        <row r="14">
          <cell r="G14">
            <v>444900000</v>
          </cell>
          <cell r="K14">
            <v>1</v>
          </cell>
          <cell r="L14">
            <v>444900000</v>
          </cell>
          <cell r="Q14">
            <v>444900000</v>
          </cell>
          <cell r="S14">
            <v>0</v>
          </cell>
        </row>
        <row r="21">
          <cell r="G21">
            <v>29400</v>
          </cell>
          <cell r="K21">
            <v>1</v>
          </cell>
          <cell r="L21">
            <v>29400</v>
          </cell>
          <cell r="Q21">
            <v>29400</v>
          </cell>
          <cell r="S21">
            <v>0</v>
          </cell>
        </row>
      </sheetData>
      <sheetData sheetId="1" refreshError="1"/>
      <sheetData sheetId="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4">
          <cell r="G24">
            <v>4135106851.7000008</v>
          </cell>
          <cell r="L24" t="str">
            <v>FA</v>
          </cell>
          <cell r="M24">
            <v>4135106853</v>
          </cell>
          <cell r="R24">
            <v>4043155707</v>
          </cell>
          <cell r="S24">
            <v>91951146</v>
          </cell>
          <cell r="T24">
            <v>-1.2999992370605469</v>
          </cell>
        </row>
        <row r="36">
          <cell r="G36">
            <v>91005.717000000004</v>
          </cell>
          <cell r="L36">
            <v>0.98372199999999999</v>
          </cell>
          <cell r="M36">
            <v>91005</v>
          </cell>
          <cell r="R36">
            <v>86606</v>
          </cell>
          <cell r="S36">
            <v>4399</v>
          </cell>
          <cell r="T36">
            <v>0.71700000000419095</v>
          </cell>
        </row>
      </sheetData>
      <sheetData sheetId="1"/>
      <sheetData sheetId="2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INAL ACC"/>
      <sheetName val="Sheet3"/>
    </sheetNames>
    <sheetDataSet>
      <sheetData sheetId="0" refreshError="1">
        <row r="28">
          <cell r="G28">
            <v>0</v>
          </cell>
          <cell r="L28">
            <v>1</v>
          </cell>
          <cell r="M28">
            <v>2144078314</v>
          </cell>
          <cell r="R28">
            <v>2144078314</v>
          </cell>
          <cell r="S28">
            <v>0</v>
          </cell>
          <cell r="T28">
            <v>0</v>
          </cell>
        </row>
        <row r="30">
          <cell r="L30" t="str">
            <v>Ret-5%</v>
          </cell>
        </row>
        <row r="31">
          <cell r="G31">
            <v>63744748874.400002</v>
          </cell>
          <cell r="M31">
            <v>63744748872</v>
          </cell>
          <cell r="R31">
            <v>63744748872</v>
          </cell>
          <cell r="S31">
            <v>0</v>
          </cell>
        </row>
        <row r="51">
          <cell r="G51">
            <v>0</v>
          </cell>
          <cell r="L51">
            <v>0.96</v>
          </cell>
          <cell r="M51">
            <v>483.45</v>
          </cell>
          <cell r="R51">
            <v>483.45</v>
          </cell>
          <cell r="S51">
            <v>0</v>
          </cell>
          <cell r="T51">
            <v>0</v>
          </cell>
        </row>
        <row r="55">
          <cell r="L55" t="str">
            <v>Ret-5%</v>
          </cell>
        </row>
        <row r="56">
          <cell r="M56">
            <v>2797934.47</v>
          </cell>
          <cell r="S56">
            <v>0</v>
          </cell>
        </row>
      </sheetData>
      <sheetData sheetId="1" refreshError="1"/>
      <sheetData sheetId="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INAL ACC"/>
      <sheetName val="Sheet3"/>
    </sheetNames>
    <sheetDataSet>
      <sheetData sheetId="0">
        <row r="56">
          <cell r="R56">
            <v>2797934.47</v>
          </cell>
        </row>
      </sheetData>
      <sheetData sheetId="1"/>
      <sheetData sheetId="2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G10">
            <v>65065000000</v>
          </cell>
        </row>
        <row r="21">
          <cell r="G21">
            <v>4631881553.3000002</v>
          </cell>
        </row>
        <row r="27">
          <cell r="K27" t="str">
            <v>ADD-3,4-100%</v>
          </cell>
        </row>
        <row r="28">
          <cell r="L28">
            <v>3443439569</v>
          </cell>
          <cell r="Q28">
            <v>3443439569</v>
          </cell>
          <cell r="R28"/>
          <cell r="S28"/>
        </row>
        <row r="30">
          <cell r="G30">
            <v>69696881553.300003</v>
          </cell>
          <cell r="L30">
            <v>69655477042</v>
          </cell>
          <cell r="Q30">
            <v>69655477042</v>
          </cell>
        </row>
        <row r="32">
          <cell r="G32">
            <v>55000000</v>
          </cell>
        </row>
        <row r="40">
          <cell r="G40">
            <v>632988125</v>
          </cell>
        </row>
        <row r="42">
          <cell r="G42">
            <v>1094988125</v>
          </cell>
        </row>
        <row r="43">
          <cell r="K43"/>
          <cell r="L43"/>
          <cell r="Q43"/>
          <cell r="R43"/>
          <cell r="S43"/>
        </row>
        <row r="45">
          <cell r="K45" t="str">
            <v>AD3 100%</v>
          </cell>
          <cell r="L45">
            <v>1149988125</v>
          </cell>
          <cell r="Q45">
            <v>1149988125</v>
          </cell>
          <cell r="R45">
            <v>0</v>
          </cell>
        </row>
        <row r="47">
          <cell r="G47">
            <v>91630</v>
          </cell>
        </row>
        <row r="52">
          <cell r="G52"/>
        </row>
        <row r="54">
          <cell r="G54">
            <v>22000</v>
          </cell>
        </row>
        <row r="57">
          <cell r="K57"/>
          <cell r="L57"/>
          <cell r="Q57"/>
          <cell r="R57"/>
          <cell r="S57"/>
        </row>
        <row r="59">
          <cell r="G59">
            <v>113630</v>
          </cell>
          <cell r="K59">
            <v>1</v>
          </cell>
          <cell r="L59">
            <v>113630</v>
          </cell>
          <cell r="Q59">
            <v>113630</v>
          </cell>
          <cell r="R59">
            <v>0</v>
          </cell>
        </row>
        <row r="61">
          <cell r="G61">
            <v>728736368</v>
          </cell>
        </row>
        <row r="66">
          <cell r="G66"/>
        </row>
        <row r="68">
          <cell r="G68">
            <v>653413161</v>
          </cell>
        </row>
        <row r="70">
          <cell r="K70"/>
          <cell r="L70"/>
          <cell r="Q70"/>
          <cell r="R70"/>
          <cell r="S70"/>
        </row>
        <row r="72">
          <cell r="C72"/>
          <cell r="K72">
            <v>1</v>
          </cell>
          <cell r="L72">
            <v>1382149520</v>
          </cell>
          <cell r="Q72">
            <v>1382149520</v>
          </cell>
          <cell r="R72">
            <v>0</v>
          </cell>
        </row>
        <row r="75">
          <cell r="Q75">
            <v>3748250</v>
          </cell>
        </row>
        <row r="76">
          <cell r="G76"/>
          <cell r="K76"/>
          <cell r="L76"/>
        </row>
        <row r="78">
          <cell r="G78">
            <v>74965000</v>
          </cell>
          <cell r="K78" t="str">
            <v>Ret. 5%</v>
          </cell>
          <cell r="L78">
            <v>74965000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74965000</v>
          </cell>
          <cell r="R78">
            <v>0</v>
          </cell>
          <cell r="S78">
            <v>0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6">
          <cell r="G36">
            <v>69943500000</v>
          </cell>
          <cell r="L36">
            <v>13979700000</v>
          </cell>
          <cell r="Q36">
            <v>13979700000</v>
          </cell>
          <cell r="R36">
            <v>0</v>
          </cell>
          <cell r="S36">
            <v>55963800000</v>
          </cell>
        </row>
      </sheetData>
      <sheetData sheetId="1"/>
      <sheetData sheetId="2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9">
          <cell r="C9" t="str">
            <v>Pen : 017/APJ/MRK/UMUM/E/03-14</v>
          </cell>
        </row>
        <row r="11">
          <cell r="C11" t="str">
            <v>GEREJA SANTO YOHANES CILANGKAP</v>
          </cell>
        </row>
        <row r="26">
          <cell r="G26">
            <v>1304500000</v>
          </cell>
          <cell r="K26">
            <v>1</v>
          </cell>
          <cell r="L26">
            <v>1304500000</v>
          </cell>
        </row>
      </sheetData>
      <sheetData sheetId="1" refreshError="1"/>
      <sheetData sheetId="2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6">
          <cell r="G26">
            <v>1582790000</v>
          </cell>
          <cell r="L26">
            <v>1582790000</v>
          </cell>
          <cell r="Q26">
            <v>1582790000</v>
          </cell>
          <cell r="R26">
            <v>0</v>
          </cell>
        </row>
      </sheetData>
      <sheetData sheetId="1"/>
      <sheetData sheetId="2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9">
          <cell r="F9">
            <v>53987036000</v>
          </cell>
        </row>
        <row r="35">
          <cell r="G35">
            <v>419970000</v>
          </cell>
        </row>
        <row r="48">
          <cell r="G48">
            <v>-569540000</v>
          </cell>
        </row>
        <row r="57">
          <cell r="F57">
            <v>2073169131</v>
          </cell>
        </row>
        <row r="63">
          <cell r="J63">
            <v>0.99129999999999996</v>
          </cell>
          <cell r="K63">
            <v>56060205130</v>
          </cell>
          <cell r="P63">
            <v>55677405130</v>
          </cell>
          <cell r="Q63">
            <v>382800000</v>
          </cell>
          <cell r="R63">
            <v>1</v>
          </cell>
        </row>
        <row r="72">
          <cell r="F72">
            <v>526240000.00000006</v>
          </cell>
          <cell r="J72">
            <v>1</v>
          </cell>
          <cell r="K72">
            <v>526240000</v>
          </cell>
          <cell r="P72">
            <v>526240000</v>
          </cell>
          <cell r="Q72">
            <v>0</v>
          </cell>
          <cell r="R72">
            <v>0</v>
          </cell>
        </row>
        <row r="79">
          <cell r="F79">
            <v>269500000</v>
          </cell>
          <cell r="J79">
            <v>1</v>
          </cell>
          <cell r="K79">
            <v>269500000</v>
          </cell>
          <cell r="P79">
            <v>269500000</v>
          </cell>
          <cell r="Q79">
            <v>0</v>
          </cell>
          <cell r="R79">
            <v>0</v>
          </cell>
        </row>
        <row r="86">
          <cell r="F86">
            <v>26334000.000000004</v>
          </cell>
          <cell r="J86">
            <v>1</v>
          </cell>
          <cell r="K86">
            <v>26334000</v>
          </cell>
          <cell r="P86">
            <v>26334000</v>
          </cell>
          <cell r="Q86">
            <v>0</v>
          </cell>
          <cell r="R86">
            <v>0</v>
          </cell>
        </row>
        <row r="90">
          <cell r="J90">
            <v>1</v>
          </cell>
        </row>
        <row r="92">
          <cell r="F92">
            <v>219857000.00000003</v>
          </cell>
          <cell r="K92">
            <v>219857000</v>
          </cell>
          <cell r="P92">
            <v>219857000</v>
          </cell>
          <cell r="Q92">
            <v>0</v>
          </cell>
          <cell r="R92">
            <v>0</v>
          </cell>
        </row>
        <row r="98">
          <cell r="F98">
            <v>197175000.00000003</v>
          </cell>
          <cell r="J98">
            <v>1</v>
          </cell>
          <cell r="K98">
            <v>197175000</v>
          </cell>
          <cell r="P98">
            <v>197175000</v>
          </cell>
          <cell r="Q98">
            <v>0</v>
          </cell>
          <cell r="R98">
            <v>0</v>
          </cell>
        </row>
        <row r="105">
          <cell r="F105">
            <v>154660000</v>
          </cell>
          <cell r="J105">
            <v>0.95</v>
          </cell>
          <cell r="K105">
            <v>154660000</v>
          </cell>
          <cell r="P105">
            <v>154660000</v>
          </cell>
          <cell r="Q105">
            <v>0</v>
          </cell>
          <cell r="R105">
            <v>0</v>
          </cell>
        </row>
        <row r="111">
          <cell r="F111">
            <v>19382000</v>
          </cell>
          <cell r="J111">
            <v>1</v>
          </cell>
          <cell r="K111">
            <v>19382000</v>
          </cell>
          <cell r="P111">
            <v>19382000</v>
          </cell>
          <cell r="Q111">
            <v>0</v>
          </cell>
          <cell r="R111">
            <v>0</v>
          </cell>
        </row>
        <row r="113">
          <cell r="B113" t="str">
            <v>PO : US/170108 Tanggal 09/02/2017</v>
          </cell>
        </row>
        <row r="118">
          <cell r="F118">
            <v>33814000</v>
          </cell>
          <cell r="J118">
            <v>1</v>
          </cell>
          <cell r="K118">
            <v>33814000</v>
          </cell>
          <cell r="P118">
            <v>33814000</v>
          </cell>
          <cell r="Q118">
            <v>0</v>
          </cell>
          <cell r="R118">
            <v>0</v>
          </cell>
        </row>
        <row r="120">
          <cell r="B120" t="str">
            <v>WO : 0093/ABP-WO/APJ/V/2017</v>
          </cell>
        </row>
        <row r="124">
          <cell r="F124">
            <v>13200000.000000002</v>
          </cell>
          <cell r="J124">
            <v>1</v>
          </cell>
          <cell r="K124">
            <v>13200000</v>
          </cell>
          <cell r="P124">
            <v>13200000</v>
          </cell>
          <cell r="Q124">
            <v>0</v>
          </cell>
          <cell r="R124">
            <v>0</v>
          </cell>
        </row>
        <row r="126">
          <cell r="F126">
            <v>110000000.00000001</v>
          </cell>
          <cell r="J126">
            <v>1</v>
          </cell>
          <cell r="K126">
            <v>110000000</v>
          </cell>
          <cell r="P126">
            <v>110000000</v>
          </cell>
          <cell r="Q126">
            <v>0</v>
          </cell>
          <cell r="R126">
            <v>0</v>
          </cell>
        </row>
        <row r="131">
          <cell r="Q131">
            <v>0</v>
          </cell>
          <cell r="R131">
            <v>0</v>
          </cell>
        </row>
        <row r="137">
          <cell r="F137">
            <v>369527054</v>
          </cell>
          <cell r="J137">
            <v>1</v>
          </cell>
          <cell r="K137">
            <v>369527054</v>
          </cell>
          <cell r="P137">
            <v>369527054</v>
          </cell>
          <cell r="Q137">
            <v>0</v>
          </cell>
        </row>
        <row r="142">
          <cell r="F142">
            <v>77000000</v>
          </cell>
          <cell r="J142">
            <v>1</v>
          </cell>
          <cell r="K142">
            <v>77000000</v>
          </cell>
          <cell r="P142">
            <v>77000000</v>
          </cell>
          <cell r="R142">
            <v>0</v>
          </cell>
        </row>
        <row r="147">
          <cell r="F147">
            <v>175010000</v>
          </cell>
          <cell r="J147">
            <v>1</v>
          </cell>
          <cell r="K147">
            <v>175010000</v>
          </cell>
          <cell r="P147">
            <v>175010000</v>
          </cell>
        </row>
        <row r="151">
          <cell r="F151">
            <v>16500000.000000002</v>
          </cell>
          <cell r="J151">
            <v>1</v>
          </cell>
          <cell r="K151">
            <v>16500000.000000002</v>
          </cell>
          <cell r="P151">
            <v>16500000.000000002</v>
          </cell>
          <cell r="Q151">
            <v>0</v>
          </cell>
        </row>
        <row r="156">
          <cell r="F156">
            <v>59774000.000000007</v>
          </cell>
          <cell r="J156">
            <v>1</v>
          </cell>
          <cell r="K156">
            <v>59774000.000000007</v>
          </cell>
          <cell r="P156">
            <v>59774000.000000007</v>
          </cell>
          <cell r="Q156">
            <v>0</v>
          </cell>
        </row>
      </sheetData>
      <sheetData sheetId="1"/>
      <sheetData sheetId="2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G10">
            <v>17517500000</v>
          </cell>
        </row>
        <row r="22">
          <cell r="G22">
            <v>6353516400</v>
          </cell>
        </row>
        <row r="27">
          <cell r="K27" t="str">
            <v>RET-5%</v>
          </cell>
          <cell r="L27">
            <v>23871016400</v>
          </cell>
          <cell r="Q27">
            <v>23871016400</v>
          </cell>
          <cell r="R27">
            <v>0</v>
          </cell>
          <cell r="S27">
            <v>0</v>
          </cell>
        </row>
        <row r="33">
          <cell r="S33">
            <v>0</v>
          </cell>
        </row>
        <row r="34">
          <cell r="G34">
            <v>0</v>
          </cell>
        </row>
        <row r="37">
          <cell r="G37">
            <v>4757500000</v>
          </cell>
          <cell r="K37" t="str">
            <v>RET-5%</v>
          </cell>
          <cell r="L37">
            <v>4757500000</v>
          </cell>
          <cell r="Q37">
            <v>4757500000</v>
          </cell>
          <cell r="R37">
            <v>0</v>
          </cell>
        </row>
      </sheetData>
      <sheetData sheetId="1" refreshError="1"/>
      <sheetData sheetId="2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8">
          <cell r="G18">
            <v>2786890777</v>
          </cell>
        </row>
        <row r="27">
          <cell r="L27">
            <v>58336890777</v>
          </cell>
          <cell r="Q27">
            <v>58336890777</v>
          </cell>
          <cell r="S27">
            <v>0</v>
          </cell>
        </row>
        <row r="43">
          <cell r="L43">
            <v>36103461726</v>
          </cell>
          <cell r="Q43">
            <v>36103461726</v>
          </cell>
        </row>
        <row r="52">
          <cell r="L52">
            <v>5012040000</v>
          </cell>
          <cell r="Q52">
            <v>5012040000</v>
          </cell>
          <cell r="S52">
            <v>0</v>
          </cell>
        </row>
      </sheetData>
      <sheetData sheetId="1" refreshError="1"/>
      <sheetData sheetId="2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22">
          <cell r="G22">
            <v>34674543417</v>
          </cell>
          <cell r="L22">
            <v>34674543417</v>
          </cell>
        </row>
      </sheetData>
      <sheetData sheetId="1" refreshError="1"/>
      <sheetData sheetId="2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22">
          <cell r="G22">
            <v>34674543417</v>
          </cell>
          <cell r="Q22">
            <v>34674543417</v>
          </cell>
          <cell r="R22">
            <v>0</v>
          </cell>
        </row>
      </sheetData>
      <sheetData sheetId="1" refreshError="1"/>
      <sheetData sheetId="2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27">
          <cell r="G27">
            <v>35750000</v>
          </cell>
        </row>
      </sheetData>
      <sheetData sheetId="1" refreshError="1"/>
      <sheetData sheetId="2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27">
          <cell r="G27">
            <v>1425750000</v>
          </cell>
          <cell r="L27">
            <v>35750000</v>
          </cell>
          <cell r="Q27">
            <v>35750000</v>
          </cell>
        </row>
      </sheetData>
      <sheetData sheetId="1" refreshError="1"/>
      <sheetData sheetId="2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G10">
            <v>75768000000</v>
          </cell>
        </row>
        <row r="15">
          <cell r="G15">
            <v>21640081723.700001</v>
          </cell>
        </row>
        <row r="27">
          <cell r="K27" t="str">
            <v>RET 5%</v>
          </cell>
          <cell r="L27">
            <v>97408081723</v>
          </cell>
          <cell r="Q27">
            <v>97408081723</v>
          </cell>
          <cell r="R27" t="str">
            <v>LUNAS</v>
          </cell>
        </row>
        <row r="29">
          <cell r="G29">
            <v>2017265800</v>
          </cell>
        </row>
        <row r="37">
          <cell r="K37">
            <v>1</v>
          </cell>
          <cell r="L37">
            <v>2017265800</v>
          </cell>
          <cell r="Q37">
            <v>2017265800</v>
          </cell>
          <cell r="R37" t="str">
            <v>LUNAS</v>
          </cell>
          <cell r="S37">
            <v>0</v>
          </cell>
        </row>
        <row r="38">
          <cell r="G38">
            <v>99425347523.699997</v>
          </cell>
        </row>
      </sheetData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4">
          <cell r="G34">
            <v>40650000000</v>
          </cell>
        </row>
      </sheetData>
      <sheetData sheetId="1"/>
      <sheetData sheetId="2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6">
          <cell r="G16">
            <v>1100000000</v>
          </cell>
          <cell r="S16">
            <v>0</v>
          </cell>
        </row>
        <row r="26">
          <cell r="G26">
            <v>1067000</v>
          </cell>
        </row>
      </sheetData>
      <sheetData sheetId="1" refreshError="1"/>
      <sheetData sheetId="2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6">
          <cell r="L16">
            <v>1100000000</v>
          </cell>
          <cell r="Q16">
            <v>1100000000</v>
          </cell>
          <cell r="R16">
            <v>0</v>
          </cell>
        </row>
        <row r="26">
          <cell r="G26">
            <v>1041444</v>
          </cell>
          <cell r="L26">
            <v>1041443.75</v>
          </cell>
          <cell r="Q26">
            <v>1041443.75</v>
          </cell>
          <cell r="R26">
            <v>0</v>
          </cell>
        </row>
      </sheetData>
      <sheetData sheetId="1" refreshError="1"/>
      <sheetData sheetId="2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4">
          <cell r="L24" t="str">
            <v>RET 5%</v>
          </cell>
          <cell r="M24">
            <v>731762900</v>
          </cell>
          <cell r="R24">
            <v>731762900</v>
          </cell>
        </row>
        <row r="41">
          <cell r="G41">
            <v>950580.99999999907</v>
          </cell>
          <cell r="L41">
            <v>1</v>
          </cell>
          <cell r="M41">
            <v>950580.48</v>
          </cell>
          <cell r="R41">
            <v>950580.48</v>
          </cell>
          <cell r="S41">
            <v>0</v>
          </cell>
          <cell r="T41">
            <v>0.51999999908730388</v>
          </cell>
        </row>
      </sheetData>
      <sheetData sheetId="1"/>
      <sheetData sheetId="2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G10">
            <v>29596160000</v>
          </cell>
        </row>
        <row r="32">
          <cell r="K32">
            <v>1</v>
          </cell>
          <cell r="L32">
            <v>29518863836</v>
          </cell>
          <cell r="Q32">
            <v>28042920644</v>
          </cell>
          <cell r="R32">
            <v>1475943192</v>
          </cell>
          <cell r="S32">
            <v>3.2999992370605469</v>
          </cell>
        </row>
        <row r="34">
          <cell r="G34">
            <v>1071620</v>
          </cell>
        </row>
        <row r="40">
          <cell r="G40">
            <v>29720.768000000004</v>
          </cell>
        </row>
        <row r="50">
          <cell r="K50">
            <v>1</v>
          </cell>
          <cell r="L50">
            <v>1091805.6599999999</v>
          </cell>
          <cell r="Q50">
            <v>1037215.6599999999</v>
          </cell>
          <cell r="R50">
            <v>54590</v>
          </cell>
          <cell r="S50">
            <v>0.30799999996088445</v>
          </cell>
        </row>
      </sheetData>
      <sheetData sheetId="1"/>
      <sheetData sheetId="2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9">
          <cell r="G19">
            <v>0</v>
          </cell>
          <cell r="K19">
            <v>0</v>
          </cell>
          <cell r="L19">
            <v>0</v>
          </cell>
          <cell r="Q19">
            <v>0</v>
          </cell>
          <cell r="R19">
            <v>0</v>
          </cell>
          <cell r="S19">
            <v>0</v>
          </cell>
        </row>
        <row r="31">
          <cell r="G31">
            <v>0</v>
          </cell>
          <cell r="K31" t="str">
            <v>RET</v>
          </cell>
          <cell r="L31">
            <v>48548</v>
          </cell>
          <cell r="Q31">
            <v>48548</v>
          </cell>
          <cell r="R31">
            <v>0</v>
          </cell>
          <cell r="S31">
            <v>0</v>
          </cell>
        </row>
        <row r="49">
          <cell r="G49">
            <v>0</v>
          </cell>
          <cell r="K49">
            <v>0</v>
          </cell>
          <cell r="L49">
            <v>0</v>
          </cell>
          <cell r="Q49">
            <v>0</v>
          </cell>
          <cell r="R49">
            <v>0</v>
          </cell>
          <cell r="S49">
            <v>0</v>
          </cell>
        </row>
        <row r="54">
          <cell r="G54">
            <v>0</v>
          </cell>
        </row>
        <row r="59">
          <cell r="G59">
            <v>18700</v>
          </cell>
          <cell r="K59">
            <v>1</v>
          </cell>
          <cell r="L59">
            <v>17765</v>
          </cell>
          <cell r="Q59">
            <v>17765</v>
          </cell>
          <cell r="R59">
            <v>0</v>
          </cell>
          <cell r="S59">
            <v>0</v>
          </cell>
        </row>
        <row r="62">
          <cell r="G62">
            <v>0</v>
          </cell>
        </row>
        <row r="63">
          <cell r="G63">
            <v>95530.214999999997</v>
          </cell>
          <cell r="K63" t="str">
            <v>RET</v>
          </cell>
          <cell r="L63">
            <v>95529.82925000001</v>
          </cell>
          <cell r="Q63">
            <v>95529.82925000001</v>
          </cell>
          <cell r="R63">
            <v>0</v>
          </cell>
          <cell r="S63">
            <v>0</v>
          </cell>
        </row>
        <row r="65">
          <cell r="G65">
            <v>19305392798.900002</v>
          </cell>
        </row>
        <row r="73">
          <cell r="G73">
            <v>0</v>
          </cell>
          <cell r="K73">
            <v>0</v>
          </cell>
          <cell r="L73">
            <v>0</v>
          </cell>
          <cell r="Q73">
            <v>0</v>
          </cell>
          <cell r="R73">
            <v>0</v>
          </cell>
          <cell r="S73">
            <v>0</v>
          </cell>
        </row>
        <row r="78">
          <cell r="G78">
            <v>19902643298.900002</v>
          </cell>
          <cell r="K78">
            <v>0</v>
          </cell>
          <cell r="L78">
            <v>19902643299.380001</v>
          </cell>
          <cell r="Q78">
            <v>19902643299.380001</v>
          </cell>
          <cell r="R78">
            <v>0</v>
          </cell>
          <cell r="S78">
            <v>0</v>
          </cell>
        </row>
      </sheetData>
      <sheetData sheetId="1"/>
      <sheetData sheetId="2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9">
          <cell r="G9">
            <v>37063125000</v>
          </cell>
        </row>
        <row r="10">
          <cell r="G10">
            <v>0</v>
          </cell>
        </row>
        <row r="21">
          <cell r="G21">
            <v>0</v>
          </cell>
        </row>
        <row r="25">
          <cell r="K25" t="str">
            <v>Ret 2,5%</v>
          </cell>
          <cell r="L25">
            <v>41020563873.300003</v>
          </cell>
          <cell r="Q25">
            <v>41020563873.300003</v>
          </cell>
          <cell r="R25">
            <v>0</v>
          </cell>
          <cell r="S25" t="str">
            <v>LUNAS</v>
          </cell>
        </row>
        <row r="27">
          <cell r="G27">
            <v>12354375000</v>
          </cell>
        </row>
        <row r="38">
          <cell r="G38">
            <v>1464278471.7</v>
          </cell>
        </row>
        <row r="43">
          <cell r="K43" t="str">
            <v>Ret 2,5%</v>
          </cell>
          <cell r="L43">
            <v>13818653472</v>
          </cell>
          <cell r="Q43">
            <v>13818653472</v>
          </cell>
          <cell r="R43">
            <v>0</v>
          </cell>
          <cell r="S43" t="str">
            <v>LUNAS</v>
          </cell>
        </row>
        <row r="50">
          <cell r="G50">
            <v>0</v>
          </cell>
        </row>
        <row r="53">
          <cell r="G53">
            <v>8497604731.000001</v>
          </cell>
          <cell r="K53" t="str">
            <v>RET 5%</v>
          </cell>
          <cell r="L53">
            <v>8497604731</v>
          </cell>
          <cell r="Q53">
            <v>8497604731</v>
          </cell>
          <cell r="R53">
            <v>0</v>
          </cell>
          <cell r="S53">
            <v>0</v>
          </cell>
        </row>
        <row r="61">
          <cell r="G61">
            <v>305008000</v>
          </cell>
          <cell r="K61" t="str">
            <v>RET 5%</v>
          </cell>
          <cell r="L61">
            <v>305008000</v>
          </cell>
          <cell r="Q61">
            <v>305008000</v>
          </cell>
          <cell r="R61">
            <v>0</v>
          </cell>
          <cell r="S61" t="str">
            <v>LUNAS</v>
          </cell>
        </row>
        <row r="63">
          <cell r="G63">
            <v>0</v>
          </cell>
        </row>
      </sheetData>
      <sheetData sheetId="1"/>
      <sheetData sheetId="2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Sheet1"/>
      <sheetName val="Sheet2"/>
      <sheetName val="Sheet3"/>
    </sheetNames>
    <sheetDataSet>
      <sheetData sheetId="0" refreshError="1"/>
      <sheetData sheetId="1">
        <row r="7">
          <cell r="G7">
            <v>51865000000.000008</v>
          </cell>
        </row>
        <row r="27">
          <cell r="G27">
            <v>6248286044</v>
          </cell>
        </row>
        <row r="32">
          <cell r="K32">
            <v>1</v>
          </cell>
          <cell r="L32">
            <v>58113286044</v>
          </cell>
          <cell r="Q32">
            <v>58113286044</v>
          </cell>
          <cell r="R32">
            <v>0</v>
          </cell>
          <cell r="S32">
            <v>0</v>
          </cell>
        </row>
        <row r="37">
          <cell r="G37">
            <v>47850000000.000008</v>
          </cell>
        </row>
        <row r="65">
          <cell r="G65">
            <v>2801312527.999999</v>
          </cell>
        </row>
        <row r="69">
          <cell r="K69">
            <v>1</v>
          </cell>
          <cell r="L69">
            <v>50651312528</v>
          </cell>
          <cell r="Q69">
            <v>50651312528</v>
          </cell>
          <cell r="R69">
            <v>0</v>
          </cell>
          <cell r="S69">
            <v>0</v>
          </cell>
        </row>
      </sheetData>
      <sheetData sheetId="2"/>
      <sheetData sheetId="3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9">
          <cell r="G9">
            <v>81455880000</v>
          </cell>
        </row>
        <row r="20">
          <cell r="G20">
            <v>-1920216898.5999999</v>
          </cell>
        </row>
        <row r="35">
          <cell r="K35" t="str">
            <v>RET 2,5%</v>
          </cell>
          <cell r="L35">
            <v>79535663086</v>
          </cell>
          <cell r="Q35">
            <v>79535663086</v>
          </cell>
          <cell r="R35">
            <v>0</v>
          </cell>
        </row>
        <row r="82">
          <cell r="K82">
            <v>6.4999999999999997E-3</v>
          </cell>
          <cell r="L82">
            <v>37392.959999999999</v>
          </cell>
          <cell r="Q82">
            <v>37392.959999999999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4">
          <cell r="K34">
            <v>0.534219</v>
          </cell>
          <cell r="L34">
            <v>22520495218</v>
          </cell>
          <cell r="Q34">
            <v>22520495218</v>
          </cell>
          <cell r="R34">
            <v>0</v>
          </cell>
          <cell r="S34">
            <v>18129504782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4">
          <cell r="G34">
            <v>130570000000.00002</v>
          </cell>
          <cell r="I34">
            <v>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4">
          <cell r="K34">
            <v>0.20530000000000001</v>
          </cell>
          <cell r="L34">
            <v>61747951586</v>
          </cell>
          <cell r="Q34">
            <v>57566851586</v>
          </cell>
          <cell r="R34">
            <v>4181100000</v>
          </cell>
          <cell r="S34">
            <v>68822048414.000015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PART@TAMAN%20PERMATA%20BUAN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A93"/>
  <sheetViews>
    <sheetView showGridLines="0" view="pageBreakPreview" topLeftCell="A6" zoomScale="76" zoomScaleNormal="100" zoomScaleSheetLayoutView="76" workbookViewId="0">
      <selection activeCell="D36" sqref="D36"/>
    </sheetView>
  </sheetViews>
  <sheetFormatPr defaultRowHeight="15" x14ac:dyDescent="0.25"/>
  <cols>
    <col min="1" max="1" width="10" bestFit="1" customWidth="1"/>
    <col min="2" max="2" width="7.5703125" customWidth="1"/>
    <col min="5" max="5" width="7.42578125" customWidth="1"/>
    <col min="6" max="6" width="7.85546875" customWidth="1"/>
    <col min="7" max="7" width="17.85546875" customWidth="1"/>
    <col min="8" max="8" width="16.28515625" hidden="1" customWidth="1"/>
    <col min="9" max="9" width="14.42578125" hidden="1" customWidth="1"/>
    <col min="10" max="10" width="10.5703125" hidden="1" customWidth="1"/>
    <col min="11" max="11" width="13.140625" hidden="1" customWidth="1"/>
    <col min="12" max="12" width="17.7109375" style="42" customWidth="1"/>
    <col min="13" max="16" width="0" hidden="1" customWidth="1"/>
    <col min="17" max="17" width="16.85546875" customWidth="1"/>
    <col min="18" max="18" width="17.140625" customWidth="1"/>
    <col min="19" max="19" width="16.85546875" customWidth="1"/>
    <col min="20" max="20" width="10.85546875" customWidth="1"/>
    <col min="22" max="22" width="20.5703125" style="93" customWidth="1"/>
    <col min="23" max="23" width="17.28515625" customWidth="1"/>
    <col min="24" max="26" width="17.85546875" style="93" customWidth="1"/>
  </cols>
  <sheetData>
    <row r="4" spans="2:27" ht="23.25" x14ac:dyDescent="0.25">
      <c r="B4" s="404" t="s">
        <v>0</v>
      </c>
      <c r="C4" s="404"/>
      <c r="D4" s="404"/>
      <c r="E4" s="404"/>
      <c r="F4" s="404"/>
      <c r="G4" s="404"/>
      <c r="H4" s="404"/>
      <c r="I4" s="404"/>
      <c r="J4" s="404"/>
      <c r="K4" s="404"/>
      <c r="L4" s="404"/>
      <c r="M4" s="404"/>
      <c r="N4" s="404"/>
      <c r="O4" s="404"/>
      <c r="P4" s="404"/>
      <c r="Q4" s="404"/>
      <c r="R4" s="404"/>
      <c r="S4" s="404"/>
      <c r="T4" s="404"/>
    </row>
    <row r="5" spans="2:27" ht="23.25" x14ac:dyDescent="0.35">
      <c r="B5" s="26"/>
      <c r="C5" s="1"/>
      <c r="D5" s="1"/>
      <c r="E5" s="1"/>
      <c r="F5" s="1"/>
      <c r="G5" s="1" t="s">
        <v>13</v>
      </c>
      <c r="H5" s="1"/>
      <c r="I5" s="1"/>
      <c r="J5" s="1"/>
      <c r="K5" s="1"/>
      <c r="L5" s="39"/>
      <c r="M5" s="1"/>
      <c r="N5" s="1"/>
      <c r="O5" s="1"/>
      <c r="P5" s="1"/>
      <c r="Q5" s="1"/>
      <c r="R5" s="1"/>
      <c r="S5" s="1"/>
      <c r="T5" s="1"/>
      <c r="V5" s="93" t="s">
        <v>13</v>
      </c>
    </row>
    <row r="6" spans="2:27" ht="47.25" x14ac:dyDescent="0.25">
      <c r="B6" s="5" t="s">
        <v>1</v>
      </c>
      <c r="C6" s="7" t="s">
        <v>2</v>
      </c>
      <c r="D6" s="7"/>
      <c r="E6" s="7"/>
      <c r="F6" s="12"/>
      <c r="G6" s="5" t="s">
        <v>3</v>
      </c>
      <c r="H6" s="5" t="s">
        <v>4</v>
      </c>
      <c r="I6" s="5" t="s">
        <v>5</v>
      </c>
      <c r="J6" s="5" t="s">
        <v>6</v>
      </c>
      <c r="K6" s="5" t="s">
        <v>7</v>
      </c>
      <c r="L6" s="40" t="s">
        <v>19</v>
      </c>
      <c r="M6" s="5" t="s">
        <v>8</v>
      </c>
      <c r="N6" s="5" t="s">
        <v>9</v>
      </c>
      <c r="O6" s="5" t="s">
        <v>10</v>
      </c>
      <c r="P6" s="5" t="s">
        <v>11</v>
      </c>
      <c r="Q6" s="5" t="s">
        <v>20</v>
      </c>
      <c r="R6" s="5" t="s">
        <v>21</v>
      </c>
      <c r="S6" s="5" t="s">
        <v>22</v>
      </c>
      <c r="T6" s="5" t="s">
        <v>12</v>
      </c>
      <c r="V6" s="5" t="s">
        <v>3</v>
      </c>
      <c r="W6" s="5" t="s">
        <v>4</v>
      </c>
      <c r="X6" s="5" t="s">
        <v>5</v>
      </c>
      <c r="Y6" s="5" t="s">
        <v>6</v>
      </c>
      <c r="Z6" s="5" t="s">
        <v>7</v>
      </c>
      <c r="AA6" s="40" t="s">
        <v>19</v>
      </c>
    </row>
    <row r="7" spans="2:27" ht="16.5" x14ac:dyDescent="0.3">
      <c r="B7" s="43"/>
      <c r="C7" s="8"/>
      <c r="D7" s="9"/>
      <c r="E7" s="9"/>
      <c r="F7" s="13"/>
      <c r="G7" s="43"/>
      <c r="H7" s="43"/>
      <c r="I7" s="43"/>
      <c r="J7" s="2"/>
      <c r="K7" s="43"/>
      <c r="L7" s="41"/>
      <c r="M7" s="2"/>
      <c r="N7" s="43"/>
      <c r="O7" s="43"/>
      <c r="P7" s="43"/>
      <c r="Q7" s="3"/>
      <c r="R7" s="43"/>
      <c r="S7" s="43"/>
      <c r="T7" s="127"/>
      <c r="V7" s="43"/>
      <c r="W7" s="43"/>
      <c r="X7" s="43"/>
      <c r="Y7" s="2"/>
      <c r="Z7" s="43"/>
      <c r="AA7" s="41"/>
    </row>
    <row r="8" spans="2:27" ht="16.5" x14ac:dyDescent="0.25">
      <c r="B8" s="145">
        <v>1</v>
      </c>
      <c r="C8" s="414" t="s">
        <v>227</v>
      </c>
      <c r="D8" s="415"/>
      <c r="E8" s="415"/>
      <c r="F8" s="23" t="s">
        <v>25</v>
      </c>
      <c r="G8" s="136">
        <f>+'PERINCIAN PROYEK'!H15</f>
        <v>131330900000</v>
      </c>
      <c r="H8" s="145"/>
      <c r="I8" s="145"/>
      <c r="J8" s="31"/>
      <c r="K8" s="145"/>
      <c r="L8" s="136">
        <f>+'PERINCIAN PROYEK'!M15</f>
        <v>27581675000</v>
      </c>
      <c r="M8" s="136" t="e">
        <f>+'PERINCIAN PROYEK'!#REF!</f>
        <v>#REF!</v>
      </c>
      <c r="N8" s="136" t="e">
        <f>+'PERINCIAN PROYEK'!#REF!</f>
        <v>#REF!</v>
      </c>
      <c r="O8" s="136" t="e">
        <f>+'PERINCIAN PROYEK'!#REF!</f>
        <v>#REF!</v>
      </c>
      <c r="P8" s="136" t="e">
        <f>+'PERINCIAN PROYEK'!#REF!</f>
        <v>#REF!</v>
      </c>
      <c r="Q8" s="136">
        <f>+'PERINCIAN PROYEK'!R15</f>
        <v>27581675000</v>
      </c>
      <c r="R8" s="136">
        <f>+'PERINCIAN PROYEK'!S15</f>
        <v>0</v>
      </c>
      <c r="S8" s="136">
        <f>+'PERINCIAN PROYEK'!T15</f>
        <v>103749225000</v>
      </c>
      <c r="T8" s="6"/>
      <c r="V8" s="145"/>
      <c r="W8" s="145"/>
      <c r="X8" s="145"/>
      <c r="Y8" s="31"/>
      <c r="Z8" s="145"/>
      <c r="AA8" s="134"/>
    </row>
    <row r="9" spans="2:27" ht="16.5" x14ac:dyDescent="0.3">
      <c r="B9" s="145"/>
      <c r="C9" s="133"/>
      <c r="D9" s="29"/>
      <c r="E9" s="29"/>
      <c r="F9" s="30"/>
      <c r="G9" s="145"/>
      <c r="H9" s="145"/>
      <c r="I9" s="145"/>
      <c r="J9" s="31"/>
      <c r="K9" s="145"/>
      <c r="L9" s="134"/>
      <c r="M9" s="31"/>
      <c r="N9" s="145"/>
      <c r="O9" s="145"/>
      <c r="P9" s="145"/>
      <c r="Q9" s="135"/>
      <c r="R9" s="145"/>
      <c r="S9" s="145"/>
      <c r="T9" s="6"/>
      <c r="V9" s="145"/>
      <c r="W9" s="145"/>
      <c r="X9" s="145"/>
      <c r="Y9" s="31"/>
      <c r="Z9" s="145"/>
      <c r="AA9" s="134"/>
    </row>
    <row r="10" spans="2:27" ht="16.5" x14ac:dyDescent="0.25">
      <c r="B10" s="145">
        <v>2</v>
      </c>
      <c r="C10" s="414" t="s">
        <v>200</v>
      </c>
      <c r="D10" s="415"/>
      <c r="E10" s="415"/>
      <c r="F10" s="23" t="s">
        <v>25</v>
      </c>
      <c r="G10" s="136">
        <f>+'PERINCIAN PROYEK'!H39</f>
        <v>548323078611.40002</v>
      </c>
      <c r="H10" s="145"/>
      <c r="I10" s="145"/>
      <c r="J10" s="31"/>
      <c r="K10" s="145"/>
      <c r="L10" s="136">
        <f>+'PERINCIAN PROYEK'!M39</f>
        <v>270380376237</v>
      </c>
      <c r="M10" s="136" t="e">
        <f>+'PERINCIAN PROYEK'!#REF!</f>
        <v>#REF!</v>
      </c>
      <c r="N10" s="136" t="e">
        <f>+'PERINCIAN PROYEK'!#REF!</f>
        <v>#REF!</v>
      </c>
      <c r="O10" s="136" t="e">
        <f>+'PERINCIAN PROYEK'!#REF!</f>
        <v>#REF!</v>
      </c>
      <c r="P10" s="136" t="e">
        <f>+'PERINCIAN PROYEK'!#REF!</f>
        <v>#REF!</v>
      </c>
      <c r="Q10" s="136">
        <f>+'PERINCIAN PROYEK'!R39</f>
        <v>248790826021</v>
      </c>
      <c r="R10" s="136">
        <f>+'PERINCIAN PROYEK'!S39</f>
        <v>21589550216</v>
      </c>
      <c r="S10" s="136">
        <f>+'PERINCIAN PROYEK'!T39</f>
        <v>277942702374.40002</v>
      </c>
      <c r="T10" s="6"/>
      <c r="V10" s="136">
        <v>377329500000</v>
      </c>
      <c r="W10" s="145"/>
      <c r="X10" s="145"/>
      <c r="Y10" s="31"/>
      <c r="Z10" s="145"/>
      <c r="AA10" s="136">
        <v>68029584419</v>
      </c>
    </row>
    <row r="11" spans="2:27" ht="16.5" x14ac:dyDescent="0.3">
      <c r="B11" s="145"/>
      <c r="C11" s="133"/>
      <c r="D11" s="29"/>
      <c r="E11" s="29"/>
      <c r="F11" s="30"/>
      <c r="G11" s="145"/>
      <c r="H11" s="145"/>
      <c r="I11" s="145"/>
      <c r="J11" s="31"/>
      <c r="K11" s="145"/>
      <c r="L11" s="134"/>
      <c r="M11" s="31"/>
      <c r="N11" s="145"/>
      <c r="O11" s="145"/>
      <c r="P11" s="145"/>
      <c r="Q11" s="135"/>
      <c r="R11" s="145"/>
      <c r="S11" s="145"/>
      <c r="T11" s="6"/>
      <c r="V11" s="145"/>
      <c r="W11" s="145"/>
      <c r="X11" s="145"/>
      <c r="Y11" s="31"/>
      <c r="Z11" s="145"/>
      <c r="AA11" s="134"/>
    </row>
    <row r="12" spans="2:27" ht="16.5" x14ac:dyDescent="0.25">
      <c r="B12" s="145">
        <f>+B10+1</f>
        <v>3</v>
      </c>
      <c r="C12" s="414" t="s">
        <v>171</v>
      </c>
      <c r="D12" s="415"/>
      <c r="E12" s="415"/>
      <c r="F12" s="23" t="s">
        <v>25</v>
      </c>
      <c r="G12" s="136">
        <f>+'PERINCIAN PROYEK'!H72</f>
        <v>438316328733</v>
      </c>
      <c r="H12" s="145"/>
      <c r="I12" s="145"/>
      <c r="J12" s="31"/>
      <c r="K12" s="145"/>
      <c r="L12" s="136">
        <f>+'PERINCIAN PROYEK'!M72</f>
        <v>379237316929</v>
      </c>
      <c r="M12" s="136">
        <f>+'PERINCIAN PROYEK'!N72</f>
        <v>0</v>
      </c>
      <c r="N12" s="136">
        <f>+'PERINCIAN PROYEK'!O72</f>
        <v>0</v>
      </c>
      <c r="O12" s="136">
        <f>+'PERINCIAN PROYEK'!P72</f>
        <v>0</v>
      </c>
      <c r="P12" s="136">
        <f>+'PERINCIAN PROYEK'!Q72</f>
        <v>0</v>
      </c>
      <c r="Q12" s="255">
        <f>+'PERINCIAN PROYEK'!R72</f>
        <v>362576442207</v>
      </c>
      <c r="R12" s="255">
        <f>+'PERINCIAN PROYEK'!S72</f>
        <v>16660874722</v>
      </c>
      <c r="S12" s="255">
        <f>+G12-L12</f>
        <v>59079011804</v>
      </c>
      <c r="T12" s="302"/>
      <c r="V12" s="136">
        <v>471345534379.79999</v>
      </c>
      <c r="W12" s="145"/>
      <c r="X12" s="145"/>
      <c r="Y12" s="31"/>
      <c r="Z12" s="145"/>
      <c r="AA12" s="136">
        <v>218561907781</v>
      </c>
    </row>
    <row r="13" spans="2:27" ht="16.5" x14ac:dyDescent="0.3">
      <c r="B13" s="145"/>
      <c r="C13" s="15"/>
      <c r="D13" s="16"/>
      <c r="E13" s="16"/>
      <c r="F13" s="23" t="s">
        <v>26</v>
      </c>
      <c r="G13" s="145"/>
      <c r="H13" s="145"/>
      <c r="I13" s="145"/>
      <c r="J13" s="31"/>
      <c r="K13" s="145"/>
      <c r="L13" s="134"/>
      <c r="M13" s="31"/>
      <c r="N13" s="145"/>
      <c r="O13" s="145"/>
      <c r="P13" s="145"/>
      <c r="Q13" s="135"/>
      <c r="R13" s="145"/>
      <c r="S13" s="145"/>
      <c r="T13" s="6"/>
      <c r="V13" s="145"/>
      <c r="W13" s="145"/>
      <c r="X13" s="145"/>
      <c r="Y13" s="31"/>
      <c r="Z13" s="145"/>
      <c r="AA13" s="134"/>
    </row>
    <row r="14" spans="2:27" ht="16.5" x14ac:dyDescent="0.3">
      <c r="B14" s="145"/>
      <c r="C14" s="133"/>
      <c r="D14" s="29"/>
      <c r="E14" s="29"/>
      <c r="F14" s="30"/>
      <c r="G14" s="145"/>
      <c r="H14" s="145"/>
      <c r="I14" s="145"/>
      <c r="J14" s="31"/>
      <c r="K14" s="145"/>
      <c r="L14" s="134"/>
      <c r="M14" s="31"/>
      <c r="N14" s="145"/>
      <c r="O14" s="145"/>
      <c r="P14" s="145"/>
      <c r="Q14" s="135"/>
      <c r="R14" s="145"/>
      <c r="S14" s="145"/>
      <c r="T14" s="6"/>
      <c r="V14" s="145"/>
      <c r="W14" s="145"/>
      <c r="X14" s="145"/>
      <c r="Y14" s="31"/>
      <c r="Z14" s="145"/>
      <c r="AA14" s="134"/>
    </row>
    <row r="15" spans="2:27" ht="16.5" x14ac:dyDescent="0.3">
      <c r="B15" s="14">
        <f>+B12+1</f>
        <v>4</v>
      </c>
      <c r="C15" s="414" t="s">
        <v>142</v>
      </c>
      <c r="D15" s="415"/>
      <c r="E15" s="415"/>
      <c r="F15" s="23" t="s">
        <v>25</v>
      </c>
      <c r="G15" s="27">
        <f>+'PERINCIAN PROYEK'!H104</f>
        <v>237165783791.397</v>
      </c>
      <c r="H15" s="27">
        <f>+[1]Sheet1!H21</f>
        <v>199999999.99999997</v>
      </c>
      <c r="I15" s="130" t="s">
        <v>15</v>
      </c>
      <c r="J15" s="31">
        <v>41363</v>
      </c>
      <c r="K15" s="53"/>
      <c r="L15" s="27">
        <f>+'PERINCIAN PROYEK'!M104</f>
        <v>215681553126.69897</v>
      </c>
      <c r="M15" s="4"/>
      <c r="N15" s="10"/>
      <c r="O15" s="10"/>
      <c r="P15" s="10"/>
      <c r="Q15" s="28">
        <f>+'PERINCIAN PROYEK'!R104</f>
        <v>209405786934.79901</v>
      </c>
      <c r="R15" s="28">
        <f>+'PERINCIAN PROYEK'!S104</f>
        <v>6275766191.8999996</v>
      </c>
      <c r="S15" s="28">
        <f>+'PERINCIAN PROYEK'!T104</f>
        <v>18969080157.596016</v>
      </c>
      <c r="T15" s="6"/>
      <c r="V15" s="27">
        <v>235569656825.69699</v>
      </c>
      <c r="W15" s="27">
        <v>199999999.99999997</v>
      </c>
      <c r="X15" s="145" t="s">
        <v>15</v>
      </c>
      <c r="Y15" s="31">
        <v>41363</v>
      </c>
      <c r="Z15" s="53"/>
      <c r="AA15" s="27">
        <v>192605198843.99899</v>
      </c>
    </row>
    <row r="16" spans="2:27" ht="16.5" x14ac:dyDescent="0.3">
      <c r="B16" s="14"/>
      <c r="C16" s="15"/>
      <c r="D16" s="16"/>
      <c r="E16" s="16"/>
      <c r="F16" s="23" t="s">
        <v>26</v>
      </c>
      <c r="G16" s="34"/>
      <c r="H16" s="34"/>
      <c r="I16" s="37"/>
      <c r="J16" s="37"/>
      <c r="K16" s="33"/>
      <c r="L16" s="34"/>
      <c r="M16" s="35"/>
      <c r="N16" s="35"/>
      <c r="O16" s="35"/>
      <c r="P16" s="35"/>
      <c r="Q16" s="36"/>
      <c r="R16" s="28"/>
      <c r="S16" s="36"/>
      <c r="T16" s="6"/>
      <c r="V16" s="34"/>
      <c r="W16" s="34"/>
      <c r="X16" s="37"/>
      <c r="Y16" s="37"/>
      <c r="Z16" s="33"/>
      <c r="AA16" s="34"/>
    </row>
    <row r="17" spans="2:27" ht="16.5" x14ac:dyDescent="0.3">
      <c r="B17" s="130"/>
      <c r="C17" s="133"/>
      <c r="D17" s="29"/>
      <c r="E17" s="29"/>
      <c r="F17" s="30"/>
      <c r="G17" s="130"/>
      <c r="H17" s="130"/>
      <c r="I17" s="130"/>
      <c r="J17" s="31"/>
      <c r="K17" s="130"/>
      <c r="L17" s="134"/>
      <c r="M17" s="31"/>
      <c r="N17" s="130"/>
      <c r="O17" s="130"/>
      <c r="P17" s="130"/>
      <c r="Q17" s="135"/>
      <c r="R17" s="136"/>
      <c r="S17" s="145"/>
      <c r="T17" s="6"/>
      <c r="V17" s="145"/>
      <c r="W17" s="145"/>
      <c r="X17" s="145"/>
      <c r="Y17" s="31"/>
      <c r="Z17" s="145"/>
      <c r="AA17" s="134"/>
    </row>
    <row r="18" spans="2:27" ht="16.5" x14ac:dyDescent="0.3">
      <c r="B18" s="14">
        <f>+B15+1</f>
        <v>5</v>
      </c>
      <c r="C18" s="15" t="s">
        <v>69</v>
      </c>
      <c r="D18" s="16"/>
      <c r="E18" s="16"/>
      <c r="F18" s="23" t="s">
        <v>25</v>
      </c>
      <c r="G18" s="27">
        <f>+'PERINCIAN PROYEK'!H131</f>
        <v>201788959758.69601</v>
      </c>
      <c r="H18" s="27">
        <f>+[1]Sheet1!H24</f>
        <v>0</v>
      </c>
      <c r="I18" s="44" t="s">
        <v>15</v>
      </c>
      <c r="J18" s="31">
        <v>41363</v>
      </c>
      <c r="K18" s="53"/>
      <c r="L18" s="27">
        <f>+'PERINCIAN PROYEK'!M131</f>
        <v>201788959757.70001</v>
      </c>
      <c r="M18" s="4"/>
      <c r="N18" s="10"/>
      <c r="O18" s="10"/>
      <c r="P18" s="10"/>
      <c r="Q18" s="27">
        <f>+'PERINCIAN PROYEK'!R131</f>
        <v>197811162443.70001</v>
      </c>
      <c r="R18" s="27">
        <f>+'PERINCIAN PROYEK'!S131</f>
        <v>3977797313</v>
      </c>
      <c r="S18" s="27">
        <f>+'PERINCIAN PROYEK'!T131</f>
        <v>1</v>
      </c>
      <c r="T18" s="6"/>
      <c r="V18" s="27">
        <v>201539017758.69601</v>
      </c>
      <c r="W18" s="27">
        <v>0</v>
      </c>
      <c r="X18" s="145" t="s">
        <v>15</v>
      </c>
      <c r="Y18" s="31">
        <v>41363</v>
      </c>
      <c r="Z18" s="53"/>
      <c r="AA18" s="27">
        <v>200127442750.70001</v>
      </c>
    </row>
    <row r="19" spans="2:27" ht="16.5" x14ac:dyDescent="0.3">
      <c r="B19" s="14"/>
      <c r="C19" s="15"/>
      <c r="D19" s="16"/>
      <c r="E19" s="16"/>
      <c r="F19" s="23" t="s">
        <v>26</v>
      </c>
      <c r="G19" s="34">
        <f>+'PERINCIAN PROYEK'!H132</f>
        <v>2093589.899999999</v>
      </c>
      <c r="H19" s="34"/>
      <c r="I19" s="37"/>
      <c r="J19" s="37"/>
      <c r="K19" s="33"/>
      <c r="L19" s="34">
        <f>+'PERINCIAN PROYEK'!M132</f>
        <v>2093594.58</v>
      </c>
      <c r="M19" s="35"/>
      <c r="N19" s="35"/>
      <c r="O19" s="35"/>
      <c r="P19" s="35"/>
      <c r="Q19" s="36">
        <f>+'PERINCIAN PROYEK'!R132</f>
        <v>2036444.08</v>
      </c>
      <c r="R19" s="36">
        <f>+'PERINCIAN PROYEK'!S132</f>
        <v>57150.5</v>
      </c>
      <c r="S19" s="36">
        <f>+'PERINCIAN PROYEK'!T132</f>
        <v>-4.6800000010989606</v>
      </c>
      <c r="T19" s="6"/>
      <c r="V19" s="34">
        <v>2093589.899999999</v>
      </c>
      <c r="W19" s="34"/>
      <c r="X19" s="37"/>
      <c r="Y19" s="37"/>
      <c r="Z19" s="33"/>
      <c r="AA19" s="34">
        <v>2093594.58</v>
      </c>
    </row>
    <row r="20" spans="2:27" ht="16.5" x14ac:dyDescent="0.3">
      <c r="B20" s="14"/>
      <c r="C20" s="15"/>
      <c r="D20" s="16"/>
      <c r="E20" s="16"/>
      <c r="F20" s="23"/>
      <c r="G20" s="27"/>
      <c r="H20" s="27"/>
      <c r="I20" s="44"/>
      <c r="J20" s="31"/>
      <c r="K20" s="53"/>
      <c r="L20" s="28"/>
      <c r="M20" s="4"/>
      <c r="N20" s="10"/>
      <c r="O20" s="10"/>
      <c r="P20" s="10"/>
      <c r="Q20" s="11"/>
      <c r="R20" s="32"/>
      <c r="S20" s="28"/>
      <c r="T20" s="6"/>
      <c r="V20" s="27"/>
      <c r="W20" s="27"/>
      <c r="X20" s="145"/>
      <c r="Y20" s="31"/>
      <c r="Z20" s="53"/>
      <c r="AA20" s="28"/>
    </row>
    <row r="21" spans="2:27" ht="16.5" x14ac:dyDescent="0.3">
      <c r="B21" s="14">
        <f>+B18+1</f>
        <v>6</v>
      </c>
      <c r="C21" s="15" t="s">
        <v>70</v>
      </c>
      <c r="D21" s="22"/>
      <c r="E21" s="22"/>
      <c r="F21" s="23" t="s">
        <v>25</v>
      </c>
      <c r="G21" s="21">
        <f>+'PERINCIAN PROYEK'!H198</f>
        <v>241521798319.80002</v>
      </c>
      <c r="H21" s="21"/>
      <c r="I21" s="44"/>
      <c r="J21" s="31"/>
      <c r="K21" s="33"/>
      <c r="L21" s="21">
        <f>+'PERINCIAN PROYEK'!M198</f>
        <v>241480394636.45999</v>
      </c>
      <c r="M21" s="4"/>
      <c r="N21" s="10"/>
      <c r="O21" s="10"/>
      <c r="P21" s="10"/>
      <c r="Q21" s="11">
        <f>+'PERINCIAN PROYEK'!R198</f>
        <v>241388443490.45999</v>
      </c>
      <c r="R21" s="11">
        <f>+'PERINCIAN PROYEK'!S198</f>
        <v>91951146</v>
      </c>
      <c r="S21" s="11">
        <f>+'PERINCIAN PROYEK'!T198</f>
        <v>41403683.340026855</v>
      </c>
      <c r="T21" s="6"/>
      <c r="V21" s="21">
        <v>241915708176.80002</v>
      </c>
      <c r="W21" s="21"/>
      <c r="X21" s="145"/>
      <c r="Y21" s="31"/>
      <c r="Z21" s="33"/>
      <c r="AA21" s="21">
        <v>238319442649.45999</v>
      </c>
    </row>
    <row r="22" spans="2:27" ht="16.5" x14ac:dyDescent="0.3">
      <c r="B22" s="14"/>
      <c r="C22" s="15"/>
      <c r="D22" s="22"/>
      <c r="E22" s="22"/>
      <c r="F22" s="23" t="s">
        <v>26</v>
      </c>
      <c r="G22" s="34">
        <f>+'PERINCIAN PROYEK'!H199</f>
        <v>5499055.9000000004</v>
      </c>
      <c r="H22" s="34"/>
      <c r="I22" s="37"/>
      <c r="J22" s="37"/>
      <c r="K22" s="33"/>
      <c r="L22" s="34">
        <f>+'PERINCIAN PROYEK'!M199</f>
        <v>5499054.4614499994</v>
      </c>
      <c r="M22" s="35"/>
      <c r="N22" s="35"/>
      <c r="O22" s="35"/>
      <c r="P22" s="35"/>
      <c r="Q22" s="36">
        <f>+'PERINCIAN PROYEK'!R199</f>
        <v>5494655.4614499994</v>
      </c>
      <c r="R22" s="36">
        <f>+'PERINCIAN PROYEK'!S199</f>
        <v>4399</v>
      </c>
      <c r="S22" s="36">
        <f>+'PERINCIAN PROYEK'!T199</f>
        <v>0.71700000000419095</v>
      </c>
      <c r="T22" s="6"/>
      <c r="V22" s="34">
        <v>5499575.9230000004</v>
      </c>
      <c r="W22" s="34"/>
      <c r="X22" s="37"/>
      <c r="Y22" s="37"/>
      <c r="Z22" s="33"/>
      <c r="AA22" s="34">
        <v>5355405.4614499994</v>
      </c>
    </row>
    <row r="23" spans="2:27" ht="16.5" x14ac:dyDescent="0.3">
      <c r="B23" s="14"/>
      <c r="C23" s="18"/>
      <c r="D23" s="24"/>
      <c r="E23" s="24"/>
      <c r="F23" s="20"/>
      <c r="G23" s="21"/>
      <c r="H23" s="21"/>
      <c r="I23" s="44"/>
      <c r="J23" s="31"/>
      <c r="K23" s="33"/>
      <c r="L23" s="32"/>
      <c r="M23" s="31"/>
      <c r="N23" s="44"/>
      <c r="O23" s="44"/>
      <c r="P23" s="44"/>
      <c r="Q23" s="11"/>
      <c r="R23" s="32"/>
      <c r="S23" s="28"/>
      <c r="T23" s="6"/>
      <c r="V23" s="21"/>
      <c r="W23" s="21"/>
      <c r="X23" s="145"/>
      <c r="Y23" s="31"/>
      <c r="Z23" s="33"/>
      <c r="AA23" s="32"/>
    </row>
    <row r="24" spans="2:27" ht="16.5" hidden="1" x14ac:dyDescent="0.3">
      <c r="B24" s="14">
        <f>+B21+1</f>
        <v>7</v>
      </c>
      <c r="C24" s="15" t="s">
        <v>71</v>
      </c>
      <c r="D24" s="22"/>
      <c r="E24" s="22"/>
      <c r="F24" s="23" t="s">
        <v>25</v>
      </c>
      <c r="G24" s="27">
        <f>+'PERINCIAN PROYEK'!H289</f>
        <v>360610942045.5</v>
      </c>
      <c r="H24" s="34"/>
      <c r="I24" s="37"/>
      <c r="J24" s="37"/>
      <c r="K24" s="33"/>
      <c r="L24" s="27">
        <f>+'PERINCIAN PROYEK'!M289</f>
        <v>360610942029.29999</v>
      </c>
      <c r="M24" s="35"/>
      <c r="N24" s="35"/>
      <c r="O24" s="35"/>
      <c r="P24" s="35"/>
      <c r="Q24" s="28">
        <f>+'PERINCIAN PROYEK'!R289</f>
        <v>356485176029.29999</v>
      </c>
      <c r="R24" s="28">
        <f>+'PERINCIAN PROYEK'!S289</f>
        <v>4125766000</v>
      </c>
      <c r="S24" s="28">
        <f>+'PERINCIAN PROYEK'!T289</f>
        <v>16.499994277954102</v>
      </c>
      <c r="T24" s="6"/>
      <c r="V24" s="27">
        <v>360367798045.5</v>
      </c>
      <c r="W24" s="34"/>
      <c r="X24" s="37"/>
      <c r="Y24" s="37"/>
      <c r="Z24" s="33"/>
      <c r="AA24" s="27">
        <v>359098303414.29999</v>
      </c>
    </row>
    <row r="25" spans="2:27" ht="16.5" hidden="1" x14ac:dyDescent="0.3">
      <c r="B25" s="14"/>
      <c r="C25" s="18"/>
      <c r="D25" s="24"/>
      <c r="E25" s="24"/>
      <c r="F25" s="23" t="s">
        <v>26</v>
      </c>
      <c r="G25" s="34">
        <f>+'PERINCIAN PROYEK'!H290</f>
        <v>3285060</v>
      </c>
      <c r="H25" s="34"/>
      <c r="I25" s="37"/>
      <c r="J25" s="37"/>
      <c r="K25" s="33"/>
      <c r="L25" s="34">
        <f>+'PERINCIAN PROYEK'!M290</f>
        <v>3285059.4000000004</v>
      </c>
      <c r="M25" s="35"/>
      <c r="N25" s="35"/>
      <c r="O25" s="35"/>
      <c r="P25" s="35"/>
      <c r="Q25" s="36">
        <f>+'PERINCIAN PROYEK'!R290</f>
        <v>3285059.4000000004</v>
      </c>
      <c r="R25" s="36">
        <f>+'PERINCIAN PROYEK'!S290</f>
        <v>0</v>
      </c>
      <c r="S25" s="36">
        <f>+'PERINCIAN PROYEK'!T290</f>
        <v>0.59999999962747097</v>
      </c>
      <c r="T25" s="6"/>
      <c r="V25" s="34">
        <v>3285060</v>
      </c>
      <c r="W25" s="34"/>
      <c r="X25" s="37"/>
      <c r="Y25" s="37"/>
      <c r="Z25" s="33"/>
      <c r="AA25" s="34">
        <v>3285059.4000000004</v>
      </c>
    </row>
    <row r="26" spans="2:27" ht="16.5" hidden="1" x14ac:dyDescent="0.3">
      <c r="B26" s="14"/>
      <c r="C26" s="18"/>
      <c r="D26" s="24"/>
      <c r="E26" s="24"/>
      <c r="F26" s="23" t="s">
        <v>59</v>
      </c>
      <c r="G26" s="46">
        <f>+'PERINCIAN PROYEK'!H291</f>
        <v>9480870.5999999996</v>
      </c>
      <c r="H26" s="45"/>
      <c r="I26" s="49"/>
      <c r="J26" s="49"/>
      <c r="K26" s="77"/>
      <c r="L26" s="46">
        <f>+'PERINCIAN PROYEK'!M291</f>
        <v>9480869.6500000041</v>
      </c>
      <c r="M26" s="47"/>
      <c r="N26" s="47"/>
      <c r="O26" s="47"/>
      <c r="P26" s="47"/>
      <c r="Q26" s="48">
        <f>+'PERINCIAN PROYEK'!R291</f>
        <v>9480869.6500000041</v>
      </c>
      <c r="R26" s="48">
        <f>+'PERINCIAN PROYEK'!S291</f>
        <v>0</v>
      </c>
      <c r="S26" s="48">
        <f>+'PERINCIAN PROYEK'!T291</f>
        <v>0.94999999552965164</v>
      </c>
      <c r="T26" s="6"/>
      <c r="V26" s="46">
        <v>9480870.5999999996</v>
      </c>
      <c r="W26" s="45"/>
      <c r="X26" s="49"/>
      <c r="Y26" s="49"/>
      <c r="Z26" s="77"/>
      <c r="AA26" s="46">
        <v>9480869.6500000041</v>
      </c>
    </row>
    <row r="27" spans="2:27" ht="16.5" x14ac:dyDescent="0.3">
      <c r="B27" s="14"/>
      <c r="C27" s="18"/>
      <c r="D27" s="24"/>
      <c r="E27" s="24"/>
      <c r="F27" s="25"/>
      <c r="G27" s="21"/>
      <c r="H27" s="21"/>
      <c r="I27" s="44"/>
      <c r="J27" s="31"/>
      <c r="K27" s="33"/>
      <c r="L27" s="32"/>
      <c r="M27" s="32"/>
      <c r="N27" s="32"/>
      <c r="O27" s="32"/>
      <c r="P27" s="32"/>
      <c r="Q27" s="28"/>
      <c r="R27" s="32"/>
      <c r="S27" s="28"/>
      <c r="T27" s="6"/>
      <c r="V27" s="21"/>
      <c r="W27" s="21"/>
      <c r="X27" s="145"/>
      <c r="Y27" s="31"/>
      <c r="Z27" s="33"/>
      <c r="AA27" s="32"/>
    </row>
    <row r="28" spans="2:27" ht="16.5" x14ac:dyDescent="0.3">
      <c r="B28" s="14"/>
      <c r="C28" s="405" t="s">
        <v>73</v>
      </c>
      <c r="D28" s="406"/>
      <c r="E28" s="406"/>
      <c r="F28" s="407"/>
      <c r="G28" s="56">
        <f>G10+G12+G15+G18+G21+G8</f>
        <v>1798446849214.2932</v>
      </c>
      <c r="H28" s="56"/>
      <c r="I28" s="149"/>
      <c r="J28" s="57"/>
      <c r="K28" s="58"/>
      <c r="L28" s="56">
        <f>L10+L12+L15+L18+L21+L8</f>
        <v>1336150275686.8589</v>
      </c>
      <c r="M28" s="56" t="e">
        <f>+M12+M15+M18+M21+M24+#REF!</f>
        <v>#REF!</v>
      </c>
      <c r="N28" s="56" t="e">
        <f>+N12+N15+N18+N21+N24+#REF!</f>
        <v>#REF!</v>
      </c>
      <c r="O28" s="56" t="e">
        <f>+O12+O15+O18+O21+O24+#REF!</f>
        <v>#REF!</v>
      </c>
      <c r="P28" s="56" t="e">
        <f>+P12+P15+P18+P21+P24+#REF!</f>
        <v>#REF!</v>
      </c>
      <c r="Q28" s="56">
        <f>Q10+Q12+Q15+Q18+Q21+Q8</f>
        <v>1287554336096.959</v>
      </c>
      <c r="R28" s="56">
        <f>R10+R12+R15+R18+R21+R8</f>
        <v>48595939588.900002</v>
      </c>
      <c r="S28" s="56">
        <f>S10+S12+S15+S18+S21+S8</f>
        <v>459781423020.33606</v>
      </c>
      <c r="T28" s="204"/>
      <c r="V28" s="56">
        <v>1888067215186.4932</v>
      </c>
      <c r="W28" s="56"/>
      <c r="X28" s="149"/>
      <c r="Y28" s="57"/>
      <c r="Z28" s="58"/>
      <c r="AA28" s="56">
        <v>1276741879858.459</v>
      </c>
    </row>
    <row r="29" spans="2:27" ht="16.5" x14ac:dyDescent="0.3">
      <c r="B29" s="14"/>
      <c r="C29" s="408"/>
      <c r="D29" s="409"/>
      <c r="E29" s="409"/>
      <c r="F29" s="410"/>
      <c r="G29" s="74">
        <f>+G19+G22</f>
        <v>7592645.7999999989</v>
      </c>
      <c r="H29" s="70"/>
      <c r="I29" s="148"/>
      <c r="J29" s="71"/>
      <c r="K29" s="72"/>
      <c r="L29" s="74">
        <f>+L19+L22</f>
        <v>7592649.0414499994</v>
      </c>
      <c r="M29" s="78"/>
      <c r="N29" s="78"/>
      <c r="O29" s="78"/>
      <c r="P29" s="78"/>
      <c r="Q29" s="74">
        <f>+Q19+Q22</f>
        <v>7531099.5414499994</v>
      </c>
      <c r="R29" s="74">
        <f>+R19+R22</f>
        <v>61549.5</v>
      </c>
      <c r="S29" s="74">
        <f>+S19+S22</f>
        <v>-3.9630000010947697</v>
      </c>
      <c r="T29" s="73"/>
      <c r="V29" s="74">
        <v>10878225.822999999</v>
      </c>
      <c r="W29" s="70"/>
      <c r="X29" s="316"/>
      <c r="Y29" s="71"/>
      <c r="Z29" s="72"/>
      <c r="AA29" s="74">
        <v>10734059.44145</v>
      </c>
    </row>
    <row r="30" spans="2:27" ht="16.5" x14ac:dyDescent="0.3">
      <c r="B30" s="76"/>
      <c r="C30" s="411"/>
      <c r="D30" s="412"/>
      <c r="E30" s="412"/>
      <c r="F30" s="413"/>
      <c r="G30" s="75"/>
      <c r="H30" s="61"/>
      <c r="I30" s="62"/>
      <c r="J30" s="63"/>
      <c r="K30" s="64"/>
      <c r="L30" s="75"/>
      <c r="M30" s="65"/>
      <c r="N30" s="65"/>
      <c r="O30" s="65"/>
      <c r="P30" s="65"/>
      <c r="Q30" s="75"/>
      <c r="R30" s="75"/>
      <c r="S30" s="75"/>
      <c r="T30" s="66"/>
      <c r="V30" s="75">
        <v>9480870.5999999996</v>
      </c>
      <c r="W30" s="61"/>
      <c r="X30" s="62"/>
      <c r="Y30" s="63"/>
      <c r="Z30" s="64"/>
      <c r="AA30" s="75">
        <v>9480869.6500000041</v>
      </c>
    </row>
    <row r="31" spans="2:27" x14ac:dyDescent="0.25">
      <c r="Q31" s="303"/>
      <c r="R31" s="303"/>
      <c r="S31" s="303"/>
      <c r="V31"/>
      <c r="X31"/>
      <c r="Y31"/>
      <c r="Z31"/>
      <c r="AA31" s="42"/>
    </row>
    <row r="32" spans="2:27" x14ac:dyDescent="0.25">
      <c r="Q32" s="303"/>
      <c r="R32" s="303"/>
      <c r="S32" s="303"/>
      <c r="V32"/>
      <c r="X32"/>
      <c r="Y32"/>
      <c r="Z32"/>
      <c r="AA32" s="42"/>
    </row>
    <row r="33" spans="4:27" x14ac:dyDescent="0.25">
      <c r="F33" s="139"/>
      <c r="R33" s="93">
        <v>48595939588.900002</v>
      </c>
      <c r="S33" s="93">
        <v>462207116229.03607</v>
      </c>
      <c r="V33"/>
      <c r="X33"/>
      <c r="Y33"/>
      <c r="Z33"/>
      <c r="AA33" s="42"/>
    </row>
    <row r="34" spans="4:27" x14ac:dyDescent="0.25">
      <c r="R34" s="93">
        <v>61549.5</v>
      </c>
      <c r="S34" s="93">
        <v>-3.9630000010947697</v>
      </c>
    </row>
    <row r="35" spans="4:27" x14ac:dyDescent="0.25">
      <c r="G35" s="93">
        <v>1390498164974.3911</v>
      </c>
      <c r="H35" s="93"/>
      <c r="I35" s="93"/>
      <c r="J35" s="93"/>
      <c r="K35" s="93"/>
      <c r="L35" s="93">
        <v>1096864759880.009</v>
      </c>
      <c r="M35" s="93">
        <v>100525347523.7</v>
      </c>
      <c r="N35" s="93">
        <v>100525347523.7</v>
      </c>
      <c r="O35" s="93">
        <v>100525347523.7</v>
      </c>
      <c r="P35" s="93">
        <v>100525347523.7</v>
      </c>
      <c r="Q35" s="205">
        <v>1068884838197.809</v>
      </c>
      <c r="R35" s="93">
        <v>37522421682.199997</v>
      </c>
      <c r="S35" s="93">
        <v>284090905094.08203</v>
      </c>
      <c r="T35" s="93"/>
    </row>
    <row r="36" spans="4:27" x14ac:dyDescent="0.25">
      <c r="D36">
        <v>6</v>
      </c>
      <c r="G36" s="93">
        <v>12099016.914000001</v>
      </c>
      <c r="H36" s="93"/>
      <c r="I36" s="93"/>
      <c r="J36" s="93"/>
      <c r="K36" s="93"/>
      <c r="L36" s="93">
        <v>10897489.291450001</v>
      </c>
      <c r="M36" s="93"/>
      <c r="N36" s="93"/>
      <c r="O36" s="93"/>
      <c r="P36" s="93"/>
      <c r="Q36" s="93">
        <v>10710860.53345</v>
      </c>
      <c r="R36" s="93">
        <v>186628.758</v>
      </c>
      <c r="S36" s="93">
        <v>1201527.2405499998</v>
      </c>
      <c r="T36" s="93"/>
      <c r="V36" s="93">
        <v>1173605862516.6001</v>
      </c>
    </row>
    <row r="37" spans="4:27" x14ac:dyDescent="0.25">
      <c r="G37" s="93">
        <v>9480870.5999999996</v>
      </c>
      <c r="H37" s="93"/>
      <c r="I37" s="93"/>
      <c r="J37" s="93"/>
      <c r="K37" s="93"/>
      <c r="L37" s="93">
        <v>9480870.4900000039</v>
      </c>
      <c r="M37" s="93"/>
      <c r="N37" s="93"/>
      <c r="O37" s="93"/>
      <c r="P37" s="93"/>
      <c r="Q37" s="93">
        <v>9243790.5200000033</v>
      </c>
      <c r="R37" s="93">
        <v>237079.97</v>
      </c>
      <c r="S37" s="93">
        <v>0.10999999567866325</v>
      </c>
      <c r="T37" s="93"/>
      <c r="V37" s="93">
        <v>11502569.009</v>
      </c>
    </row>
    <row r="38" spans="4:27" x14ac:dyDescent="0.25">
      <c r="V38" s="93">
        <v>9426389.2390000001</v>
      </c>
    </row>
    <row r="53" spans="2:20" x14ac:dyDescent="0.25">
      <c r="B53" t="s">
        <v>0</v>
      </c>
    </row>
    <row r="54" spans="2:20" x14ac:dyDescent="0.25">
      <c r="G54" t="s">
        <v>13</v>
      </c>
    </row>
    <row r="55" spans="2:20" x14ac:dyDescent="0.25">
      <c r="B55" t="s">
        <v>1</v>
      </c>
      <c r="C55" t="s">
        <v>2</v>
      </c>
      <c r="G55" t="s">
        <v>3</v>
      </c>
      <c r="H55" t="s">
        <v>4</v>
      </c>
      <c r="I55" t="s">
        <v>5</v>
      </c>
      <c r="J55" t="s">
        <v>6</v>
      </c>
      <c r="K55" t="s">
        <v>7</v>
      </c>
      <c r="L55" s="42" t="s">
        <v>19</v>
      </c>
      <c r="M55" t="s">
        <v>8</v>
      </c>
      <c r="N55" t="s">
        <v>9</v>
      </c>
      <c r="O55" t="s">
        <v>10</v>
      </c>
      <c r="P55" t="s">
        <v>11</v>
      </c>
      <c r="Q55" t="s">
        <v>20</v>
      </c>
      <c r="R55" t="s">
        <v>21</v>
      </c>
      <c r="S55" t="s">
        <v>22</v>
      </c>
      <c r="T55" t="s">
        <v>12</v>
      </c>
    </row>
    <row r="57" spans="2:20" x14ac:dyDescent="0.25">
      <c r="B57">
        <v>1</v>
      </c>
      <c r="C57" t="s">
        <v>142</v>
      </c>
      <c r="F57" t="s">
        <v>25</v>
      </c>
      <c r="G57" s="93">
        <v>183474200000</v>
      </c>
      <c r="H57">
        <v>199999999.99999997</v>
      </c>
      <c r="I57" t="s">
        <v>15</v>
      </c>
      <c r="J57">
        <v>41363</v>
      </c>
      <c r="L57" s="93">
        <v>29786288352</v>
      </c>
      <c r="Q57" s="93">
        <v>24811180000</v>
      </c>
      <c r="R57" s="93">
        <v>4975108352</v>
      </c>
      <c r="S57" s="93">
        <v>153687911648</v>
      </c>
    </row>
    <row r="58" spans="2:20" x14ac:dyDescent="0.25">
      <c r="F58" t="s">
        <v>26</v>
      </c>
    </row>
    <row r="60" spans="2:20" x14ac:dyDescent="0.25">
      <c r="B60">
        <v>2</v>
      </c>
      <c r="C60" t="s">
        <v>69</v>
      </c>
      <c r="F60" t="s">
        <v>25</v>
      </c>
      <c r="G60" s="93">
        <v>188861142553.996</v>
      </c>
      <c r="H60">
        <v>0</v>
      </c>
      <c r="I60" t="s">
        <v>15</v>
      </c>
      <c r="J60">
        <v>41363</v>
      </c>
      <c r="L60" s="93">
        <v>139767056392</v>
      </c>
      <c r="M60" s="93"/>
      <c r="N60" s="93"/>
      <c r="O60" s="93"/>
      <c r="P60" s="93"/>
      <c r="Q60" s="93">
        <v>137318688265</v>
      </c>
      <c r="R60" s="93">
        <v>2448368127</v>
      </c>
      <c r="S60" s="93">
        <v>49094086161.996002</v>
      </c>
    </row>
    <row r="61" spans="2:20" x14ac:dyDescent="0.25">
      <c r="F61" t="s">
        <v>26</v>
      </c>
      <c r="G61" s="93">
        <v>1719481</v>
      </c>
      <c r="L61" s="93">
        <v>1081487.74</v>
      </c>
      <c r="M61" s="93"/>
      <c r="N61" s="93"/>
      <c r="O61" s="93"/>
      <c r="P61" s="93"/>
      <c r="Q61" s="93">
        <v>231000.00000000003</v>
      </c>
      <c r="R61" s="93">
        <v>636.27</v>
      </c>
      <c r="S61" s="93">
        <v>637993.26000000013</v>
      </c>
    </row>
    <row r="62" spans="2:20" x14ac:dyDescent="0.25">
      <c r="G62" s="93"/>
      <c r="L62" s="93"/>
      <c r="M62" s="93"/>
      <c r="N62" s="93"/>
      <c r="O62" s="93"/>
      <c r="P62" s="93"/>
      <c r="Q62" s="93"/>
      <c r="R62" s="93"/>
      <c r="S62" s="93"/>
    </row>
    <row r="63" spans="2:20" x14ac:dyDescent="0.25">
      <c r="B63">
        <v>3</v>
      </c>
      <c r="C63" t="s">
        <v>70</v>
      </c>
      <c r="F63" t="s">
        <v>25</v>
      </c>
      <c r="G63" s="93">
        <v>240824236751.5</v>
      </c>
      <c r="L63" s="93">
        <v>216937996485.07999</v>
      </c>
      <c r="M63" s="93"/>
      <c r="N63" s="93"/>
      <c r="O63" s="93"/>
      <c r="P63" s="93"/>
      <c r="Q63" s="93">
        <v>212158438801.35272</v>
      </c>
      <c r="R63" s="93">
        <v>4779557683.727273</v>
      </c>
      <c r="S63" s="93">
        <v>22136862266.419998</v>
      </c>
    </row>
    <row r="64" spans="2:20" x14ac:dyDescent="0.25">
      <c r="F64" t="s">
        <v>26</v>
      </c>
      <c r="G64" s="93">
        <v>5478894.9440000001</v>
      </c>
      <c r="L64" s="93">
        <v>4935078.2714499999</v>
      </c>
      <c r="M64" s="93"/>
      <c r="N64" s="93"/>
      <c r="O64" s="93"/>
      <c r="P64" s="93"/>
      <c r="Q64" s="93">
        <v>4880727.7922</v>
      </c>
      <c r="R64" s="93">
        <v>54350.479250000004</v>
      </c>
      <c r="S64" s="93">
        <v>514416.67255000013</v>
      </c>
    </row>
    <row r="65" spans="2:19" x14ac:dyDescent="0.25">
      <c r="G65" s="93"/>
      <c r="L65" s="93"/>
      <c r="M65" s="93"/>
      <c r="N65" s="93"/>
      <c r="O65" s="93"/>
      <c r="P65" s="93"/>
      <c r="Q65" s="93"/>
      <c r="R65" s="93"/>
      <c r="S65" s="93"/>
    </row>
    <row r="66" spans="2:19" x14ac:dyDescent="0.25">
      <c r="B66">
        <v>4</v>
      </c>
      <c r="C66" t="s">
        <v>71</v>
      </c>
      <c r="F66" t="s">
        <v>25</v>
      </c>
      <c r="G66" s="93">
        <v>351733710737.40002</v>
      </c>
      <c r="L66" s="93">
        <v>333540042532.5</v>
      </c>
      <c r="M66" s="93"/>
      <c r="N66" s="93"/>
      <c r="O66" s="93"/>
      <c r="P66" s="93"/>
      <c r="Q66" s="93">
        <v>329914434362</v>
      </c>
      <c r="R66" s="93">
        <v>3625608170.5000019</v>
      </c>
      <c r="S66" s="93">
        <v>16236051304.900017</v>
      </c>
    </row>
    <row r="67" spans="2:19" x14ac:dyDescent="0.25">
      <c r="F67" t="s">
        <v>26</v>
      </c>
      <c r="G67" s="93">
        <v>2812093.9</v>
      </c>
      <c r="L67" s="93">
        <v>3194901.8800000004</v>
      </c>
      <c r="M67" s="93"/>
      <c r="N67" s="93"/>
      <c r="O67" s="93"/>
      <c r="P67" s="93"/>
      <c r="Q67" s="93">
        <v>3194901.8800000004</v>
      </c>
      <c r="R67" s="93">
        <v>0</v>
      </c>
      <c r="S67" s="93">
        <v>81962.019999999553</v>
      </c>
    </row>
    <row r="68" spans="2:19" x14ac:dyDescent="0.25">
      <c r="F68" t="s">
        <v>59</v>
      </c>
      <c r="G68" s="93">
        <v>9417161.5999999996</v>
      </c>
      <c r="L68" s="93">
        <v>9243790.5200000033</v>
      </c>
      <c r="M68" s="93"/>
      <c r="N68" s="93"/>
      <c r="O68" s="93"/>
      <c r="P68" s="93"/>
      <c r="Q68" s="93">
        <v>9243790.5200000033</v>
      </c>
      <c r="R68" s="93">
        <v>0</v>
      </c>
      <c r="S68" s="93">
        <v>237080.07999999635</v>
      </c>
    </row>
    <row r="69" spans="2:19" x14ac:dyDescent="0.25">
      <c r="G69" s="93"/>
      <c r="L69" s="93"/>
      <c r="M69" s="93"/>
      <c r="N69" s="93"/>
      <c r="O69" s="93"/>
      <c r="P69" s="93"/>
      <c r="Q69" s="93"/>
      <c r="R69" s="93"/>
      <c r="S69" s="93"/>
    </row>
    <row r="70" spans="2:19" x14ac:dyDescent="0.25">
      <c r="B70">
        <v>5</v>
      </c>
      <c r="C70" t="s">
        <v>72</v>
      </c>
      <c r="F70" t="s">
        <v>25</v>
      </c>
      <c r="G70" s="93">
        <v>263386923659.90002</v>
      </c>
      <c r="L70" s="93">
        <v>263331923659</v>
      </c>
      <c r="M70" s="93">
        <v>100525347523.7</v>
      </c>
      <c r="N70" s="93">
        <v>100525347523.7</v>
      </c>
      <c r="O70" s="93">
        <v>100525347523.7</v>
      </c>
      <c r="P70" s="93">
        <v>100525347523.7</v>
      </c>
      <c r="Q70" s="93">
        <v>261343741553</v>
      </c>
      <c r="R70" s="93">
        <v>1988182106</v>
      </c>
      <c r="S70" s="93">
        <v>54999999.699996948</v>
      </c>
    </row>
    <row r="71" spans="2:19" x14ac:dyDescent="0.25">
      <c r="F71" t="s">
        <v>26</v>
      </c>
      <c r="G71" s="93">
        <v>1067000</v>
      </c>
      <c r="L71" s="93">
        <v>1013600</v>
      </c>
      <c r="M71" s="93">
        <v>1067000</v>
      </c>
      <c r="N71" s="93">
        <v>1067000</v>
      </c>
      <c r="O71" s="93">
        <v>1067000</v>
      </c>
      <c r="P71" s="93">
        <v>1067000</v>
      </c>
      <c r="Q71" s="93">
        <v>1013600</v>
      </c>
      <c r="R71" s="93">
        <v>0</v>
      </c>
      <c r="S71" s="93">
        <v>53400</v>
      </c>
    </row>
    <row r="72" spans="2:19" x14ac:dyDescent="0.25">
      <c r="G72" s="93"/>
      <c r="L72" s="93"/>
      <c r="M72" s="93"/>
      <c r="N72" s="93"/>
      <c r="O72" s="93"/>
      <c r="P72" s="93"/>
      <c r="Q72" s="93"/>
      <c r="R72" s="93"/>
      <c r="S72" s="93"/>
    </row>
    <row r="73" spans="2:19" x14ac:dyDescent="0.25">
      <c r="G73" s="93"/>
      <c r="L73" s="93"/>
      <c r="M73" s="93"/>
      <c r="N73" s="93"/>
      <c r="O73" s="93"/>
      <c r="P73" s="93"/>
      <c r="Q73" s="93"/>
      <c r="R73" s="93"/>
      <c r="S73" s="93"/>
    </row>
    <row r="74" spans="2:19" x14ac:dyDescent="0.25">
      <c r="G74" s="93"/>
      <c r="L74" s="93"/>
      <c r="M74" s="93"/>
      <c r="N74" s="93"/>
      <c r="O74" s="93"/>
      <c r="P74" s="93"/>
      <c r="Q74" s="93"/>
      <c r="R74" s="93"/>
      <c r="S74" s="93"/>
    </row>
    <row r="75" spans="2:19" x14ac:dyDescent="0.25">
      <c r="C75" t="s">
        <v>73</v>
      </c>
      <c r="G75" s="93">
        <v>1228280213702.7959</v>
      </c>
      <c r="L75" s="93">
        <v>983363307420.57996</v>
      </c>
      <c r="M75" s="93"/>
      <c r="N75" s="93"/>
      <c r="O75" s="93"/>
      <c r="P75" s="93"/>
      <c r="Q75" s="93">
        <v>965546482981.35278</v>
      </c>
      <c r="R75" s="93">
        <v>17816824439.227276</v>
      </c>
      <c r="S75" s="93">
        <v>241209911381.01599</v>
      </c>
    </row>
    <row r="76" spans="2:19" x14ac:dyDescent="0.25">
      <c r="G76" s="93">
        <v>11077469.844000001</v>
      </c>
      <c r="L76" s="93">
        <v>10225067.891450001</v>
      </c>
      <c r="M76" s="93"/>
      <c r="N76" s="93"/>
      <c r="O76" s="93"/>
      <c r="P76" s="93"/>
      <c r="Q76" s="93">
        <v>9320229.6721999999</v>
      </c>
      <c r="R76" s="93">
        <v>54986.749250000001</v>
      </c>
      <c r="S76" s="93">
        <v>1287771.9525499998</v>
      </c>
    </row>
    <row r="77" spans="2:19" x14ac:dyDescent="0.25">
      <c r="G77" s="93">
        <v>9417161.5999999996</v>
      </c>
      <c r="L77" s="93"/>
      <c r="M77" s="93"/>
      <c r="N77" s="93"/>
      <c r="O77" s="93"/>
      <c r="P77" s="93"/>
      <c r="Q77" s="93">
        <v>9243790.5200000033</v>
      </c>
      <c r="R77" s="93">
        <v>0</v>
      </c>
      <c r="S77" s="93">
        <v>237080.07999999635</v>
      </c>
    </row>
    <row r="78" spans="2:19" x14ac:dyDescent="0.25">
      <c r="G78" s="93"/>
      <c r="M78" s="93"/>
      <c r="N78" s="93"/>
      <c r="O78" s="93"/>
      <c r="P78" s="93"/>
      <c r="Q78" s="93"/>
      <c r="R78" s="93"/>
      <c r="S78" s="93"/>
    </row>
    <row r="79" spans="2:19" x14ac:dyDescent="0.25">
      <c r="G79" s="93"/>
    </row>
    <row r="93" spans="12:12" x14ac:dyDescent="0.25">
      <c r="L93" s="42">
        <f>+[2]Sheet1!K28</f>
        <v>0</v>
      </c>
    </row>
  </sheetData>
  <mergeCells count="6">
    <mergeCell ref="B4:T4"/>
    <mergeCell ref="C28:F30"/>
    <mergeCell ref="C15:E15"/>
    <mergeCell ref="C12:E12"/>
    <mergeCell ref="C10:E10"/>
    <mergeCell ref="C8:E8"/>
  </mergeCells>
  <pageMargins left="0.47244094488188981" right="0.2" top="0.59055118110236227" bottom="0.74803149606299213" header="0.31496062992125984" footer="0.31496062992125984"/>
  <pageSetup paperSize="9" orientation="landscape" r:id="rId1"/>
  <headerFooter>
    <oddFooter>&amp;C&amp;D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0"/>
  <sheetViews>
    <sheetView showGridLines="0" tabSelected="1" view="pageBreakPreview" topLeftCell="A135" zoomScaleNormal="100" zoomScaleSheetLayoutView="100" workbookViewId="0">
      <selection activeCell="V135" sqref="V1:V1048576"/>
    </sheetView>
  </sheetViews>
  <sheetFormatPr defaultRowHeight="15" x14ac:dyDescent="0.25"/>
  <cols>
    <col min="1" max="1" width="9.140625" style="143"/>
    <col min="2" max="2" width="5.5703125" style="143" customWidth="1"/>
    <col min="3" max="3" width="8.28515625" style="303" customWidth="1"/>
    <col min="4" max="4" width="16.85546875" style="303" bestFit="1" customWidth="1"/>
    <col min="5" max="6" width="9.140625" style="143"/>
    <col min="7" max="7" width="7.42578125" style="143" customWidth="1"/>
    <col min="8" max="8" width="17.42578125" style="143" customWidth="1"/>
    <col min="9" max="9" width="16.28515625" style="143" hidden="1" customWidth="1"/>
    <col min="10" max="10" width="14.42578125" style="143" hidden="1" customWidth="1"/>
    <col min="11" max="11" width="10.5703125" style="143" hidden="1" customWidth="1"/>
    <col min="12" max="12" width="13.7109375" style="120" customWidth="1"/>
    <col min="13" max="13" width="18.28515625" style="214" customWidth="1"/>
    <col min="14" max="17" width="0" style="143" hidden="1" customWidth="1"/>
    <col min="18" max="18" width="16.28515625" style="143" customWidth="1"/>
    <col min="19" max="19" width="15.28515625" style="143" customWidth="1"/>
    <col min="20" max="20" width="15.7109375" style="143" customWidth="1"/>
    <col min="21" max="21" width="6.85546875" style="143" customWidth="1"/>
    <col min="22" max="22" width="15.140625" style="143" customWidth="1"/>
    <col min="23" max="23" width="17.140625" style="93" customWidth="1"/>
    <col min="24" max="24" width="17.28515625" style="93" customWidth="1"/>
    <col min="25" max="25" width="16.28515625" style="93" bestFit="1" customWidth="1"/>
    <col min="26" max="16384" width="9.140625" style="143"/>
  </cols>
  <sheetData>
    <row r="1" spans="1:25" x14ac:dyDescent="0.25">
      <c r="B1" s="143" t="s">
        <v>135</v>
      </c>
      <c r="C1" s="143"/>
      <c r="D1" s="143"/>
      <c r="E1" s="143" t="s">
        <v>187</v>
      </c>
      <c r="H1" s="143" t="s">
        <v>135</v>
      </c>
    </row>
    <row r="2" spans="1:25" x14ac:dyDescent="0.25">
      <c r="C2" s="143"/>
      <c r="D2" s="143"/>
    </row>
    <row r="3" spans="1:25" x14ac:dyDescent="0.25">
      <c r="C3" s="143"/>
      <c r="D3" s="143"/>
    </row>
    <row r="4" spans="1:25" ht="23.25" x14ac:dyDescent="0.25">
      <c r="B4" s="436" t="s">
        <v>0</v>
      </c>
      <c r="C4" s="436"/>
      <c r="D4" s="436"/>
      <c r="E4" s="436"/>
      <c r="F4" s="436"/>
      <c r="G4" s="436"/>
      <c r="H4" s="436"/>
      <c r="I4" s="436"/>
      <c r="J4" s="436"/>
      <c r="K4" s="436"/>
      <c r="L4" s="436"/>
      <c r="M4" s="436"/>
      <c r="N4" s="436"/>
      <c r="O4" s="436"/>
      <c r="P4" s="436"/>
      <c r="Q4" s="436"/>
      <c r="R4" s="436"/>
      <c r="S4" s="436"/>
      <c r="T4" s="436"/>
      <c r="U4" s="436"/>
    </row>
    <row r="5" spans="1:25" ht="23.25" x14ac:dyDescent="0.35">
      <c r="B5" s="140"/>
      <c r="C5" s="140"/>
      <c r="D5" s="215"/>
      <c r="E5" s="215"/>
      <c r="F5" s="215"/>
      <c r="G5" s="215"/>
      <c r="H5" s="215" t="s">
        <v>13</v>
      </c>
      <c r="I5" s="215"/>
      <c r="J5" s="215"/>
      <c r="K5" s="215"/>
      <c r="L5" s="216"/>
      <c r="M5" s="217"/>
      <c r="N5" s="215"/>
      <c r="O5" s="215"/>
      <c r="P5" s="215"/>
      <c r="Q5" s="215"/>
      <c r="R5" s="215"/>
      <c r="S5" s="215"/>
      <c r="T5" s="215"/>
      <c r="U5" s="215"/>
      <c r="W5" s="93" t="s">
        <v>13</v>
      </c>
    </row>
    <row r="6" spans="1:25" ht="47.25" x14ac:dyDescent="0.25">
      <c r="B6" s="141" t="s">
        <v>1</v>
      </c>
      <c r="C6" s="141" t="s">
        <v>17</v>
      </c>
      <c r="D6" s="218" t="s">
        <v>2</v>
      </c>
      <c r="E6" s="218"/>
      <c r="F6" s="218"/>
      <c r="G6" s="219"/>
      <c r="H6" s="141" t="s">
        <v>3</v>
      </c>
      <c r="I6" s="141" t="s">
        <v>4</v>
      </c>
      <c r="J6" s="141" t="s">
        <v>5</v>
      </c>
      <c r="K6" s="141" t="s">
        <v>6</v>
      </c>
      <c r="L6" s="220" t="s">
        <v>7</v>
      </c>
      <c r="M6" s="221" t="s">
        <v>19</v>
      </c>
      <c r="N6" s="141" t="s">
        <v>8</v>
      </c>
      <c r="O6" s="141" t="s">
        <v>9</v>
      </c>
      <c r="P6" s="141" t="s">
        <v>10</v>
      </c>
      <c r="Q6" s="141" t="s">
        <v>11</v>
      </c>
      <c r="R6" s="141" t="s">
        <v>20</v>
      </c>
      <c r="S6" s="141" t="s">
        <v>21</v>
      </c>
      <c r="T6" s="141" t="s">
        <v>22</v>
      </c>
      <c r="U6" s="141" t="s">
        <v>12</v>
      </c>
      <c r="W6" s="222" t="s">
        <v>3</v>
      </c>
      <c r="X6" s="141" t="s">
        <v>19</v>
      </c>
      <c r="Y6" s="93" t="s">
        <v>20</v>
      </c>
    </row>
    <row r="7" spans="1:25" ht="15.75" x14ac:dyDescent="0.25">
      <c r="B7" s="297"/>
      <c r="C7" s="441"/>
      <c r="D7" s="442"/>
      <c r="E7" s="298"/>
      <c r="F7" s="298"/>
      <c r="G7" s="299"/>
      <c r="H7" s="297"/>
      <c r="I7" s="225"/>
      <c r="J7" s="225"/>
      <c r="K7" s="225"/>
      <c r="L7" s="226"/>
      <c r="M7" s="227"/>
      <c r="N7" s="225"/>
      <c r="O7" s="225"/>
      <c r="P7" s="225"/>
      <c r="Q7" s="225"/>
      <c r="R7" s="225"/>
      <c r="S7" s="225"/>
      <c r="T7" s="225"/>
      <c r="U7" s="225"/>
      <c r="W7" s="228"/>
      <c r="X7" s="229"/>
    </row>
    <row r="8" spans="1:25" ht="18" x14ac:dyDescent="0.25">
      <c r="B8" s="398">
        <v>1</v>
      </c>
      <c r="C8" s="142"/>
      <c r="D8" s="423" t="s">
        <v>222</v>
      </c>
      <c r="E8" s="424"/>
      <c r="F8" s="424"/>
      <c r="G8" s="425"/>
      <c r="H8" s="225"/>
      <c r="I8" s="225"/>
      <c r="J8" s="225"/>
      <c r="K8" s="225"/>
      <c r="L8" s="226"/>
      <c r="M8" s="227"/>
      <c r="N8" s="225"/>
      <c r="O8" s="225"/>
      <c r="P8" s="225"/>
      <c r="Q8" s="225"/>
      <c r="R8" s="225"/>
      <c r="S8" s="225"/>
      <c r="T8" s="225"/>
      <c r="U8" s="225"/>
      <c r="W8" s="228"/>
      <c r="X8" s="229"/>
    </row>
    <row r="9" spans="1:25" ht="18" x14ac:dyDescent="0.25">
      <c r="B9" s="398"/>
      <c r="C9" s="142" t="s">
        <v>230</v>
      </c>
      <c r="D9" s="357" t="s">
        <v>231</v>
      </c>
      <c r="E9" s="396"/>
      <c r="F9" s="396"/>
      <c r="G9" s="397"/>
      <c r="H9" s="231">
        <f>+[3]Sheet1!$G$34</f>
        <v>34897500000</v>
      </c>
      <c r="I9" s="225"/>
      <c r="J9" s="225"/>
      <c r="K9" s="225"/>
      <c r="L9" s="231" t="str">
        <f>+[3]Sheet1!$K$34</f>
        <v>DP-20%</v>
      </c>
      <c r="M9" s="233">
        <f>+[3]Sheet1!$L$34</f>
        <v>6979500000</v>
      </c>
      <c r="N9" s="225"/>
      <c r="O9" s="225"/>
      <c r="P9" s="225"/>
      <c r="Q9" s="225"/>
      <c r="R9" s="233">
        <f>+[3]Sheet1!Q34</f>
        <v>6979500000</v>
      </c>
      <c r="S9" s="233">
        <f>+[3]Sheet1!R34</f>
        <v>0</v>
      </c>
      <c r="T9" s="233">
        <f>+[3]Sheet1!S34</f>
        <v>27918000000</v>
      </c>
      <c r="U9" s="225"/>
      <c r="W9" s="228"/>
      <c r="X9" s="229"/>
    </row>
    <row r="10" spans="1:25" ht="18" x14ac:dyDescent="0.25">
      <c r="B10" s="398"/>
      <c r="C10" s="142"/>
      <c r="D10" s="395"/>
      <c r="E10" s="396"/>
      <c r="F10" s="396"/>
      <c r="G10" s="397"/>
      <c r="H10" s="225"/>
      <c r="I10" s="225"/>
      <c r="J10" s="225"/>
      <c r="K10" s="225"/>
      <c r="L10" s="226"/>
      <c r="M10" s="227"/>
      <c r="N10" s="225"/>
      <c r="O10" s="225"/>
      <c r="P10" s="225"/>
      <c r="Q10" s="225"/>
      <c r="R10" s="225"/>
      <c r="S10" s="225"/>
      <c r="T10" s="225"/>
      <c r="U10" s="225"/>
      <c r="W10" s="228"/>
      <c r="X10" s="229"/>
    </row>
    <row r="11" spans="1:25" ht="18" x14ac:dyDescent="0.25">
      <c r="B11" s="398"/>
      <c r="C11" s="142" t="s">
        <v>229</v>
      </c>
      <c r="D11" s="357" t="s">
        <v>228</v>
      </c>
      <c r="E11" s="396"/>
      <c r="F11" s="396"/>
      <c r="G11" s="397"/>
      <c r="H11" s="231">
        <f>+[4]Sheet1!$G$34</f>
        <v>26489900000</v>
      </c>
      <c r="I11" s="225"/>
      <c r="J11" s="225"/>
      <c r="K11" s="225"/>
      <c r="L11" s="226" t="str">
        <f>+[4]Sheet1!$K$34</f>
        <v>DP-25%</v>
      </c>
      <c r="M11" s="233">
        <f>+[4]Sheet1!L34</f>
        <v>6622475000</v>
      </c>
      <c r="N11" s="225"/>
      <c r="O11" s="225"/>
      <c r="P11" s="225"/>
      <c r="Q11" s="225"/>
      <c r="R11" s="233">
        <f>+[4]Sheet1!Q34</f>
        <v>6622475000</v>
      </c>
      <c r="S11" s="233">
        <f>+[4]Sheet1!R34</f>
        <v>0</v>
      </c>
      <c r="T11" s="233">
        <f>+[4]Sheet1!S34</f>
        <v>19867425000</v>
      </c>
      <c r="U11" s="225"/>
      <c r="W11" s="228"/>
      <c r="X11" s="229"/>
    </row>
    <row r="12" spans="1:25" ht="18" x14ac:dyDescent="0.25">
      <c r="B12" s="398"/>
      <c r="C12" s="142"/>
      <c r="D12" s="395"/>
      <c r="E12" s="396"/>
      <c r="F12" s="396"/>
      <c r="G12" s="397"/>
      <c r="H12" s="225"/>
      <c r="I12" s="225"/>
      <c r="J12" s="225"/>
      <c r="K12" s="225"/>
      <c r="L12" s="226"/>
      <c r="M12" s="227"/>
      <c r="N12" s="225"/>
      <c r="O12" s="225"/>
      <c r="P12" s="225"/>
      <c r="Q12" s="225"/>
      <c r="R12" s="225"/>
      <c r="S12" s="225"/>
      <c r="T12" s="225"/>
      <c r="U12" s="225"/>
      <c r="W12" s="228"/>
      <c r="X12" s="229"/>
    </row>
    <row r="13" spans="1:25" ht="18" x14ac:dyDescent="0.25">
      <c r="B13" s="398"/>
      <c r="C13" s="142" t="s">
        <v>223</v>
      </c>
      <c r="D13" s="357" t="s">
        <v>224</v>
      </c>
      <c r="E13" s="396"/>
      <c r="F13" s="396"/>
      <c r="G13" s="397"/>
      <c r="H13" s="233">
        <f>+[5]Sheet1!G36</f>
        <v>69943500000</v>
      </c>
      <c r="I13" s="225"/>
      <c r="J13" s="225"/>
      <c r="K13" s="225"/>
      <c r="L13" s="233" t="s">
        <v>225</v>
      </c>
      <c r="M13" s="233">
        <f>+[5]Sheet1!L36</f>
        <v>13979700000</v>
      </c>
      <c r="N13" s="225"/>
      <c r="O13" s="225"/>
      <c r="P13" s="225"/>
      <c r="Q13" s="225"/>
      <c r="R13" s="233">
        <f>+[5]Sheet1!Q36</f>
        <v>13979700000</v>
      </c>
      <c r="S13" s="233">
        <f>+[5]Sheet1!R36</f>
        <v>0</v>
      </c>
      <c r="T13" s="233">
        <f>+[5]Sheet1!S36</f>
        <v>55963800000</v>
      </c>
      <c r="U13" s="225"/>
      <c r="W13" s="228"/>
      <c r="X13" s="229"/>
    </row>
    <row r="14" spans="1:25" ht="18" x14ac:dyDescent="0.25">
      <c r="B14" s="398"/>
      <c r="C14" s="142"/>
      <c r="D14" s="395"/>
      <c r="E14" s="396"/>
      <c r="F14" s="396"/>
      <c r="G14" s="397"/>
      <c r="H14" s="225"/>
      <c r="I14" s="225"/>
      <c r="J14" s="225"/>
      <c r="K14" s="225"/>
      <c r="L14" s="226"/>
      <c r="M14" s="227"/>
      <c r="N14" s="225"/>
      <c r="O14" s="225"/>
      <c r="P14" s="225"/>
      <c r="Q14" s="225"/>
      <c r="R14" s="225"/>
      <c r="S14" s="225"/>
      <c r="T14" s="225"/>
      <c r="U14" s="225"/>
      <c r="W14" s="228"/>
      <c r="X14" s="229"/>
    </row>
    <row r="15" spans="1:25" ht="16.5" x14ac:dyDescent="0.3">
      <c r="A15" s="143" t="s">
        <v>135</v>
      </c>
      <c r="B15" s="14"/>
      <c r="C15" s="55"/>
      <c r="D15" s="417" t="s">
        <v>226</v>
      </c>
      <c r="E15" s="418"/>
      <c r="F15" s="418"/>
      <c r="G15" s="419"/>
      <c r="H15" s="236">
        <f>SUBTOTAL(9,H9:H14)</f>
        <v>131330900000</v>
      </c>
      <c r="I15" s="56"/>
      <c r="J15" s="224"/>
      <c r="K15" s="237"/>
      <c r="L15" s="358" t="str">
        <f>+L13</f>
        <v>DP-20%</v>
      </c>
      <c r="M15" s="236">
        <f>SUBTOTAL(9,M9:M14)</f>
        <v>27581675000</v>
      </c>
      <c r="N15" s="239"/>
      <c r="O15" s="239"/>
      <c r="P15" s="239"/>
      <c r="Q15" s="239"/>
      <c r="R15" s="236">
        <f>SUBTOTAL(9,R9:R14)</f>
        <v>27581675000</v>
      </c>
      <c r="S15" s="236">
        <f>SUBTOTAL(9,S9:S14)</f>
        <v>0</v>
      </c>
      <c r="T15" s="236">
        <f>SUBTOTAL(9,T9:T14)</f>
        <v>103749225000</v>
      </c>
      <c r="U15" s="240"/>
      <c r="W15" s="228"/>
      <c r="X15" s="229"/>
    </row>
    <row r="16" spans="1:25" ht="16.5" x14ac:dyDescent="0.3">
      <c r="B16" s="76"/>
      <c r="C16" s="60"/>
      <c r="D16" s="420"/>
      <c r="E16" s="421"/>
      <c r="F16" s="421"/>
      <c r="G16" s="422"/>
      <c r="H16" s="241"/>
      <c r="I16" s="61"/>
      <c r="J16" s="242"/>
      <c r="K16" s="243"/>
      <c r="L16" s="244"/>
      <c r="M16" s="245"/>
      <c r="N16" s="154"/>
      <c r="O16" s="154"/>
      <c r="P16" s="154"/>
      <c r="Q16" s="154"/>
      <c r="R16" s="245"/>
      <c r="S16" s="245"/>
      <c r="T16" s="245"/>
      <c r="U16" s="246"/>
      <c r="W16" s="228"/>
      <c r="X16" s="229"/>
    </row>
    <row r="17" spans="2:24" ht="15.75" x14ac:dyDescent="0.25">
      <c r="B17" s="225"/>
      <c r="C17" s="443"/>
      <c r="D17" s="444"/>
      <c r="E17" s="247"/>
      <c r="F17" s="247"/>
      <c r="G17" s="248"/>
      <c r="H17" s="225"/>
      <c r="I17" s="225"/>
      <c r="J17" s="225"/>
      <c r="K17" s="225"/>
      <c r="L17" s="226"/>
      <c r="M17" s="227"/>
      <c r="N17" s="225"/>
      <c r="O17" s="225"/>
      <c r="P17" s="225"/>
      <c r="Q17" s="225"/>
      <c r="R17" s="225"/>
      <c r="S17" s="225"/>
      <c r="T17" s="225"/>
      <c r="U17" s="225"/>
      <c r="W17" s="228"/>
      <c r="X17" s="229"/>
    </row>
    <row r="18" spans="2:24" ht="18" x14ac:dyDescent="0.25">
      <c r="B18" s="398">
        <v>2</v>
      </c>
      <c r="C18" s="142"/>
      <c r="D18" s="423" t="s">
        <v>192</v>
      </c>
      <c r="E18" s="424"/>
      <c r="F18" s="424"/>
      <c r="G18" s="425"/>
      <c r="H18" s="225"/>
      <c r="I18" s="225"/>
      <c r="J18" s="225"/>
      <c r="K18" s="225"/>
      <c r="L18" s="226"/>
      <c r="M18" s="227"/>
      <c r="N18" s="225"/>
      <c r="O18" s="225"/>
      <c r="P18" s="225"/>
      <c r="Q18" s="225"/>
      <c r="R18" s="225"/>
      <c r="S18" s="225"/>
      <c r="T18" s="225"/>
      <c r="U18" s="225"/>
      <c r="W18" s="228"/>
      <c r="X18" s="229"/>
    </row>
    <row r="19" spans="2:24" ht="16.5" x14ac:dyDescent="0.25">
      <c r="B19" s="398"/>
      <c r="C19" s="142" t="s">
        <v>232</v>
      </c>
      <c r="D19" s="445" t="s">
        <v>211</v>
      </c>
      <c r="E19" s="446"/>
      <c r="F19" s="446"/>
      <c r="G19" s="447"/>
      <c r="H19" s="233">
        <f>+[6]Sheet1!$G$34</f>
        <v>40650000000</v>
      </c>
      <c r="I19" s="225"/>
      <c r="J19" s="225"/>
      <c r="K19" s="225"/>
      <c r="L19" s="226">
        <f>+[7]Sheet1!$K$34</f>
        <v>0.534219</v>
      </c>
      <c r="M19" s="233">
        <f>+[7]Sheet1!L34</f>
        <v>22520495218</v>
      </c>
      <c r="N19" s="233">
        <f>+[6]Sheet1!$G$34</f>
        <v>40650000000</v>
      </c>
      <c r="O19" s="233">
        <f>+[6]Sheet1!$G$34</f>
        <v>40650000000</v>
      </c>
      <c r="P19" s="233">
        <f>+[6]Sheet1!$G$34</f>
        <v>40650000000</v>
      </c>
      <c r="Q19" s="233">
        <f>+[6]Sheet1!$G$34</f>
        <v>40650000000</v>
      </c>
      <c r="R19" s="233">
        <f>+[7]Sheet1!Q34</f>
        <v>22520495218</v>
      </c>
      <c r="S19" s="233">
        <f>+[7]Sheet1!R34</f>
        <v>0</v>
      </c>
      <c r="T19" s="233">
        <f>+[7]Sheet1!S34</f>
        <v>18129504782</v>
      </c>
      <c r="U19" s="225"/>
      <c r="W19" s="228"/>
      <c r="X19" s="229"/>
    </row>
    <row r="20" spans="2:24" ht="18" x14ac:dyDescent="0.25">
      <c r="B20" s="398"/>
      <c r="C20" s="142"/>
      <c r="D20" s="395"/>
      <c r="E20" s="396"/>
      <c r="F20" s="396"/>
      <c r="G20" s="397"/>
      <c r="H20" s="225"/>
      <c r="I20" s="225"/>
      <c r="J20" s="225"/>
      <c r="K20" s="225"/>
      <c r="L20" s="226"/>
      <c r="M20" s="227"/>
      <c r="N20" s="225"/>
      <c r="O20" s="225"/>
      <c r="P20" s="225"/>
      <c r="Q20" s="225"/>
      <c r="R20" s="225"/>
      <c r="S20" s="225"/>
      <c r="T20" s="225"/>
      <c r="U20" s="225"/>
      <c r="W20" s="228"/>
      <c r="X20" s="229"/>
    </row>
    <row r="21" spans="2:24" ht="16.5" x14ac:dyDescent="0.25">
      <c r="B21" s="398"/>
      <c r="C21" s="142" t="s">
        <v>210</v>
      </c>
      <c r="D21" s="445" t="s">
        <v>212</v>
      </c>
      <c r="E21" s="446"/>
      <c r="F21" s="446"/>
      <c r="G21" s="447"/>
      <c r="H21" s="233">
        <f>+[8]Sheet1!$G$34</f>
        <v>130570000000.00002</v>
      </c>
      <c r="I21" s="225"/>
      <c r="J21" s="225"/>
      <c r="K21" s="225"/>
      <c r="L21" s="359">
        <f>+[9]Sheet1!K34</f>
        <v>0.20530000000000001</v>
      </c>
      <c r="M21" s="233">
        <f>+[9]Sheet1!L34</f>
        <v>61747951586</v>
      </c>
      <c r="N21" s="233">
        <f>+[8]Sheet1!$I$34</f>
        <v>0</v>
      </c>
      <c r="O21" s="233">
        <f>+[8]Sheet1!$I$34</f>
        <v>0</v>
      </c>
      <c r="P21" s="233">
        <f>+[8]Sheet1!$I$34</f>
        <v>0</v>
      </c>
      <c r="Q21" s="233">
        <f>+[8]Sheet1!$I$34</f>
        <v>0</v>
      </c>
      <c r="R21" s="233">
        <f>+[9]Sheet1!Q34</f>
        <v>57566851586</v>
      </c>
      <c r="S21" s="233">
        <f>+[9]Sheet1!R34</f>
        <v>4181100000</v>
      </c>
      <c r="T21" s="233">
        <f>+[9]Sheet1!S34</f>
        <v>68822048414.000015</v>
      </c>
      <c r="U21" s="225"/>
      <c r="W21" s="228"/>
      <c r="X21" s="229"/>
    </row>
    <row r="22" spans="2:24" ht="18" x14ac:dyDescent="0.25">
      <c r="B22" s="398"/>
      <c r="C22" s="142"/>
      <c r="D22" s="395"/>
      <c r="E22" s="396"/>
      <c r="F22" s="396"/>
      <c r="G22" s="397"/>
      <c r="H22" s="225"/>
      <c r="I22" s="225"/>
      <c r="J22" s="225"/>
      <c r="K22" s="225"/>
      <c r="L22" s="226"/>
      <c r="M22" s="227"/>
      <c r="N22" s="225"/>
      <c r="O22" s="225"/>
      <c r="P22" s="225"/>
      <c r="Q22" s="225"/>
      <c r="R22" s="225"/>
      <c r="S22" s="225"/>
      <c r="T22" s="231"/>
      <c r="U22" s="225"/>
      <c r="W22" s="228"/>
      <c r="X22" s="229"/>
    </row>
    <row r="23" spans="2:24" ht="16.5" x14ac:dyDescent="0.25">
      <c r="B23" s="398"/>
      <c r="C23" s="142" t="s">
        <v>207</v>
      </c>
      <c r="D23" s="445" t="s">
        <v>204</v>
      </c>
      <c r="E23" s="446"/>
      <c r="F23" s="446"/>
      <c r="G23" s="447"/>
      <c r="H23" s="233">
        <f>+[10]Sheet1!G34</f>
        <v>111204500000.00002</v>
      </c>
      <c r="I23" s="225"/>
      <c r="J23" s="225"/>
      <c r="K23" s="225"/>
      <c r="L23" s="334">
        <f>+[10]Sheet1!K34</f>
        <v>0.17918300000000001</v>
      </c>
      <c r="M23" s="233">
        <f>+[10]Sheet1!L34</f>
        <v>32622954209</v>
      </c>
      <c r="N23" s="233">
        <f>+[10]Sheet1!M34</f>
        <v>0</v>
      </c>
      <c r="O23" s="233">
        <f>+[10]Sheet1!N34</f>
        <v>0</v>
      </c>
      <c r="P23" s="233">
        <f>+[10]Sheet1!O34</f>
        <v>0</v>
      </c>
      <c r="Q23" s="233">
        <f>+[10]Sheet1!P34</f>
        <v>0</v>
      </c>
      <c r="R23" s="233">
        <f>+[10]Sheet1!Q34</f>
        <v>23557563369</v>
      </c>
      <c r="S23" s="233">
        <f>+[10]Sheet1!R34</f>
        <v>9065390840</v>
      </c>
      <c r="T23" s="233">
        <f>+[10]Sheet1!S34</f>
        <v>78581545791.000015</v>
      </c>
      <c r="U23" s="225"/>
      <c r="W23" s="228"/>
      <c r="X23" s="229"/>
    </row>
    <row r="24" spans="2:24" ht="18" x14ac:dyDescent="0.25">
      <c r="B24" s="398"/>
      <c r="C24" s="142"/>
      <c r="D24" s="395"/>
      <c r="E24" s="396"/>
      <c r="F24" s="396"/>
      <c r="G24" s="397"/>
      <c r="H24" s="225"/>
      <c r="I24" s="225"/>
      <c r="J24" s="225"/>
      <c r="K24" s="225"/>
      <c r="L24" s="226"/>
      <c r="M24" s="227"/>
      <c r="N24" s="225"/>
      <c r="O24" s="225"/>
      <c r="P24" s="225"/>
      <c r="Q24" s="225"/>
      <c r="R24" s="225"/>
      <c r="S24" s="225"/>
      <c r="T24" s="225"/>
      <c r="U24" s="225"/>
      <c r="W24" s="228"/>
      <c r="X24" s="229"/>
    </row>
    <row r="25" spans="2:24" ht="16.5" x14ac:dyDescent="0.25">
      <c r="B25" s="398"/>
      <c r="C25" s="142" t="s">
        <v>206</v>
      </c>
      <c r="D25" s="445" t="s">
        <v>203</v>
      </c>
      <c r="E25" s="446"/>
      <c r="F25" s="446"/>
      <c r="G25" s="447"/>
      <c r="H25" s="233">
        <f>+[11]Sheet1!$G$35</f>
        <v>112523578611.40001</v>
      </c>
      <c r="I25" s="225"/>
      <c r="J25" s="225"/>
      <c r="K25" s="225"/>
      <c r="L25" s="226">
        <f>+[11]Sheet1!$K$35</f>
        <v>0.9143</v>
      </c>
      <c r="M25" s="233">
        <f>+[11]Sheet1!L35</f>
        <v>94682800119</v>
      </c>
      <c r="N25" s="232" t="e">
        <f>+[12]Sheet1!M27</f>
        <v>#REF!</v>
      </c>
      <c r="O25" s="232" t="e">
        <f>+[12]Sheet1!N27</f>
        <v>#REF!</v>
      </c>
      <c r="P25" s="232" t="e">
        <f>+[12]Sheet1!O27</f>
        <v>#REF!</v>
      </c>
      <c r="Q25" s="232" t="e">
        <f>+[12]Sheet1!P27</f>
        <v>#REF!</v>
      </c>
      <c r="R25" s="233">
        <f>+[11]Sheet1!Q35</f>
        <v>94682800119</v>
      </c>
      <c r="S25" s="233">
        <f>+[11]Sheet1!R35</f>
        <v>0</v>
      </c>
      <c r="T25" s="231">
        <f>+H25-M25</f>
        <v>17840778492.400009</v>
      </c>
      <c r="U25" s="225"/>
      <c r="W25" s="228"/>
      <c r="X25" s="229"/>
    </row>
    <row r="26" spans="2:24" ht="18" x14ac:dyDescent="0.25">
      <c r="B26" s="398"/>
      <c r="C26" s="142"/>
      <c r="D26" s="395"/>
      <c r="E26" s="396"/>
      <c r="F26" s="396"/>
      <c r="G26" s="397"/>
      <c r="H26" s="225"/>
      <c r="I26" s="225"/>
      <c r="J26" s="225"/>
      <c r="K26" s="225"/>
      <c r="L26" s="226"/>
      <c r="M26" s="227"/>
      <c r="N26" s="225"/>
      <c r="O26" s="225"/>
      <c r="P26" s="225"/>
      <c r="Q26" s="225"/>
      <c r="R26" s="225"/>
      <c r="S26" s="225"/>
      <c r="T26" s="225"/>
      <c r="U26" s="225"/>
      <c r="W26" s="228"/>
      <c r="X26" s="229"/>
    </row>
    <row r="27" spans="2:24" ht="17.25" hidden="1" customHeight="1" x14ac:dyDescent="0.25">
      <c r="B27" s="225"/>
      <c r="C27" s="443" t="s">
        <v>198</v>
      </c>
      <c r="D27" s="445" t="s">
        <v>199</v>
      </c>
      <c r="E27" s="446"/>
      <c r="F27" s="446"/>
      <c r="G27" s="447"/>
      <c r="H27" s="233">
        <v>825000000</v>
      </c>
      <c r="I27" s="225"/>
      <c r="J27" s="225"/>
      <c r="K27" s="225"/>
      <c r="L27" s="232" t="str">
        <f>+[13]Sheet1!$K$27</f>
        <v>ANG-2</v>
      </c>
      <c r="M27" s="233">
        <f>+[13]Sheet1!L27</f>
        <v>825000000</v>
      </c>
      <c r="N27" s="225"/>
      <c r="O27" s="225"/>
      <c r="P27" s="225"/>
      <c r="Q27" s="225"/>
      <c r="R27" s="233">
        <f>+[13]Sheet1!Q27</f>
        <v>825000000</v>
      </c>
      <c r="S27" s="233">
        <f>+[13]Sheet1!R27</f>
        <v>0</v>
      </c>
      <c r="T27" s="233" t="str">
        <f>+[13]Sheet1!S27</f>
        <v>LUNAS</v>
      </c>
      <c r="U27" s="225"/>
      <c r="W27" s="228"/>
      <c r="X27" s="229"/>
    </row>
    <row r="28" spans="2:24" ht="15.75" hidden="1" x14ac:dyDescent="0.25">
      <c r="B28" s="225"/>
      <c r="C28" s="443"/>
      <c r="D28" s="444"/>
      <c r="E28" s="247"/>
      <c r="F28" s="247"/>
      <c r="G28" s="248"/>
      <c r="H28" s="225"/>
      <c r="I28" s="225"/>
      <c r="J28" s="225"/>
      <c r="K28" s="225"/>
      <c r="L28" s="226"/>
      <c r="M28" s="227"/>
      <c r="N28" s="225"/>
      <c r="O28" s="225"/>
      <c r="P28" s="225"/>
      <c r="Q28" s="225"/>
      <c r="R28" s="225"/>
      <c r="S28" s="225"/>
      <c r="T28" s="225"/>
      <c r="U28" s="225"/>
      <c r="W28" s="228"/>
      <c r="X28" s="229"/>
    </row>
    <row r="29" spans="2:24" ht="17.25" customHeight="1" x14ac:dyDescent="0.25">
      <c r="B29" s="225"/>
      <c r="C29" s="443" t="s">
        <v>195</v>
      </c>
      <c r="D29" s="445" t="s">
        <v>196</v>
      </c>
      <c r="E29" s="446"/>
      <c r="F29" s="446"/>
      <c r="G29" s="447"/>
      <c r="H29" s="233">
        <f>+[14]Sheet1!G28</f>
        <v>152550000000</v>
      </c>
      <c r="I29" s="225"/>
      <c r="J29" s="225"/>
      <c r="K29" s="225"/>
      <c r="L29" s="234">
        <f>+[14]Sheet1!K28</f>
        <v>0.18959999999999999</v>
      </c>
      <c r="M29" s="233">
        <f>+[14]Sheet1!L28</f>
        <v>57981175105</v>
      </c>
      <c r="N29" s="232" t="e">
        <f>+[12]Sheet1!M31</f>
        <v>#REF!</v>
      </c>
      <c r="O29" s="232" t="e">
        <f>+[12]Sheet1!N31</f>
        <v>#REF!</v>
      </c>
      <c r="P29" s="232" t="e">
        <f>+[12]Sheet1!O31</f>
        <v>#REF!</v>
      </c>
      <c r="Q29" s="232" t="e">
        <f>+[12]Sheet1!P31</f>
        <v>#REF!</v>
      </c>
      <c r="R29" s="233">
        <f>+[14]Sheet1!Q28</f>
        <v>49638115729</v>
      </c>
      <c r="S29" s="233">
        <f>+[14]Sheet1!R28</f>
        <v>8343059376</v>
      </c>
      <c r="T29" s="233">
        <f>+[14]Sheet1!S28</f>
        <v>94568824895</v>
      </c>
      <c r="U29" s="225"/>
      <c r="W29" s="228"/>
      <c r="X29" s="229"/>
    </row>
    <row r="30" spans="2:24" ht="15.75" x14ac:dyDescent="0.25">
      <c r="B30" s="225"/>
      <c r="C30" s="443"/>
      <c r="D30" s="444"/>
      <c r="E30" s="247"/>
      <c r="F30" s="247"/>
      <c r="G30" s="248"/>
      <c r="H30" s="225"/>
      <c r="I30" s="225"/>
      <c r="J30" s="225"/>
      <c r="K30" s="225"/>
      <c r="L30" s="226"/>
      <c r="M30" s="227"/>
      <c r="N30" s="225"/>
      <c r="O30" s="225"/>
      <c r="P30" s="225"/>
      <c r="Q30" s="225"/>
      <c r="R30" s="225"/>
      <c r="S30" s="225"/>
      <c r="T30" s="225"/>
      <c r="U30" s="225"/>
      <c r="W30" s="228"/>
      <c r="X30" s="229"/>
    </row>
    <row r="31" spans="2:24" ht="13.5" customHeight="1" x14ac:dyDescent="0.25">
      <c r="B31" s="225"/>
      <c r="C31" s="443" t="s">
        <v>193</v>
      </c>
      <c r="D31" s="445" t="s">
        <v>194</v>
      </c>
      <c r="E31" s="446"/>
      <c r="F31" s="446"/>
      <c r="G31" s="447"/>
      <c r="H31" s="225">
        <v>0</v>
      </c>
      <c r="I31" s="225"/>
      <c r="J31" s="225"/>
      <c r="K31" s="225"/>
      <c r="L31" s="226"/>
      <c r="M31" s="227"/>
      <c r="N31" s="225"/>
      <c r="O31" s="225"/>
      <c r="P31" s="225"/>
      <c r="Q31" s="225"/>
      <c r="R31" s="225"/>
      <c r="S31" s="225"/>
      <c r="T31" s="225"/>
      <c r="U31" s="225"/>
      <c r="W31" s="228"/>
      <c r="X31" s="229"/>
    </row>
    <row r="32" spans="2:24" ht="13.5" customHeight="1" x14ac:dyDescent="0.25">
      <c r="B32" s="225"/>
      <c r="C32" s="443"/>
      <c r="D32" s="448"/>
      <c r="E32" s="449"/>
      <c r="F32" s="449"/>
      <c r="G32" s="450"/>
      <c r="H32" s="225"/>
      <c r="I32" s="225"/>
      <c r="J32" s="225"/>
      <c r="K32" s="225"/>
      <c r="L32" s="226"/>
      <c r="M32" s="227"/>
      <c r="N32" s="225"/>
      <c r="O32" s="225"/>
      <c r="P32" s="225"/>
      <c r="Q32" s="225"/>
      <c r="R32" s="225"/>
      <c r="S32" s="225"/>
      <c r="T32" s="225"/>
      <c r="U32" s="225"/>
      <c r="W32" s="228"/>
      <c r="X32" s="229"/>
    </row>
    <row r="33" spans="1:24" ht="13.5" customHeight="1" x14ac:dyDescent="0.25">
      <c r="B33" s="225"/>
      <c r="C33" s="443"/>
      <c r="D33" s="448"/>
      <c r="E33" s="449"/>
      <c r="F33" s="449"/>
      <c r="G33" s="450"/>
      <c r="H33" s="225"/>
      <c r="I33" s="225"/>
      <c r="J33" s="225"/>
      <c r="K33" s="225"/>
      <c r="L33" s="226"/>
      <c r="M33" s="227"/>
      <c r="N33" s="225"/>
      <c r="O33" s="225"/>
      <c r="P33" s="225"/>
      <c r="Q33" s="225"/>
      <c r="R33" s="225"/>
      <c r="S33" s="225"/>
      <c r="T33" s="225"/>
      <c r="U33" s="225"/>
      <c r="W33" s="228"/>
      <c r="X33" s="229"/>
    </row>
    <row r="34" spans="1:24" ht="13.5" customHeight="1" x14ac:dyDescent="0.25">
      <c r="B34" s="225"/>
      <c r="C34" s="443"/>
      <c r="D34" s="448"/>
      <c r="E34" s="449"/>
      <c r="F34" s="449"/>
      <c r="G34" s="450"/>
      <c r="H34" s="225"/>
      <c r="I34" s="225"/>
      <c r="J34" s="225"/>
      <c r="K34" s="225"/>
      <c r="L34" s="226"/>
      <c r="M34" s="227"/>
      <c r="N34" s="225"/>
      <c r="O34" s="225"/>
      <c r="P34" s="225"/>
      <c r="Q34" s="225"/>
      <c r="R34" s="225"/>
      <c r="S34" s="225"/>
      <c r="T34" s="225"/>
      <c r="U34" s="225"/>
      <c r="W34" s="228"/>
      <c r="X34" s="229"/>
    </row>
    <row r="35" spans="1:24" ht="15.75" x14ac:dyDescent="0.25">
      <c r="B35" s="225"/>
      <c r="C35" s="443"/>
      <c r="D35" s="444"/>
      <c r="E35" s="247"/>
      <c r="F35" s="247"/>
      <c r="G35" s="248"/>
      <c r="H35" s="225"/>
      <c r="I35" s="225"/>
      <c r="J35" s="225"/>
      <c r="K35" s="225"/>
      <c r="L35" s="226"/>
      <c r="M35" s="227"/>
      <c r="N35" s="225"/>
      <c r="O35" s="225"/>
      <c r="P35" s="225"/>
      <c r="Q35" s="225"/>
      <c r="R35" s="225"/>
      <c r="S35" s="225"/>
      <c r="T35" s="225"/>
      <c r="U35" s="225"/>
      <c r="W35" s="228"/>
      <c r="X35" s="229"/>
    </row>
    <row r="36" spans="1:24" ht="15.75" x14ac:dyDescent="0.25">
      <c r="B36" s="225"/>
      <c r="C36" s="443"/>
      <c r="D36" s="444"/>
      <c r="E36" s="247"/>
      <c r="F36" s="247"/>
      <c r="G36" s="248"/>
      <c r="H36" s="225"/>
      <c r="I36" s="225"/>
      <c r="J36" s="225"/>
      <c r="K36" s="225"/>
      <c r="L36" s="226"/>
      <c r="M36" s="227"/>
      <c r="N36" s="225"/>
      <c r="O36" s="225"/>
      <c r="P36" s="225"/>
      <c r="Q36" s="225"/>
      <c r="R36" s="225"/>
      <c r="S36" s="225"/>
      <c r="T36" s="225"/>
      <c r="U36" s="225"/>
      <c r="W36" s="228"/>
      <c r="X36" s="229"/>
    </row>
    <row r="37" spans="1:24" ht="15.75" x14ac:dyDescent="0.25">
      <c r="B37" s="225"/>
      <c r="C37" s="443"/>
      <c r="D37" s="444"/>
      <c r="E37" s="247"/>
      <c r="F37" s="247"/>
      <c r="G37" s="248"/>
      <c r="H37" s="225"/>
      <c r="I37" s="225"/>
      <c r="J37" s="225"/>
      <c r="K37" s="225"/>
      <c r="L37" s="226"/>
      <c r="M37" s="227"/>
      <c r="N37" s="225"/>
      <c r="O37" s="225"/>
      <c r="P37" s="225"/>
      <c r="Q37" s="225"/>
      <c r="R37" s="225"/>
      <c r="S37" s="225"/>
      <c r="T37" s="225"/>
      <c r="U37" s="225"/>
      <c r="W37" s="228"/>
      <c r="X37" s="229"/>
    </row>
    <row r="38" spans="1:24" ht="15.75" x14ac:dyDescent="0.25">
      <c r="B38" s="225"/>
      <c r="C38" s="443"/>
      <c r="D38" s="444"/>
      <c r="E38" s="247"/>
      <c r="F38" s="247"/>
      <c r="G38" s="248"/>
      <c r="H38" s="225"/>
      <c r="I38" s="225"/>
      <c r="J38" s="225"/>
      <c r="K38" s="225"/>
      <c r="L38" s="226"/>
      <c r="M38" s="227"/>
      <c r="N38" s="225"/>
      <c r="O38" s="225"/>
      <c r="P38" s="225"/>
      <c r="Q38" s="225"/>
      <c r="R38" s="225"/>
      <c r="S38" s="225"/>
      <c r="T38" s="225"/>
      <c r="U38" s="225"/>
      <c r="W38" s="228"/>
      <c r="X38" s="229"/>
    </row>
    <row r="39" spans="1:24" ht="16.5" x14ac:dyDescent="0.3">
      <c r="B39" s="14"/>
      <c r="C39" s="55"/>
      <c r="D39" s="417" t="s">
        <v>197</v>
      </c>
      <c r="E39" s="418"/>
      <c r="F39" s="418"/>
      <c r="G39" s="419"/>
      <c r="H39" s="236">
        <f>SUBTOTAL(9,H18:H34)</f>
        <v>548323078611.40002</v>
      </c>
      <c r="I39" s="56"/>
      <c r="J39" s="224"/>
      <c r="K39" s="237"/>
      <c r="L39" s="317">
        <f>+M39/H39</f>
        <v>0.49310413291690069</v>
      </c>
      <c r="M39" s="236">
        <f>SUBTOTAL(9,M18:M34)</f>
        <v>270380376237</v>
      </c>
      <c r="N39" s="239"/>
      <c r="O39" s="239"/>
      <c r="P39" s="239"/>
      <c r="Q39" s="239"/>
      <c r="R39" s="236">
        <f>SUBTOTAL(9,R18:R34)</f>
        <v>248790826021</v>
      </c>
      <c r="S39" s="236">
        <f>SUBTOTAL(9,S18:S34)</f>
        <v>21589550216</v>
      </c>
      <c r="T39" s="236">
        <f>SUBTOTAL(9,T18:T34)</f>
        <v>277942702374.40002</v>
      </c>
      <c r="U39" s="240"/>
      <c r="W39" s="228"/>
      <c r="X39" s="229"/>
    </row>
    <row r="40" spans="1:24" ht="8.25" customHeight="1" x14ac:dyDescent="0.3">
      <c r="A40" s="143" t="s">
        <v>135</v>
      </c>
      <c r="B40" s="76"/>
      <c r="C40" s="60"/>
      <c r="D40" s="420"/>
      <c r="E40" s="421"/>
      <c r="F40" s="421"/>
      <c r="G40" s="422"/>
      <c r="H40" s="241"/>
      <c r="I40" s="61"/>
      <c r="J40" s="242"/>
      <c r="K40" s="243"/>
      <c r="L40" s="244"/>
      <c r="M40" s="245"/>
      <c r="N40" s="154"/>
      <c r="O40" s="154"/>
      <c r="P40" s="154"/>
      <c r="Q40" s="154"/>
      <c r="R40" s="245"/>
      <c r="S40" s="245"/>
      <c r="T40" s="245"/>
      <c r="U40" s="246"/>
      <c r="W40" s="228"/>
      <c r="X40" s="229"/>
    </row>
    <row r="41" spans="1:24" ht="18" x14ac:dyDescent="0.3">
      <c r="B41" s="14"/>
      <c r="C41" s="69"/>
      <c r="D41" s="399"/>
      <c r="E41" s="400"/>
      <c r="F41" s="400"/>
      <c r="G41" s="401"/>
      <c r="H41" s="300"/>
      <c r="I41" s="70"/>
      <c r="J41" s="398"/>
      <c r="K41" s="301"/>
      <c r="L41" s="289"/>
      <c r="M41" s="74"/>
      <c r="N41" s="129"/>
      <c r="O41" s="129"/>
      <c r="P41" s="129"/>
      <c r="Q41" s="129"/>
      <c r="R41" s="74"/>
      <c r="S41" s="74"/>
      <c r="T41" s="74"/>
      <c r="U41" s="290"/>
      <c r="W41" s="228"/>
      <c r="X41" s="229"/>
    </row>
    <row r="42" spans="1:24" ht="16.5" customHeight="1" x14ac:dyDescent="0.25">
      <c r="A42" s="223"/>
      <c r="B42" s="398">
        <v>3</v>
      </c>
      <c r="C42" s="142"/>
      <c r="D42" s="423" t="s">
        <v>165</v>
      </c>
      <c r="E42" s="424"/>
      <c r="F42" s="424"/>
      <c r="G42" s="425"/>
      <c r="H42" s="225"/>
      <c r="I42" s="225"/>
      <c r="J42" s="225"/>
      <c r="K42" s="225"/>
      <c r="L42" s="226"/>
      <c r="M42" s="227"/>
      <c r="N42" s="225"/>
      <c r="O42" s="225"/>
      <c r="P42" s="225"/>
      <c r="Q42" s="225"/>
      <c r="R42" s="225"/>
      <c r="S42" s="225"/>
      <c r="T42" s="225"/>
      <c r="U42" s="225"/>
      <c r="W42" s="228"/>
      <c r="X42" s="229"/>
    </row>
    <row r="43" spans="1:24" ht="22.5" customHeight="1" x14ac:dyDescent="0.25">
      <c r="A43" s="223"/>
      <c r="B43" s="398"/>
      <c r="C43" s="142" t="s">
        <v>202</v>
      </c>
      <c r="D43" s="357" t="s">
        <v>233</v>
      </c>
      <c r="E43" s="396"/>
      <c r="F43" s="396"/>
      <c r="G43" s="397"/>
      <c r="H43" s="231">
        <f>+[15]Sheet1!G22</f>
        <v>28582290000.000004</v>
      </c>
      <c r="I43" s="225"/>
      <c r="J43" s="225"/>
      <c r="K43" s="225"/>
      <c r="L43" s="231" t="str">
        <f>+[15]Sheet1!K22</f>
        <v>29%,78%,95%</v>
      </c>
      <c r="M43" s="231">
        <f>+[15]Sheet1!L22</f>
        <v>13638554594</v>
      </c>
      <c r="N43" s="225"/>
      <c r="O43" s="225"/>
      <c r="P43" s="225"/>
      <c r="Q43" s="225"/>
      <c r="R43" s="231">
        <f>+[15]Sheet1!Q22</f>
        <v>13638554594</v>
      </c>
      <c r="S43" s="231">
        <f>+[16]Sheet1!R27</f>
        <v>0</v>
      </c>
      <c r="T43" s="231">
        <f>+[15]Sheet1!S22</f>
        <v>14943735406.000004</v>
      </c>
      <c r="U43" s="225"/>
      <c r="W43" s="228"/>
      <c r="X43" s="229"/>
    </row>
    <row r="44" spans="1:24" ht="16.5" customHeight="1" x14ac:dyDescent="0.25">
      <c r="A44" s="223"/>
      <c r="B44" s="398"/>
      <c r="C44" s="142"/>
      <c r="D44" s="357"/>
      <c r="E44" s="394" t="s">
        <v>234</v>
      </c>
      <c r="F44" s="396"/>
      <c r="G44" s="397"/>
      <c r="H44" s="231">
        <f>+[15]Sheet1!G24</f>
        <v>39600000</v>
      </c>
      <c r="I44" s="225"/>
      <c r="J44" s="225"/>
      <c r="K44" s="225"/>
      <c r="L44" s="416" t="str">
        <f>+[15]Sheet1!$K$27</f>
        <v xml:space="preserve">PELUNASAN FF </v>
      </c>
      <c r="M44" s="231">
        <f>+[15]Sheet1!L27</f>
        <v>29700000</v>
      </c>
      <c r="N44" s="225"/>
      <c r="O44" s="225"/>
      <c r="P44" s="225"/>
      <c r="Q44" s="225"/>
      <c r="R44" s="231">
        <f>+[15]Sheet1!Q27</f>
        <v>29700000</v>
      </c>
      <c r="S44" s="88">
        <f>+[15]Sheet1!R27</f>
        <v>0</v>
      </c>
      <c r="T44" s="231">
        <f>+[15]Sheet1!S27</f>
        <v>9900000</v>
      </c>
      <c r="U44" s="225"/>
      <c r="W44" s="228"/>
      <c r="X44" s="229"/>
    </row>
    <row r="45" spans="1:24" ht="9.75" customHeight="1" x14ac:dyDescent="0.25">
      <c r="A45" s="223"/>
      <c r="B45" s="398"/>
      <c r="C45" s="142"/>
      <c r="D45" s="395"/>
      <c r="E45" s="396"/>
      <c r="F45" s="396"/>
      <c r="G45" s="397"/>
      <c r="H45" s="225"/>
      <c r="I45" s="225"/>
      <c r="J45" s="225"/>
      <c r="K45" s="225"/>
      <c r="L45" s="416"/>
      <c r="M45" s="227"/>
      <c r="N45" s="225"/>
      <c r="O45" s="225"/>
      <c r="P45" s="225"/>
      <c r="Q45" s="225"/>
      <c r="R45" s="225"/>
      <c r="S45" s="225"/>
      <c r="T45" s="225"/>
      <c r="U45" s="225"/>
      <c r="W45" s="228"/>
      <c r="X45" s="229"/>
    </row>
    <row r="46" spans="1:24" ht="16.5" customHeight="1" x14ac:dyDescent="0.25">
      <c r="A46" s="223"/>
      <c r="B46" s="398"/>
      <c r="C46" s="142" t="s">
        <v>190</v>
      </c>
      <c r="D46" s="357" t="s">
        <v>191</v>
      </c>
      <c r="E46" s="396"/>
      <c r="F46" s="396"/>
      <c r="G46" s="397"/>
      <c r="H46" s="231">
        <f>+[17]Sheet1!G109</f>
        <v>1318228616.4000001</v>
      </c>
      <c r="I46" s="225"/>
      <c r="J46" s="225"/>
      <c r="K46" s="225"/>
      <c r="L46" s="234">
        <f>+[17]Sheet1!K109</f>
        <v>1</v>
      </c>
      <c r="M46" s="231">
        <f>+[17]Sheet1!L109</f>
        <v>334198334</v>
      </c>
      <c r="N46" s="231">
        <f>+[17]Sheet1!M57</f>
        <v>0</v>
      </c>
      <c r="O46" s="231">
        <f>+[17]Sheet1!N57</f>
        <v>0</v>
      </c>
      <c r="P46" s="231">
        <f>+[17]Sheet1!O57</f>
        <v>0</v>
      </c>
      <c r="Q46" s="231">
        <f>+[17]Sheet1!P57</f>
        <v>0</v>
      </c>
      <c r="R46" s="231">
        <f>+[17]Sheet1!Q109</f>
        <v>0</v>
      </c>
      <c r="S46" s="231">
        <f>+[17]Sheet1!R109</f>
        <v>334198334</v>
      </c>
      <c r="T46" s="231">
        <f>+[17]Sheet1!S109</f>
        <v>984030282.4000001</v>
      </c>
      <c r="U46" s="225"/>
      <c r="W46" s="228"/>
      <c r="X46" s="229"/>
    </row>
    <row r="47" spans="1:24" ht="16.5" customHeight="1" x14ac:dyDescent="0.25">
      <c r="A47" s="223"/>
      <c r="B47" s="398"/>
      <c r="C47" s="142"/>
      <c r="D47" s="395"/>
      <c r="E47" s="396"/>
      <c r="F47" s="396"/>
      <c r="G47" s="397"/>
      <c r="H47" s="225"/>
      <c r="I47" s="225"/>
      <c r="J47" s="225"/>
      <c r="K47" s="225"/>
      <c r="L47" s="226"/>
      <c r="M47" s="227"/>
      <c r="N47" s="225"/>
      <c r="O47" s="225"/>
      <c r="P47" s="225"/>
      <c r="Q47" s="225"/>
      <c r="R47" s="225"/>
      <c r="S47" s="225"/>
      <c r="T47" s="225"/>
      <c r="U47" s="225"/>
      <c r="W47" s="228"/>
      <c r="X47" s="229"/>
    </row>
    <row r="48" spans="1:24" ht="16.5" customHeight="1" x14ac:dyDescent="0.25">
      <c r="A48" s="223">
        <v>1</v>
      </c>
      <c r="B48" s="398"/>
      <c r="C48" s="142" t="s">
        <v>182</v>
      </c>
      <c r="D48" s="357" t="s">
        <v>180</v>
      </c>
      <c r="E48" s="396"/>
      <c r="F48" s="396"/>
      <c r="G48" s="397"/>
      <c r="H48" s="231">
        <f>+[18]Sheet1!$G$27</f>
        <v>52860400000</v>
      </c>
      <c r="I48" s="225"/>
      <c r="J48" s="225"/>
      <c r="K48" s="225"/>
      <c r="L48" s="232" t="str">
        <f>+[18]Sheet1!$K$27</f>
        <v>DP-40%</v>
      </c>
      <c r="M48" s="233">
        <f>+[18]Sheet1!$L$27</f>
        <v>52860400000</v>
      </c>
      <c r="N48" s="225"/>
      <c r="O48" s="225"/>
      <c r="P48" s="225"/>
      <c r="Q48" s="225"/>
      <c r="R48" s="233">
        <f>+[18]Sheet1!$Q$27</f>
        <v>52860400000</v>
      </c>
      <c r="S48" s="233">
        <f>+[18]Sheet1!$R$27</f>
        <v>0</v>
      </c>
      <c r="T48" s="233">
        <f>+[18]Sheet1!$S$27</f>
        <v>0</v>
      </c>
      <c r="U48" s="225"/>
      <c r="W48" s="228"/>
      <c r="X48" s="229"/>
    </row>
    <row r="49" spans="1:24" ht="16.5" customHeight="1" x14ac:dyDescent="0.25">
      <c r="A49" s="223">
        <f>+A48+1</f>
        <v>2</v>
      </c>
      <c r="B49" s="398"/>
      <c r="C49" s="142"/>
      <c r="D49" s="395"/>
      <c r="E49" s="396"/>
      <c r="F49" s="396"/>
      <c r="G49" s="397"/>
      <c r="H49" s="225"/>
      <c r="I49" s="225"/>
      <c r="J49" s="225"/>
      <c r="K49" s="225"/>
      <c r="L49" s="226"/>
      <c r="M49" s="227"/>
      <c r="N49" s="225"/>
      <c r="O49" s="225"/>
      <c r="P49" s="225"/>
      <c r="Q49" s="225"/>
      <c r="R49" s="225"/>
      <c r="S49" s="225"/>
      <c r="T49" s="225"/>
      <c r="U49" s="225"/>
      <c r="W49" s="228"/>
      <c r="X49" s="229"/>
    </row>
    <row r="50" spans="1:24" ht="16.5" customHeight="1" x14ac:dyDescent="0.25">
      <c r="A50" s="223">
        <f>+A49+1</f>
        <v>3</v>
      </c>
      <c r="B50" s="398"/>
      <c r="C50" s="142" t="s">
        <v>179</v>
      </c>
      <c r="D50" s="357" t="s">
        <v>183</v>
      </c>
      <c r="E50" s="396"/>
      <c r="F50" s="396"/>
      <c r="G50" s="397"/>
      <c r="H50" s="231">
        <f>+[19]Sheet1!G33</f>
        <v>185785408116</v>
      </c>
      <c r="I50" s="225"/>
      <c r="J50" s="225"/>
      <c r="K50" s="225"/>
      <c r="L50" s="234">
        <f>+[19]Sheet1!K33</f>
        <v>0.83169999999999999</v>
      </c>
      <c r="M50" s="233">
        <f>+[19]Sheet1!L33</f>
        <v>150507975354</v>
      </c>
      <c r="N50" s="226">
        <f>+[20]Sheet1!$K$27</f>
        <v>0.83279999999999998</v>
      </c>
      <c r="O50" s="226">
        <f>+[20]Sheet1!$K$27</f>
        <v>0.83279999999999998</v>
      </c>
      <c r="P50" s="226">
        <f>+[20]Sheet1!$K$27</f>
        <v>0.83279999999999998</v>
      </c>
      <c r="Q50" s="226">
        <f>+[20]Sheet1!$K$27</f>
        <v>0.83279999999999998</v>
      </c>
      <c r="R50" s="233">
        <f>+[19]Sheet1!Q33</f>
        <v>135836985036</v>
      </c>
      <c r="S50" s="233">
        <f>+[19]Sheet1!R33</f>
        <v>14670990318</v>
      </c>
      <c r="T50" s="233">
        <f>+[19]Sheet1!S33</f>
        <v>35277432762</v>
      </c>
      <c r="U50" s="225"/>
      <c r="W50" s="228"/>
      <c r="X50" s="229"/>
    </row>
    <row r="51" spans="1:24" ht="16.5" customHeight="1" x14ac:dyDescent="0.25">
      <c r="A51" s="223"/>
      <c r="B51" s="398"/>
      <c r="C51" s="142"/>
      <c r="D51" s="357" t="s">
        <v>220</v>
      </c>
      <c r="E51" s="396"/>
      <c r="F51" s="396"/>
      <c r="G51" s="397"/>
      <c r="H51" s="231">
        <f>+[20]Sheet1!G40</f>
        <v>66670000000</v>
      </c>
      <c r="I51" s="225"/>
      <c r="J51" s="225"/>
      <c r="K51" s="225"/>
      <c r="L51" s="234">
        <f>+[20]Sheet1!K40</f>
        <v>0.77400000000000002</v>
      </c>
      <c r="M51" s="231">
        <f>+[20]Sheet1!L40</f>
        <v>49181224838</v>
      </c>
      <c r="N51" s="226"/>
      <c r="O51" s="226"/>
      <c r="P51" s="226"/>
      <c r="Q51" s="226"/>
      <c r="R51" s="231">
        <f>+[20]Sheet1!Q40</f>
        <v>49181224838</v>
      </c>
      <c r="S51" s="231">
        <f>+[20]Sheet1!R40</f>
        <v>0</v>
      </c>
      <c r="T51" s="231">
        <f>+[20]Sheet1!S40</f>
        <v>17488775162</v>
      </c>
      <c r="U51" s="225"/>
      <c r="W51" s="228"/>
      <c r="X51" s="229"/>
    </row>
    <row r="52" spans="1:24" ht="16.5" customHeight="1" x14ac:dyDescent="0.25">
      <c r="A52" s="223">
        <f>+A50+1</f>
        <v>4</v>
      </c>
      <c r="B52" s="230"/>
      <c r="C52" s="305"/>
      <c r="D52" s="335"/>
      <c r="E52" s="212"/>
      <c r="F52" s="212"/>
      <c r="G52" s="213"/>
      <c r="H52" s="225"/>
      <c r="I52" s="225"/>
      <c r="J52" s="225"/>
      <c r="K52" s="225"/>
      <c r="L52" s="226"/>
      <c r="M52" s="227"/>
      <c r="N52" s="225"/>
      <c r="O52" s="225"/>
      <c r="P52" s="225"/>
      <c r="Q52" s="225"/>
      <c r="R52" s="225"/>
      <c r="S52" s="225"/>
      <c r="T52" s="225"/>
      <c r="U52" s="225"/>
      <c r="W52" s="228"/>
      <c r="X52" s="229"/>
    </row>
    <row r="53" spans="1:24" ht="18" x14ac:dyDescent="0.25">
      <c r="A53" s="223">
        <f>+A52+1</f>
        <v>5</v>
      </c>
      <c r="B53" s="230"/>
      <c r="C53" s="360" t="s">
        <v>173</v>
      </c>
      <c r="D53" s="337" t="s">
        <v>174</v>
      </c>
      <c r="E53" s="212"/>
      <c r="F53" s="212"/>
      <c r="G53" s="213"/>
      <c r="H53" s="231">
        <f>+[21]Sheet1!G28</f>
        <v>99061041733.500015</v>
      </c>
      <c r="I53" s="225"/>
      <c r="J53" s="225"/>
      <c r="K53" s="225"/>
      <c r="L53" s="226">
        <f>+[21]Sheet1!K28</f>
        <v>1</v>
      </c>
      <c r="M53" s="231">
        <f>+[21]Sheet1!L28</f>
        <v>96584515690</v>
      </c>
      <c r="N53" s="231">
        <f>+[21]Sheet1!M28</f>
        <v>0</v>
      </c>
      <c r="O53" s="231">
        <f>+[21]Sheet1!N28</f>
        <v>0</v>
      </c>
      <c r="P53" s="231">
        <f>+[21]Sheet1!O28</f>
        <v>0</v>
      </c>
      <c r="Q53" s="231">
        <f>+[21]Sheet1!P28</f>
        <v>0</v>
      </c>
      <c r="R53" s="231">
        <f>+[21]Sheet1!Q28</f>
        <v>96584515690</v>
      </c>
      <c r="S53" s="231">
        <f>+[21]Sheet1!R28</f>
        <v>0</v>
      </c>
      <c r="T53" s="402">
        <f>+[21]Sheet1!S28</f>
        <v>2476526043.5000153</v>
      </c>
      <c r="U53" s="225"/>
      <c r="W53" s="231">
        <f>+[21]Sheet1!$G$27</f>
        <v>0</v>
      </c>
      <c r="X53" s="229"/>
    </row>
    <row r="54" spans="1:24" ht="18" x14ac:dyDescent="0.25">
      <c r="A54" s="223">
        <f t="shared" ref="A54:A116" si="0">+A53+1</f>
        <v>6</v>
      </c>
      <c r="B54" s="230"/>
      <c r="C54" s="305"/>
      <c r="D54" s="335"/>
      <c r="E54" s="212"/>
      <c r="F54" s="212"/>
      <c r="G54" s="213"/>
      <c r="H54" s="225"/>
      <c r="I54" s="225"/>
      <c r="J54" s="225"/>
      <c r="K54" s="225"/>
      <c r="L54" s="226"/>
      <c r="M54" s="227"/>
      <c r="N54" s="225"/>
      <c r="O54" s="225"/>
      <c r="P54" s="225"/>
      <c r="Q54" s="225"/>
      <c r="R54" s="225"/>
      <c r="S54" s="225"/>
      <c r="T54" s="225"/>
      <c r="U54" s="225"/>
      <c r="W54" s="228"/>
      <c r="X54" s="229"/>
    </row>
    <row r="55" spans="1:24" ht="18" x14ac:dyDescent="0.25">
      <c r="A55" s="223"/>
      <c r="B55" s="230"/>
      <c r="C55" s="360" t="s">
        <v>166</v>
      </c>
      <c r="D55" s="337" t="s">
        <v>167</v>
      </c>
      <c r="E55" s="212"/>
      <c r="F55" s="212"/>
      <c r="G55" s="213"/>
      <c r="H55" s="231">
        <f>+[22]Sheet1!G24</f>
        <v>30051524901.099998</v>
      </c>
      <c r="I55" s="225"/>
      <c r="J55" s="225"/>
      <c r="K55" s="225"/>
      <c r="L55" s="234">
        <f>+[22]Sheet1!K24</f>
        <v>0.98663699999999999</v>
      </c>
      <c r="M55" s="231">
        <f>+[22]Sheet1!L24</f>
        <v>27221935741</v>
      </c>
      <c r="N55" s="231">
        <f>+[22]Sheet1!M24</f>
        <v>0</v>
      </c>
      <c r="O55" s="231">
        <f>+[22]Sheet1!N24</f>
        <v>0</v>
      </c>
      <c r="P55" s="231">
        <f>+[22]Sheet1!O24</f>
        <v>0</v>
      </c>
      <c r="Q55" s="231">
        <f>+[22]Sheet1!P24</f>
        <v>0</v>
      </c>
      <c r="R55" s="231">
        <f>+[22]Sheet1!Q24</f>
        <v>27221935741</v>
      </c>
      <c r="S55" s="231">
        <f>+[22]Sheet1!R41</f>
        <v>0</v>
      </c>
      <c r="T55" s="402">
        <f>+[22]Sheet1!S24</f>
        <v>2829589160.0999985</v>
      </c>
      <c r="U55" s="225"/>
      <c r="W55" s="228">
        <v>28578000000</v>
      </c>
      <c r="X55" s="229"/>
    </row>
    <row r="56" spans="1:24" ht="18" x14ac:dyDescent="0.25">
      <c r="A56" s="223" t="s">
        <v>209</v>
      </c>
      <c r="B56" s="230"/>
      <c r="C56" s="305"/>
      <c r="D56" s="337"/>
      <c r="E56" s="394" t="s">
        <v>235</v>
      </c>
      <c r="F56" s="212"/>
      <c r="G56" s="213"/>
      <c r="H56" s="231">
        <f>+[22]Sheet1!$G$26</f>
        <v>72315949</v>
      </c>
      <c r="I56" s="225"/>
      <c r="J56" s="225"/>
      <c r="K56" s="225"/>
      <c r="L56" s="235">
        <v>1</v>
      </c>
      <c r="M56" s="231">
        <f>SUM([22]Sheet1!L26:L27)</f>
        <v>72315949</v>
      </c>
      <c r="N56" s="231"/>
      <c r="O56" s="231"/>
      <c r="P56" s="231"/>
      <c r="Q56" s="231"/>
      <c r="R56" s="231">
        <f>SUM([22]Sheet1!Q26:Q27)</f>
        <v>72315949</v>
      </c>
      <c r="S56" s="231">
        <f>SUM([22]Sheet1!R26:R27)</f>
        <v>0</v>
      </c>
      <c r="T56" s="231">
        <f>SUM([22]Sheet1!S26:S27)</f>
        <v>0</v>
      </c>
      <c r="U56" s="225"/>
      <c r="W56" s="228"/>
      <c r="X56" s="229"/>
    </row>
    <row r="57" spans="1:24" ht="18" x14ac:dyDescent="0.25">
      <c r="A57" s="223"/>
      <c r="B57" s="393"/>
      <c r="C57" s="305"/>
      <c r="D57" s="337"/>
      <c r="E57" s="394" t="s">
        <v>236</v>
      </c>
      <c r="F57" s="391"/>
      <c r="G57" s="392"/>
      <c r="H57" s="231">
        <f>+[22]Sheet1!$G$29</f>
        <v>404199620</v>
      </c>
      <c r="I57" s="225"/>
      <c r="J57" s="225"/>
      <c r="K57" s="225"/>
      <c r="L57" s="235">
        <f>+[22]Sheet1!$K$30</f>
        <v>1</v>
      </c>
      <c r="M57" s="231">
        <f>+[22]Sheet1!$L$29+[22]Sheet1!$L$30</f>
        <v>381541226</v>
      </c>
      <c r="N57" s="231"/>
      <c r="O57" s="231"/>
      <c r="P57" s="231"/>
      <c r="Q57" s="231"/>
      <c r="R57" s="231">
        <f>SUM([22]Sheet1!Q29:Q30)</f>
        <v>381541226</v>
      </c>
      <c r="S57" s="231">
        <f>SUM([22]Sheet1!R29:R30)</f>
        <v>0</v>
      </c>
      <c r="T57" s="402">
        <f>+H57-M57</f>
        <v>22658394</v>
      </c>
      <c r="U57" s="225"/>
      <c r="W57" s="228"/>
      <c r="X57" s="229"/>
    </row>
    <row r="58" spans="1:24" ht="18" x14ac:dyDescent="0.25">
      <c r="A58" s="223"/>
      <c r="B58" s="393"/>
      <c r="C58" s="305"/>
      <c r="D58" s="337"/>
      <c r="E58" s="394"/>
      <c r="F58" s="391"/>
      <c r="G58" s="392"/>
      <c r="H58" s="231"/>
      <c r="I58" s="225"/>
      <c r="J58" s="225"/>
      <c r="K58" s="225"/>
      <c r="L58" s="235"/>
      <c r="M58" s="231"/>
      <c r="N58" s="231"/>
      <c r="O58" s="231"/>
      <c r="P58" s="231"/>
      <c r="Q58" s="231"/>
      <c r="R58" s="231"/>
      <c r="S58" s="231"/>
      <c r="T58" s="231"/>
      <c r="U58" s="225"/>
      <c r="W58" s="228"/>
      <c r="X58" s="229"/>
    </row>
    <row r="59" spans="1:24" ht="18" x14ac:dyDescent="0.25">
      <c r="A59" s="223" t="e">
        <f>+A56+1</f>
        <v>#VALUE!</v>
      </c>
      <c r="B59" s="230"/>
      <c r="C59" s="367" t="s">
        <v>184</v>
      </c>
      <c r="D59" s="337" t="s">
        <v>237</v>
      </c>
      <c r="E59" s="212"/>
      <c r="F59" s="212"/>
      <c r="G59" s="213"/>
      <c r="H59" s="231">
        <f>+[23]Sheet1!G41</f>
        <v>2093209797</v>
      </c>
      <c r="I59" s="225"/>
      <c r="J59" s="225"/>
      <c r="K59" s="225"/>
      <c r="L59" s="234">
        <f>+[23]Sheet1!K41</f>
        <v>1</v>
      </c>
      <c r="M59" s="231">
        <f>+[23]Sheet1!L41</f>
        <v>2093209797</v>
      </c>
      <c r="N59" s="231">
        <f>+[23]Sheet1!M27</f>
        <v>0</v>
      </c>
      <c r="O59" s="231">
        <f>+[23]Sheet1!N27</f>
        <v>0</v>
      </c>
      <c r="P59" s="231">
        <f>+[23]Sheet1!O27</f>
        <v>0</v>
      </c>
      <c r="Q59" s="231">
        <f>+[23]Sheet1!P27</f>
        <v>0</v>
      </c>
      <c r="R59" s="231">
        <f>+[23]Sheet1!Q41</f>
        <v>437523727</v>
      </c>
      <c r="S59" s="402">
        <f>+[23]Sheet1!R41</f>
        <v>1655686070</v>
      </c>
      <c r="T59" s="231">
        <f>+[23]Sheet1!S41</f>
        <v>0</v>
      </c>
      <c r="U59" s="225"/>
      <c r="W59" s="228"/>
      <c r="X59" s="229"/>
    </row>
    <row r="60" spans="1:24" ht="18" x14ac:dyDescent="0.25">
      <c r="A60" s="223"/>
      <c r="B60" s="320"/>
      <c r="C60" s="305"/>
      <c r="D60" s="337" t="s">
        <v>238</v>
      </c>
      <c r="E60" s="318"/>
      <c r="F60" s="318"/>
      <c r="G60" s="319"/>
      <c r="H60" s="231"/>
      <c r="I60" s="225"/>
      <c r="J60" s="225"/>
      <c r="K60" s="225"/>
      <c r="L60" s="234"/>
      <c r="M60" s="231"/>
      <c r="N60" s="231"/>
      <c r="O60" s="231"/>
      <c r="P60" s="231"/>
      <c r="Q60" s="231"/>
      <c r="R60" s="231"/>
      <c r="S60" s="231"/>
      <c r="T60" s="231"/>
      <c r="U60" s="225"/>
      <c r="W60" s="228"/>
      <c r="X60" s="229"/>
    </row>
    <row r="61" spans="1:24" ht="18" x14ac:dyDescent="0.25">
      <c r="A61" s="223"/>
      <c r="B61" s="320"/>
      <c r="C61" s="305"/>
      <c r="D61" s="337"/>
      <c r="E61" s="318"/>
      <c r="F61" s="318"/>
      <c r="G61" s="319"/>
      <c r="H61" s="231"/>
      <c r="I61" s="225"/>
      <c r="J61" s="225"/>
      <c r="K61" s="225"/>
      <c r="L61" s="234"/>
      <c r="M61" s="231"/>
      <c r="N61" s="231"/>
      <c r="O61" s="231"/>
      <c r="P61" s="231"/>
      <c r="Q61" s="231"/>
      <c r="R61" s="231"/>
      <c r="S61" s="231"/>
      <c r="T61" s="231"/>
      <c r="U61" s="225"/>
      <c r="W61" s="228"/>
      <c r="X61" s="229"/>
    </row>
    <row r="62" spans="1:24" ht="18" x14ac:dyDescent="0.25">
      <c r="A62" s="223"/>
      <c r="B62" s="320"/>
      <c r="C62" s="305"/>
      <c r="D62" s="337"/>
      <c r="E62" s="318"/>
      <c r="F62" s="318"/>
      <c r="G62" s="319"/>
      <c r="H62" s="231"/>
      <c r="I62" s="225"/>
      <c r="J62" s="225"/>
      <c r="K62" s="225"/>
      <c r="L62" s="234"/>
      <c r="M62" s="231"/>
      <c r="N62" s="231"/>
      <c r="O62" s="231"/>
      <c r="P62" s="231"/>
      <c r="Q62" s="231"/>
      <c r="R62" s="231"/>
      <c r="S62" s="231"/>
      <c r="T62" s="231"/>
      <c r="U62" s="225"/>
      <c r="W62" s="228"/>
      <c r="X62" s="229"/>
    </row>
    <row r="63" spans="1:24" ht="18" x14ac:dyDescent="0.25">
      <c r="A63" s="223"/>
      <c r="B63" s="320"/>
      <c r="C63" s="305"/>
      <c r="D63" s="337"/>
      <c r="E63" s="318"/>
      <c r="F63" s="318"/>
      <c r="G63" s="319"/>
      <c r="H63" s="231"/>
      <c r="I63" s="225"/>
      <c r="J63" s="225"/>
      <c r="K63" s="225"/>
      <c r="L63" s="234"/>
      <c r="M63" s="231"/>
      <c r="N63" s="231"/>
      <c r="O63" s="231"/>
      <c r="P63" s="231"/>
      <c r="Q63" s="231"/>
      <c r="R63" s="231"/>
      <c r="S63" s="231"/>
      <c r="T63" s="231"/>
      <c r="U63" s="225"/>
      <c r="W63" s="228"/>
      <c r="X63" s="229"/>
    </row>
    <row r="64" spans="1:24" ht="18" x14ac:dyDescent="0.25">
      <c r="A64" s="223"/>
      <c r="B64" s="320"/>
      <c r="C64" s="305"/>
      <c r="D64" s="337"/>
      <c r="E64" s="318"/>
      <c r="F64" s="318"/>
      <c r="G64" s="319"/>
      <c r="H64" s="231"/>
      <c r="I64" s="225"/>
      <c r="J64" s="225"/>
      <c r="K64" s="225"/>
      <c r="L64" s="234"/>
      <c r="M64" s="231"/>
      <c r="N64" s="231"/>
      <c r="O64" s="231"/>
      <c r="P64" s="231"/>
      <c r="Q64" s="231"/>
      <c r="R64" s="231"/>
      <c r="S64" s="231"/>
      <c r="T64" s="231"/>
      <c r="U64" s="225"/>
      <c r="W64" s="228"/>
      <c r="X64" s="229"/>
    </row>
    <row r="65" spans="1:25" ht="18" x14ac:dyDescent="0.25">
      <c r="A65" s="223"/>
      <c r="B65" s="320"/>
      <c r="C65" s="305"/>
      <c r="D65" s="337"/>
      <c r="E65" s="318"/>
      <c r="F65" s="318"/>
      <c r="G65" s="319"/>
      <c r="H65" s="231"/>
      <c r="I65" s="225"/>
      <c r="J65" s="225"/>
      <c r="K65" s="225"/>
      <c r="L65" s="234"/>
      <c r="M65" s="231"/>
      <c r="N65" s="231"/>
      <c r="O65" s="231"/>
      <c r="P65" s="231"/>
      <c r="Q65" s="231"/>
      <c r="R65" s="231"/>
      <c r="S65" s="231"/>
      <c r="T65" s="231"/>
      <c r="U65" s="225"/>
      <c r="W65" s="228"/>
      <c r="X65" s="229"/>
    </row>
    <row r="66" spans="1:25" ht="18" x14ac:dyDescent="0.25">
      <c r="A66" s="223"/>
      <c r="B66" s="393"/>
      <c r="C66" s="305"/>
      <c r="D66" s="337"/>
      <c r="E66" s="391"/>
      <c r="F66" s="391"/>
      <c r="G66" s="392"/>
      <c r="H66" s="231"/>
      <c r="I66" s="225"/>
      <c r="J66" s="225"/>
      <c r="K66" s="225"/>
      <c r="L66" s="234"/>
      <c r="M66" s="231"/>
      <c r="N66" s="231"/>
      <c r="O66" s="231"/>
      <c r="P66" s="231"/>
      <c r="Q66" s="231"/>
      <c r="R66" s="231"/>
      <c r="S66" s="231"/>
      <c r="T66" s="231"/>
      <c r="U66" s="225"/>
      <c r="W66" s="228"/>
      <c r="X66" s="229"/>
    </row>
    <row r="67" spans="1:25" ht="18" x14ac:dyDescent="0.25">
      <c r="A67" s="223"/>
      <c r="B67" s="320"/>
      <c r="C67" s="305"/>
      <c r="D67" s="337"/>
      <c r="E67" s="318"/>
      <c r="F67" s="318"/>
      <c r="G67" s="319"/>
      <c r="H67" s="231"/>
      <c r="I67" s="225"/>
      <c r="J67" s="225"/>
      <c r="K67" s="225"/>
      <c r="L67" s="234"/>
      <c r="M67" s="231"/>
      <c r="N67" s="231"/>
      <c r="O67" s="231"/>
      <c r="P67" s="231"/>
      <c r="Q67" s="231"/>
      <c r="R67" s="231"/>
      <c r="S67" s="231"/>
      <c r="T67" s="231"/>
      <c r="U67" s="225"/>
      <c r="W67" s="228"/>
      <c r="X67" s="229"/>
    </row>
    <row r="68" spans="1:25" ht="18" x14ac:dyDescent="0.25">
      <c r="A68" s="223"/>
      <c r="B68" s="320"/>
      <c r="C68" s="305"/>
      <c r="D68" s="337"/>
      <c r="E68" s="318"/>
      <c r="F68" s="318"/>
      <c r="G68" s="319"/>
      <c r="H68" s="231"/>
      <c r="I68" s="225"/>
      <c r="J68" s="225"/>
      <c r="K68" s="225"/>
      <c r="L68" s="234"/>
      <c r="M68" s="231"/>
      <c r="N68" s="231"/>
      <c r="O68" s="231"/>
      <c r="P68" s="231"/>
      <c r="Q68" s="231"/>
      <c r="R68" s="231"/>
      <c r="S68" s="231"/>
      <c r="T68" s="231"/>
      <c r="U68" s="225"/>
      <c r="W68" s="228"/>
      <c r="X68" s="229"/>
    </row>
    <row r="69" spans="1:25" ht="18" x14ac:dyDescent="0.25">
      <c r="A69" s="223"/>
      <c r="B69" s="320"/>
      <c r="C69" s="305"/>
      <c r="D69" s="337"/>
      <c r="E69" s="318"/>
      <c r="F69" s="318"/>
      <c r="G69" s="319"/>
      <c r="H69" s="231"/>
      <c r="I69" s="225"/>
      <c r="J69" s="225"/>
      <c r="K69" s="225"/>
      <c r="L69" s="234"/>
      <c r="M69" s="231"/>
      <c r="N69" s="231"/>
      <c r="O69" s="231"/>
      <c r="P69" s="231"/>
      <c r="Q69" s="231"/>
      <c r="R69" s="231"/>
      <c r="S69" s="231"/>
      <c r="T69" s="231"/>
      <c r="U69" s="225"/>
      <c r="W69" s="228"/>
      <c r="X69" s="229"/>
    </row>
    <row r="70" spans="1:25" ht="18" x14ac:dyDescent="0.25">
      <c r="A70" s="223"/>
      <c r="B70" s="320"/>
      <c r="C70" s="305"/>
      <c r="D70" s="337"/>
      <c r="E70" s="318"/>
      <c r="F70" s="318"/>
      <c r="G70" s="319"/>
      <c r="H70" s="231"/>
      <c r="I70" s="225"/>
      <c r="J70" s="225"/>
      <c r="K70" s="225"/>
      <c r="L70" s="234"/>
      <c r="M70" s="231"/>
      <c r="N70" s="231"/>
      <c r="O70" s="231"/>
      <c r="P70" s="231"/>
      <c r="Q70" s="231"/>
      <c r="R70" s="231"/>
      <c r="S70" s="231"/>
      <c r="T70" s="231"/>
      <c r="U70" s="225"/>
      <c r="W70" s="228"/>
      <c r="X70" s="229"/>
    </row>
    <row r="71" spans="1:25" ht="18" x14ac:dyDescent="0.25">
      <c r="A71" s="223" t="e">
        <f>+#REF!+1</f>
        <v>#REF!</v>
      </c>
      <c r="B71" s="230"/>
      <c r="C71" s="305"/>
      <c r="D71" s="337"/>
      <c r="E71" s="212"/>
      <c r="F71" s="212"/>
      <c r="G71" s="213"/>
      <c r="H71" s="231"/>
      <c r="I71" s="225"/>
      <c r="J71" s="225"/>
      <c r="K71" s="225"/>
      <c r="L71" s="235"/>
      <c r="M71" s="231"/>
      <c r="N71" s="231"/>
      <c r="O71" s="231"/>
      <c r="P71" s="231"/>
      <c r="Q71" s="231"/>
      <c r="R71" s="231"/>
      <c r="S71" s="231"/>
      <c r="T71" s="231"/>
      <c r="U71" s="225"/>
      <c r="W71" s="228"/>
      <c r="X71" s="229"/>
    </row>
    <row r="72" spans="1:25" ht="16.5" x14ac:dyDescent="0.3">
      <c r="A72" s="223" t="e">
        <f t="shared" si="0"/>
        <v>#REF!</v>
      </c>
      <c r="B72" s="14"/>
      <c r="C72" s="309"/>
      <c r="D72" s="417" t="s">
        <v>168</v>
      </c>
      <c r="E72" s="418"/>
      <c r="F72" s="418"/>
      <c r="G72" s="419"/>
      <c r="H72" s="236">
        <f>SUBTOTAL(9,H46:H71)</f>
        <v>438316328733</v>
      </c>
      <c r="I72" s="56"/>
      <c r="J72" s="224"/>
      <c r="K72" s="237"/>
      <c r="L72" s="317">
        <f>+M72/H72</f>
        <v>0.86521375561167391</v>
      </c>
      <c r="M72" s="236">
        <f>SUBTOTAL(9,M46:M71)</f>
        <v>379237316929</v>
      </c>
      <c r="N72" s="239"/>
      <c r="O72" s="239"/>
      <c r="P72" s="239"/>
      <c r="Q72" s="239"/>
      <c r="R72" s="236">
        <f>SUBTOTAL(9,R46:R71)</f>
        <v>362576442207</v>
      </c>
      <c r="S72" s="236">
        <f>SUBTOTAL(9,S46:S71)</f>
        <v>16660874722</v>
      </c>
      <c r="T72" s="236">
        <f>SUBTOTAL(9,T46:T71)</f>
        <v>59079011804.000015</v>
      </c>
      <c r="U72" s="240"/>
      <c r="W72" s="236">
        <f>SUBTOTAL(9,W53:W55)</f>
        <v>28578000000</v>
      </c>
      <c r="X72" s="229">
        <v>0</v>
      </c>
      <c r="Y72" s="93">
        <v>0</v>
      </c>
    </row>
    <row r="73" spans="1:25" ht="6.75" customHeight="1" x14ac:dyDescent="0.3">
      <c r="A73" s="223"/>
      <c r="B73" s="76"/>
      <c r="C73" s="307"/>
      <c r="D73" s="420"/>
      <c r="E73" s="421"/>
      <c r="F73" s="421"/>
      <c r="G73" s="422"/>
      <c r="H73" s="241"/>
      <c r="I73" s="61"/>
      <c r="J73" s="242"/>
      <c r="K73" s="243"/>
      <c r="L73" s="244"/>
      <c r="M73" s="245"/>
      <c r="N73" s="154"/>
      <c r="O73" s="154"/>
      <c r="P73" s="154"/>
      <c r="Q73" s="154"/>
      <c r="R73" s="245"/>
      <c r="S73" s="245"/>
      <c r="T73" s="245"/>
      <c r="U73" s="246"/>
      <c r="W73" s="228"/>
      <c r="X73" s="229"/>
    </row>
    <row r="74" spans="1:25" ht="15.75" x14ac:dyDescent="0.25">
      <c r="A74" s="223"/>
      <c r="B74" s="225"/>
      <c r="C74" s="321"/>
      <c r="D74" s="336"/>
      <c r="E74" s="247"/>
      <c r="F74" s="247"/>
      <c r="G74" s="248"/>
      <c r="H74" s="225"/>
      <c r="I74" s="225"/>
      <c r="J74" s="225"/>
      <c r="K74" s="225"/>
      <c r="L74" s="226"/>
      <c r="M74" s="227"/>
      <c r="N74" s="225"/>
      <c r="O74" s="225"/>
      <c r="P74" s="225"/>
      <c r="Q74" s="225"/>
      <c r="R74" s="225"/>
      <c r="S74" s="225"/>
      <c r="T74" s="225"/>
      <c r="U74" s="225"/>
      <c r="W74" s="228"/>
      <c r="X74" s="229"/>
    </row>
    <row r="75" spans="1:25" ht="13.5" customHeight="1" x14ac:dyDescent="0.3">
      <c r="A75" s="223">
        <v>1</v>
      </c>
      <c r="B75" s="426">
        <f>+B42+1</f>
        <v>4</v>
      </c>
      <c r="C75" s="305"/>
      <c r="D75" s="423" t="s">
        <v>129</v>
      </c>
      <c r="E75" s="424"/>
      <c r="F75" s="424"/>
      <c r="G75" s="425"/>
      <c r="H75" s="249"/>
      <c r="I75" s="249"/>
      <c r="J75" s="249"/>
      <c r="K75" s="250"/>
      <c r="L75" s="251"/>
      <c r="M75" s="252"/>
      <c r="N75" s="250"/>
      <c r="O75" s="249"/>
      <c r="P75" s="249"/>
      <c r="Q75" s="249"/>
      <c r="R75" s="253"/>
      <c r="S75" s="249"/>
      <c r="T75" s="249"/>
      <c r="U75" s="254"/>
    </row>
    <row r="76" spans="1:25" ht="13.5" customHeight="1" x14ac:dyDescent="0.3">
      <c r="A76" s="223">
        <f t="shared" si="0"/>
        <v>2</v>
      </c>
      <c r="B76" s="426"/>
      <c r="C76" s="305"/>
      <c r="D76" s="423"/>
      <c r="E76" s="424"/>
      <c r="F76" s="424"/>
      <c r="G76" s="425"/>
      <c r="H76" s="249"/>
      <c r="I76" s="249"/>
      <c r="J76" s="249"/>
      <c r="K76" s="250"/>
      <c r="L76" s="251"/>
      <c r="M76" s="252"/>
      <c r="N76" s="250"/>
      <c r="O76" s="249"/>
      <c r="P76" s="249"/>
      <c r="Q76" s="249"/>
      <c r="R76" s="253"/>
      <c r="S76" s="249"/>
      <c r="T76" s="249"/>
      <c r="U76" s="254"/>
    </row>
    <row r="77" spans="1:25" ht="16.5" hidden="1" customHeight="1" x14ac:dyDescent="0.25">
      <c r="A77" s="223">
        <f t="shared" si="0"/>
        <v>3</v>
      </c>
      <c r="B77" s="230"/>
      <c r="C77" s="305" t="s">
        <v>163</v>
      </c>
      <c r="D77" s="430" t="s">
        <v>164</v>
      </c>
      <c r="E77" s="431"/>
      <c r="F77" s="431"/>
      <c r="G77" s="432"/>
      <c r="H77" s="255">
        <f>+[24]Sheet1!$G$25</f>
        <v>1565560000</v>
      </c>
      <c r="I77" s="249"/>
      <c r="J77" s="249"/>
      <c r="K77" s="250"/>
      <c r="L77" s="259">
        <f>+[24]Sheet1!$K$25</f>
        <v>1</v>
      </c>
      <c r="M77" s="88">
        <f>+[24]Sheet1!L25</f>
        <v>1565560000</v>
      </c>
      <c r="N77" s="256" t="e">
        <f>+[24]Sheet1!$K$26</f>
        <v>#REF!</v>
      </c>
      <c r="O77" s="256" t="e">
        <f>+[24]Sheet1!$K$26</f>
        <v>#REF!</v>
      </c>
      <c r="P77" s="256" t="e">
        <f>+[24]Sheet1!$K$26</f>
        <v>#REF!</v>
      </c>
      <c r="Q77" s="256" t="e">
        <f>+[24]Sheet1!$K$26</f>
        <v>#REF!</v>
      </c>
      <c r="R77" s="88">
        <f>+[25]Sheet1!$Q$25</f>
        <v>1565560000</v>
      </c>
      <c r="S77" s="88">
        <f>+[25]Sheet1!$R$25</f>
        <v>0</v>
      </c>
      <c r="T77" s="88" t="s">
        <v>99</v>
      </c>
      <c r="U77" s="254"/>
      <c r="W77" s="93">
        <v>1487400000</v>
      </c>
      <c r="X77" s="93">
        <v>297480000</v>
      </c>
      <c r="Y77" s="93">
        <v>0</v>
      </c>
    </row>
    <row r="78" spans="1:25" ht="16.5" hidden="1" customHeight="1" x14ac:dyDescent="0.25">
      <c r="A78" s="223">
        <f t="shared" si="0"/>
        <v>4</v>
      </c>
      <c r="B78" s="230"/>
      <c r="C78" s="305"/>
      <c r="D78" s="338"/>
      <c r="E78" s="361"/>
      <c r="F78" s="361"/>
      <c r="G78" s="362"/>
      <c r="H78" s="255"/>
      <c r="I78" s="249"/>
      <c r="J78" s="249"/>
      <c r="K78" s="250"/>
      <c r="L78" s="256"/>
      <c r="M78" s="255"/>
      <c r="N78" s="250"/>
      <c r="O78" s="250"/>
      <c r="P78" s="250"/>
      <c r="Q78" s="250"/>
      <c r="R78" s="252"/>
      <c r="S78" s="255"/>
      <c r="T78" s="255"/>
      <c r="U78" s="254"/>
    </row>
    <row r="79" spans="1:25" ht="16.5" hidden="1" customHeight="1" x14ac:dyDescent="0.25">
      <c r="A79" s="223">
        <f t="shared" si="0"/>
        <v>5</v>
      </c>
      <c r="B79" s="230"/>
      <c r="C79" s="305" t="s">
        <v>156</v>
      </c>
      <c r="D79" s="339" t="s">
        <v>154</v>
      </c>
      <c r="E79" s="353"/>
      <c r="F79" s="353"/>
      <c r="G79" s="354"/>
      <c r="H79" s="255">
        <v>779900000</v>
      </c>
      <c r="I79" s="249"/>
      <c r="J79" s="249"/>
      <c r="K79" s="250"/>
      <c r="L79" s="256" t="s">
        <v>170</v>
      </c>
      <c r="M79" s="257">
        <v>779900000</v>
      </c>
      <c r="N79" s="250"/>
      <c r="O79" s="249"/>
      <c r="P79" s="249"/>
      <c r="Q79" s="249"/>
      <c r="R79" s="88">
        <v>779900000</v>
      </c>
      <c r="S79" s="88">
        <v>0</v>
      </c>
      <c r="T79" s="88">
        <v>0</v>
      </c>
      <c r="U79" s="254" t="s">
        <v>99</v>
      </c>
      <c r="W79" s="93">
        <v>726000000</v>
      </c>
      <c r="X79" s="93">
        <v>627990000</v>
      </c>
      <c r="Y79" s="93">
        <v>0</v>
      </c>
    </row>
    <row r="80" spans="1:25" ht="16.5" hidden="1" customHeight="1" x14ac:dyDescent="0.25">
      <c r="A80" s="223">
        <f t="shared" si="0"/>
        <v>6</v>
      </c>
      <c r="B80" s="230"/>
      <c r="C80" s="305"/>
      <c r="D80" s="339"/>
      <c r="E80" s="353"/>
      <c r="F80" s="353"/>
      <c r="G80" s="354"/>
      <c r="H80" s="255"/>
      <c r="I80" s="249"/>
      <c r="J80" s="249"/>
      <c r="K80" s="250"/>
      <c r="L80" s="258"/>
      <c r="M80" s="88"/>
      <c r="N80" s="250"/>
      <c r="O80" s="249"/>
      <c r="P80" s="249"/>
      <c r="Q80" s="249"/>
      <c r="R80" s="88"/>
      <c r="S80" s="88"/>
      <c r="T80" s="88"/>
      <c r="U80" s="254"/>
    </row>
    <row r="81" spans="1:25" ht="16.5" customHeight="1" x14ac:dyDescent="0.25">
      <c r="A81" s="223">
        <f t="shared" si="0"/>
        <v>7</v>
      </c>
      <c r="B81" s="230"/>
      <c r="C81" s="360" t="s">
        <v>158</v>
      </c>
      <c r="D81" s="339" t="s">
        <v>159</v>
      </c>
      <c r="E81" s="353"/>
      <c r="F81" s="353"/>
      <c r="G81" s="354"/>
      <c r="H81" s="255">
        <f>+[26]Sheet1!$G$27</f>
        <v>6054345000</v>
      </c>
      <c r="I81" s="249"/>
      <c r="J81" s="249"/>
      <c r="K81" s="250"/>
      <c r="L81" s="251">
        <f>+[26]Sheet1!$K$27</f>
        <v>0.33329999999999999</v>
      </c>
      <c r="M81" s="88">
        <f>+[26]Sheet1!$L$27</f>
        <v>3438829900</v>
      </c>
      <c r="N81" s="250"/>
      <c r="O81" s="249"/>
      <c r="P81" s="249"/>
      <c r="Q81" s="249"/>
      <c r="R81" s="88">
        <f>+[26]Sheet1!$Q$27</f>
        <v>3438829900</v>
      </c>
      <c r="S81" s="88">
        <f>+[26]Sheet1!$R$27</f>
        <v>0</v>
      </c>
      <c r="T81" s="88">
        <f>+H81-M81</f>
        <v>2615515100</v>
      </c>
      <c r="U81" s="254"/>
      <c r="W81" s="93">
        <v>11412500000</v>
      </c>
      <c r="X81" s="93">
        <v>2282500000</v>
      </c>
      <c r="Y81" s="93">
        <v>0</v>
      </c>
    </row>
    <row r="82" spans="1:25" ht="16.5" customHeight="1" x14ac:dyDescent="0.25">
      <c r="A82" s="223">
        <f t="shared" si="0"/>
        <v>8</v>
      </c>
      <c r="B82" s="230"/>
      <c r="C82" s="305"/>
      <c r="D82" s="339"/>
      <c r="E82" s="353"/>
      <c r="F82" s="353"/>
      <c r="G82" s="354"/>
      <c r="H82" s="255"/>
      <c r="I82" s="249"/>
      <c r="J82" s="249"/>
      <c r="K82" s="250"/>
      <c r="L82" s="258"/>
      <c r="M82" s="88"/>
      <c r="N82" s="250"/>
      <c r="O82" s="249"/>
      <c r="P82" s="249"/>
      <c r="Q82" s="249"/>
      <c r="R82" s="88"/>
      <c r="S82" s="88"/>
      <c r="T82" s="88"/>
      <c r="U82" s="254"/>
    </row>
    <row r="83" spans="1:25" ht="16.5" customHeight="1" x14ac:dyDescent="0.25">
      <c r="A83" s="223">
        <f t="shared" si="0"/>
        <v>9</v>
      </c>
      <c r="B83" s="230"/>
      <c r="C83" s="360" t="s">
        <v>169</v>
      </c>
      <c r="D83" s="339" t="s">
        <v>186</v>
      </c>
      <c r="E83" s="353"/>
      <c r="F83" s="353"/>
      <c r="G83" s="354"/>
      <c r="H83" s="255">
        <f>+[27]Sheet1!$G$34</f>
        <v>1079460000</v>
      </c>
      <c r="I83" s="249"/>
      <c r="J83" s="249"/>
      <c r="K83" s="250"/>
      <c r="L83" s="251">
        <f>+[27]Sheet1!$K$34</f>
        <v>0.93730527578604117</v>
      </c>
      <c r="M83" s="257">
        <f>+[27]Sheet1!$L$34</f>
        <v>1011783553</v>
      </c>
      <c r="N83" s="255">
        <f>+[28]Sheet1!$G$27</f>
        <v>942900000</v>
      </c>
      <c r="O83" s="255">
        <f>+[28]Sheet1!$G$27</f>
        <v>942900000</v>
      </c>
      <c r="P83" s="255">
        <f>+[28]Sheet1!$G$27</f>
        <v>942900000</v>
      </c>
      <c r="Q83" s="255">
        <f>+[28]Sheet1!$G$27</f>
        <v>942900000</v>
      </c>
      <c r="R83" s="257">
        <f>+[27]Sheet1!$Q$34</f>
        <v>1011783553</v>
      </c>
      <c r="S83" s="88">
        <f>+[27]Sheet1!$R$34</f>
        <v>0</v>
      </c>
      <c r="T83" s="88">
        <f>+[27]Sheet1!$S$34</f>
        <v>67676447</v>
      </c>
      <c r="U83" s="254"/>
      <c r="W83" s="255">
        <f>+[28]Sheet1!$G$27</f>
        <v>942900000</v>
      </c>
    </row>
    <row r="84" spans="1:25" ht="16.5" customHeight="1" x14ac:dyDescent="0.25">
      <c r="A84" s="223">
        <f t="shared" si="0"/>
        <v>10</v>
      </c>
      <c r="B84" s="230"/>
      <c r="C84" s="360"/>
      <c r="D84" s="339"/>
      <c r="E84" s="353"/>
      <c r="F84" s="353"/>
      <c r="G84" s="354"/>
      <c r="H84" s="255"/>
      <c r="I84" s="249"/>
      <c r="J84" s="249"/>
      <c r="K84" s="250"/>
      <c r="L84" s="258"/>
      <c r="M84" s="88"/>
      <c r="N84" s="250"/>
      <c r="O84" s="249"/>
      <c r="P84" s="249"/>
      <c r="Q84" s="249"/>
      <c r="R84" s="88"/>
      <c r="S84" s="88"/>
      <c r="T84" s="88"/>
      <c r="U84" s="254"/>
    </row>
    <row r="85" spans="1:25" ht="16.5" hidden="1" customHeight="1" x14ac:dyDescent="0.25">
      <c r="A85" s="223">
        <f t="shared" si="0"/>
        <v>11</v>
      </c>
      <c r="B85" s="230"/>
      <c r="C85" s="360" t="s">
        <v>153</v>
      </c>
      <c r="D85" s="339" t="s">
        <v>157</v>
      </c>
      <c r="E85" s="353"/>
      <c r="F85" s="353"/>
      <c r="G85" s="354"/>
      <c r="H85" s="255">
        <f>+[29]Sheet1!$G$22</f>
        <v>1185665300.0019999</v>
      </c>
      <c r="I85" s="249"/>
      <c r="J85" s="249"/>
      <c r="K85" s="250"/>
      <c r="L85" s="260">
        <f>+[29]Sheet1!$K$22</f>
        <v>1</v>
      </c>
      <c r="M85" s="88">
        <f>+[29]Sheet1!$L$22</f>
        <v>1185665300</v>
      </c>
      <c r="N85" s="250"/>
      <c r="O85" s="249"/>
      <c r="P85" s="249"/>
      <c r="Q85" s="249"/>
      <c r="R85" s="88">
        <f>+[30]Sheet1!Q22</f>
        <v>1185665300</v>
      </c>
      <c r="S85" s="88">
        <f>+[30]Sheet1!R22</f>
        <v>0</v>
      </c>
      <c r="T85" s="88">
        <f>+[29]Sheet1!$S$22</f>
        <v>0</v>
      </c>
      <c r="U85" s="254" t="s">
        <v>99</v>
      </c>
      <c r="W85" s="93">
        <v>1390000000</v>
      </c>
    </row>
    <row r="86" spans="1:25" ht="16.5" hidden="1" customHeight="1" x14ac:dyDescent="0.3">
      <c r="A86" s="223">
        <f t="shared" si="0"/>
        <v>12</v>
      </c>
      <c r="B86" s="230"/>
      <c r="C86" s="360"/>
      <c r="D86" s="335"/>
      <c r="E86" s="353"/>
      <c r="F86" s="353"/>
      <c r="G86" s="354"/>
      <c r="H86" s="249"/>
      <c r="I86" s="249"/>
      <c r="J86" s="249"/>
      <c r="K86" s="250"/>
      <c r="L86" s="251"/>
      <c r="M86" s="252"/>
      <c r="N86" s="250"/>
      <c r="O86" s="249"/>
      <c r="P86" s="249"/>
      <c r="Q86" s="249"/>
      <c r="R86" s="253"/>
      <c r="S86" s="249"/>
      <c r="T86" s="249"/>
      <c r="U86" s="254"/>
    </row>
    <row r="87" spans="1:25" ht="16.5" customHeight="1" x14ac:dyDescent="0.25">
      <c r="A87" s="223">
        <f t="shared" si="0"/>
        <v>13</v>
      </c>
      <c r="B87" s="230"/>
      <c r="C87" s="360" t="s">
        <v>145</v>
      </c>
      <c r="D87" s="340" t="s">
        <v>146</v>
      </c>
      <c r="E87" s="353"/>
      <c r="F87" s="353"/>
      <c r="G87" s="354"/>
      <c r="H87" s="88">
        <f>+[31]Sheet1!$G$27</f>
        <v>15031964000</v>
      </c>
      <c r="I87" s="249"/>
      <c r="J87" s="249"/>
      <c r="K87" s="250"/>
      <c r="L87" s="259">
        <f>+[31]Sheet1!$K$27</f>
        <v>1</v>
      </c>
      <c r="M87" s="261">
        <f>+[31]Sheet1!$L$27</f>
        <v>14283500800</v>
      </c>
      <c r="N87" s="250"/>
      <c r="O87" s="249"/>
      <c r="P87" s="249"/>
      <c r="Q87" s="249"/>
      <c r="R87" s="88">
        <f>+[31]Sheet1!$Q$27</f>
        <v>14283500800</v>
      </c>
      <c r="S87" s="88">
        <f>+[31]Sheet1!$R$27</f>
        <v>0</v>
      </c>
      <c r="T87" s="88">
        <f>+[31]Sheet1!$S$27</f>
        <v>748463200</v>
      </c>
      <c r="U87" s="254"/>
      <c r="W87" s="93">
        <v>13900000000</v>
      </c>
      <c r="X87" s="93">
        <v>4256613680</v>
      </c>
      <c r="Y87" s="93">
        <v>2085000000</v>
      </c>
    </row>
    <row r="88" spans="1:25" ht="16.5" customHeight="1" x14ac:dyDescent="0.25">
      <c r="A88" s="223"/>
      <c r="B88" s="304"/>
      <c r="C88" s="360"/>
      <c r="D88" s="340" t="s">
        <v>208</v>
      </c>
      <c r="E88" s="353"/>
      <c r="F88" s="353"/>
      <c r="G88" s="354"/>
      <c r="H88" s="88">
        <f>+[32]Sheet1!$G$27</f>
        <v>1974126000.0000002</v>
      </c>
      <c r="I88" s="249"/>
      <c r="J88" s="249"/>
      <c r="K88" s="250"/>
      <c r="L88" s="259">
        <f>+[32]Sheet1!K27</f>
        <v>1</v>
      </c>
      <c r="M88" s="88">
        <f>+[32]Sheet1!L27</f>
        <v>1875419700</v>
      </c>
      <c r="N88" s="88">
        <f>+[32]Sheet1!M27</f>
        <v>0</v>
      </c>
      <c r="O88" s="88">
        <f>+[32]Sheet1!N27</f>
        <v>0</v>
      </c>
      <c r="P88" s="88">
        <f>+[32]Sheet1!O27</f>
        <v>0</v>
      </c>
      <c r="Q88" s="88">
        <f>+[32]Sheet1!P27</f>
        <v>0</v>
      </c>
      <c r="R88" s="32">
        <f>+[32]Sheet1!Q27</f>
        <v>1875419700</v>
      </c>
      <c r="S88" s="32">
        <f>+[32]Sheet1!R27</f>
        <v>0</v>
      </c>
      <c r="T88" s="88">
        <f>+[32]Sheet1!S27</f>
        <v>98706300.000000238</v>
      </c>
      <c r="U88" s="254"/>
    </row>
    <row r="89" spans="1:25" ht="16.5" customHeight="1" x14ac:dyDescent="0.25">
      <c r="A89" s="223"/>
      <c r="B89" s="355"/>
      <c r="C89" s="360"/>
      <c r="D89" s="340" t="s">
        <v>219</v>
      </c>
      <c r="E89" s="353"/>
      <c r="F89" s="353"/>
      <c r="G89" s="354"/>
      <c r="H89" s="88">
        <f>+[33]Sheet1!$G$27</f>
        <v>2981799711.0000005</v>
      </c>
      <c r="I89" s="249"/>
      <c r="J89" s="249"/>
      <c r="K89" s="250"/>
      <c r="L89" s="259">
        <f>+[33]Sheet1!$K$27</f>
        <v>1</v>
      </c>
      <c r="M89" s="257">
        <f>+[33]Sheet1!$L$27</f>
        <v>2832709724.9000001</v>
      </c>
      <c r="N89" s="259">
        <f>+[33]Sheet1!$K$27</f>
        <v>1</v>
      </c>
      <c r="O89" s="259">
        <f>+[33]Sheet1!$K$27</f>
        <v>1</v>
      </c>
      <c r="P89" s="259">
        <f>+[33]Sheet1!$K$27</f>
        <v>1</v>
      </c>
      <c r="Q89" s="259">
        <f>+[33]Sheet1!$K$27</f>
        <v>1</v>
      </c>
      <c r="R89" s="257">
        <f>+[33]Sheet1!$Q$27</f>
        <v>2740381644</v>
      </c>
      <c r="S89" s="257">
        <f>+[33]Sheet1!$R$27</f>
        <v>92328080.900000006</v>
      </c>
      <c r="T89" s="257">
        <f>+[33]Sheet1!$S$27</f>
        <v>149089986.10000038</v>
      </c>
      <c r="U89" s="254"/>
    </row>
    <row r="90" spans="1:25" ht="16.5" customHeight="1" x14ac:dyDescent="0.3">
      <c r="A90" s="223">
        <f>+A87+1</f>
        <v>14</v>
      </c>
      <c r="B90" s="230"/>
      <c r="C90" s="360"/>
      <c r="D90" s="335"/>
      <c r="E90" s="353"/>
      <c r="F90" s="353"/>
      <c r="G90" s="354"/>
      <c r="H90" s="249"/>
      <c r="I90" s="249"/>
      <c r="J90" s="249"/>
      <c r="K90" s="250"/>
      <c r="L90" s="251"/>
      <c r="M90" s="252"/>
      <c r="N90" s="250"/>
      <c r="O90" s="249"/>
      <c r="P90" s="249"/>
      <c r="Q90" s="249"/>
      <c r="R90" s="253"/>
      <c r="S90" s="249"/>
      <c r="T90" s="249"/>
      <c r="U90" s="254"/>
    </row>
    <row r="91" spans="1:25" ht="16.5" hidden="1" customHeight="1" x14ac:dyDescent="0.3">
      <c r="A91" s="223">
        <f t="shared" si="0"/>
        <v>15</v>
      </c>
      <c r="B91" s="230"/>
      <c r="C91" s="360" t="s">
        <v>143</v>
      </c>
      <c r="D91" s="340" t="s">
        <v>144</v>
      </c>
      <c r="E91" s="353"/>
      <c r="F91" s="353"/>
      <c r="G91" s="354"/>
      <c r="H91" s="255">
        <f>+[34]Sheet1!$G$33</f>
        <v>8707376659</v>
      </c>
      <c r="I91" s="249"/>
      <c r="J91" s="249"/>
      <c r="K91" s="250"/>
      <c r="L91" s="259">
        <f>+[34]Sheet1!$K$33</f>
        <v>1</v>
      </c>
      <c r="M91" s="88">
        <f>+[34]Sheet1!$L$33</f>
        <v>8707376659</v>
      </c>
      <c r="N91" s="250"/>
      <c r="O91" s="249"/>
      <c r="P91" s="249"/>
      <c r="Q91" s="249"/>
      <c r="R91" s="253">
        <f>+[34]Sheet1!$Q$33</f>
        <v>8707376659</v>
      </c>
      <c r="S91" s="255">
        <f>+[34]Sheet1!$R$33</f>
        <v>0</v>
      </c>
      <c r="T91" s="255">
        <f>+[34]Sheet1!$S$33</f>
        <v>0</v>
      </c>
      <c r="U91" s="254" t="s">
        <v>99</v>
      </c>
      <c r="W91" s="255">
        <f>+[34]Sheet1!$G$31</f>
        <v>0</v>
      </c>
      <c r="X91" s="93">
        <v>5391116397</v>
      </c>
      <c r="Y91" s="93">
        <v>2810946600</v>
      </c>
    </row>
    <row r="92" spans="1:25" ht="16.5" hidden="1" customHeight="1" x14ac:dyDescent="0.3">
      <c r="A92" s="223">
        <f t="shared" si="0"/>
        <v>16</v>
      </c>
      <c r="B92" s="230"/>
      <c r="C92" s="360"/>
      <c r="D92" s="335"/>
      <c r="E92" s="353"/>
      <c r="F92" s="353"/>
      <c r="G92" s="354"/>
      <c r="H92" s="249"/>
      <c r="I92" s="249"/>
      <c r="J92" s="249"/>
      <c r="K92" s="250"/>
      <c r="L92" s="251"/>
      <c r="M92" s="252"/>
      <c r="N92" s="250"/>
      <c r="O92" s="249"/>
      <c r="P92" s="249"/>
      <c r="Q92" s="249"/>
      <c r="R92" s="253"/>
      <c r="S92" s="249"/>
      <c r="T92" s="249"/>
      <c r="U92" s="254"/>
    </row>
    <row r="93" spans="1:25" ht="16.5" hidden="1" customHeight="1" x14ac:dyDescent="0.25">
      <c r="A93" s="223">
        <f t="shared" si="0"/>
        <v>17</v>
      </c>
      <c r="B93" s="230"/>
      <c r="C93" s="360" t="s">
        <v>140</v>
      </c>
      <c r="D93" s="340" t="s">
        <v>141</v>
      </c>
      <c r="E93" s="353"/>
      <c r="F93" s="353"/>
      <c r="G93" s="354"/>
      <c r="H93" s="255">
        <f>+[35]Sheet1!G29</f>
        <v>10704471949</v>
      </c>
      <c r="I93" s="249"/>
      <c r="J93" s="249"/>
      <c r="K93" s="250"/>
      <c r="L93" s="315" t="str">
        <f>+[35]Sheet1!K29</f>
        <v>BAST-2-5%</v>
      </c>
      <c r="M93" s="255">
        <f>+[35]Sheet1!L29</f>
        <v>10704471949</v>
      </c>
      <c r="N93" s="255">
        <f>+[35]Sheet1!M27</f>
        <v>0</v>
      </c>
      <c r="O93" s="255">
        <f>+[35]Sheet1!N27</f>
        <v>0</v>
      </c>
      <c r="P93" s="255">
        <f>+[35]Sheet1!O27</f>
        <v>0</v>
      </c>
      <c r="Q93" s="255">
        <f>+[35]Sheet1!P27</f>
        <v>0</v>
      </c>
      <c r="R93" s="255">
        <f>+[35]Sheet1!Q29</f>
        <v>10704471949</v>
      </c>
      <c r="S93" s="255">
        <f>+[35]Sheet1!R29</f>
        <v>0</v>
      </c>
      <c r="T93" s="255">
        <f>+[35]Sheet1!S29</f>
        <v>0</v>
      </c>
      <c r="U93" s="254" t="s">
        <v>99</v>
      </c>
      <c r="W93" s="93">
        <v>9928000000</v>
      </c>
      <c r="X93" s="93">
        <v>1985600000</v>
      </c>
      <c r="Y93" s="93">
        <v>0</v>
      </c>
    </row>
    <row r="94" spans="1:25" ht="16.5" hidden="1" customHeight="1" x14ac:dyDescent="0.3">
      <c r="A94" s="223">
        <f t="shared" si="0"/>
        <v>18</v>
      </c>
      <c r="B94" s="230"/>
      <c r="C94" s="360"/>
      <c r="D94" s="335"/>
      <c r="E94" s="353"/>
      <c r="F94" s="353"/>
      <c r="G94" s="354"/>
      <c r="H94" s="249"/>
      <c r="I94" s="249"/>
      <c r="J94" s="249"/>
      <c r="K94" s="250"/>
      <c r="L94" s="251"/>
      <c r="M94" s="252"/>
      <c r="N94" s="250"/>
      <c r="O94" s="249"/>
      <c r="P94" s="249"/>
      <c r="Q94" s="249"/>
      <c r="R94" s="253"/>
      <c r="S94" s="249"/>
      <c r="T94" s="249"/>
      <c r="U94" s="254"/>
    </row>
    <row r="95" spans="1:25" ht="16.5" hidden="1" customHeight="1" x14ac:dyDescent="0.25">
      <c r="A95" s="223">
        <f t="shared" si="0"/>
        <v>19</v>
      </c>
      <c r="B95" s="230"/>
      <c r="C95" s="360" t="s">
        <v>136</v>
      </c>
      <c r="D95" s="340" t="s">
        <v>137</v>
      </c>
      <c r="E95" s="353"/>
      <c r="F95" s="353"/>
      <c r="G95" s="354"/>
      <c r="H95" s="255">
        <f>+[36]Sheet1!G26</f>
        <v>2984095000</v>
      </c>
      <c r="I95" s="249"/>
      <c r="J95" s="249"/>
      <c r="K95" s="250"/>
      <c r="L95" s="259">
        <f>+[36]Sheet1!K26</f>
        <v>0.97249300000000005</v>
      </c>
      <c r="M95" s="255">
        <f>+[36]Sheet1!L26</f>
        <v>3044243000</v>
      </c>
      <c r="N95" s="255">
        <f>+[36]Sheet1!M26</f>
        <v>0</v>
      </c>
      <c r="O95" s="255">
        <f>+[36]Sheet1!N26</f>
        <v>0</v>
      </c>
      <c r="P95" s="255">
        <f>+[36]Sheet1!O26</f>
        <v>0</v>
      </c>
      <c r="Q95" s="255">
        <f>+[36]Sheet1!P26</f>
        <v>0</v>
      </c>
      <c r="R95" s="255">
        <f>+[36]Sheet1!Q26</f>
        <v>3044243000</v>
      </c>
      <c r="S95" s="255">
        <f>+[36]Sheet1!R26</f>
        <v>0</v>
      </c>
      <c r="T95" s="255">
        <f>+[36]Sheet1!S26</f>
        <v>-60148000</v>
      </c>
      <c r="U95" s="254" t="s">
        <v>99</v>
      </c>
      <c r="W95" s="93">
        <v>3275600000</v>
      </c>
      <c r="X95" s="93">
        <v>1757521300</v>
      </c>
      <c r="Y95" s="93">
        <v>1124076400</v>
      </c>
    </row>
    <row r="96" spans="1:25" ht="16.5" hidden="1" customHeight="1" x14ac:dyDescent="0.3">
      <c r="A96" s="223">
        <f t="shared" si="0"/>
        <v>20</v>
      </c>
      <c r="B96" s="230"/>
      <c r="C96" s="360"/>
      <c r="D96" s="335"/>
      <c r="E96" s="353"/>
      <c r="F96" s="353"/>
      <c r="G96" s="354"/>
      <c r="H96" s="249"/>
      <c r="I96" s="249"/>
      <c r="J96" s="249"/>
      <c r="K96" s="250"/>
      <c r="L96" s="251"/>
      <c r="M96" s="252"/>
      <c r="N96" s="250"/>
      <c r="O96" s="249"/>
      <c r="P96" s="249"/>
      <c r="Q96" s="249"/>
      <c r="R96" s="253"/>
      <c r="S96" s="249"/>
      <c r="T96" s="249"/>
      <c r="U96" s="254"/>
    </row>
    <row r="97" spans="1:25" ht="15.75" customHeight="1" x14ac:dyDescent="0.25">
      <c r="A97" s="223">
        <f t="shared" si="0"/>
        <v>21</v>
      </c>
      <c r="B97" s="249"/>
      <c r="C97" s="360" t="s">
        <v>107</v>
      </c>
      <c r="D97" s="430" t="s">
        <v>108</v>
      </c>
      <c r="E97" s="431"/>
      <c r="F97" s="431"/>
      <c r="G97" s="432"/>
      <c r="H97" s="255">
        <f>+[37]Sheet1!G28</f>
        <v>50303010153.099998</v>
      </c>
      <c r="I97" s="249"/>
      <c r="J97" s="249"/>
      <c r="K97" s="250"/>
      <c r="L97" s="259">
        <f>+[37]Sheet1!L28</f>
        <v>1</v>
      </c>
      <c r="M97" s="255">
        <f>+[37]Sheet1!M28</f>
        <v>47787859646</v>
      </c>
      <c r="N97" s="250">
        <f>+[37]Sheet1!$L$27</f>
        <v>0</v>
      </c>
      <c r="O97" s="250">
        <f>+[37]Sheet1!$L$27</f>
        <v>0</v>
      </c>
      <c r="P97" s="250">
        <f>+[37]Sheet1!$L$27</f>
        <v>0</v>
      </c>
      <c r="Q97" s="250">
        <f>+[37]Sheet1!$L$27</f>
        <v>0</v>
      </c>
      <c r="R97" s="255">
        <f>+[37]Sheet1!R28</f>
        <v>47787859646</v>
      </c>
      <c r="S97" s="255">
        <f>+[37]Sheet1!$S$28</f>
        <v>0</v>
      </c>
      <c r="T97" s="403" t="s">
        <v>135</v>
      </c>
      <c r="U97" s="254"/>
      <c r="W97" s="93">
        <v>46100000000</v>
      </c>
      <c r="X97" s="93">
        <v>22455275425</v>
      </c>
      <c r="Y97" s="93">
        <v>14872839625</v>
      </c>
    </row>
    <row r="98" spans="1:25" ht="15.75" customHeight="1" x14ac:dyDescent="0.25">
      <c r="A98" s="223">
        <f t="shared" si="0"/>
        <v>22</v>
      </c>
      <c r="B98" s="249"/>
      <c r="C98" s="305"/>
      <c r="D98" s="338"/>
      <c r="E98" s="361"/>
      <c r="F98" s="361"/>
      <c r="G98" s="363"/>
      <c r="H98" s="255"/>
      <c r="I98" s="249"/>
      <c r="J98" s="249"/>
      <c r="K98" s="250"/>
      <c r="L98" s="262"/>
      <c r="M98" s="255"/>
      <c r="N98" s="250"/>
      <c r="O98" s="250"/>
      <c r="P98" s="250"/>
      <c r="Q98" s="262"/>
      <c r="R98" s="262"/>
      <c r="S98" s="262"/>
      <c r="T98" s="255"/>
      <c r="U98" s="254"/>
    </row>
    <row r="99" spans="1:25" ht="15.75" hidden="1" customHeight="1" x14ac:dyDescent="0.25">
      <c r="A99" s="223">
        <f t="shared" si="0"/>
        <v>23</v>
      </c>
      <c r="B99" s="249"/>
      <c r="C99" s="305" t="s">
        <v>109</v>
      </c>
      <c r="D99" s="430" t="s">
        <v>110</v>
      </c>
      <c r="E99" s="431"/>
      <c r="F99" s="431"/>
      <c r="G99" s="432"/>
      <c r="H99" s="255">
        <f>+[38]Sheet1!$G$69</f>
        <v>55541499249.695007</v>
      </c>
      <c r="I99" s="249"/>
      <c r="J99" s="249"/>
      <c r="K99" s="250"/>
      <c r="L99" s="315" t="s">
        <v>221</v>
      </c>
      <c r="M99" s="255">
        <f>+[38]Sheet1!$L$69</f>
        <v>55541499249.798996</v>
      </c>
      <c r="N99" s="255" t="e">
        <f>+[39]Sheet1!M52</f>
        <v>#REF!</v>
      </c>
      <c r="O99" s="255" t="e">
        <f>+[39]Sheet1!N52</f>
        <v>#REF!</v>
      </c>
      <c r="P99" s="255" t="e">
        <f>+[39]Sheet1!O52</f>
        <v>#REF!</v>
      </c>
      <c r="Q99" s="255" t="e">
        <f>+[39]Sheet1!P52</f>
        <v>#REF!</v>
      </c>
      <c r="R99" s="255">
        <f>+[38]Sheet1!$Q$69</f>
        <v>55541499249.798996</v>
      </c>
      <c r="S99" s="255">
        <f>+[38]Sheet1!$R$69</f>
        <v>0</v>
      </c>
      <c r="T99" s="255">
        <f>+[38]Sheet1!$S$69</f>
        <v>-0.1039886474609375</v>
      </c>
      <c r="U99" s="254" t="s">
        <v>99</v>
      </c>
      <c r="W99" s="93">
        <v>46949429999.995003</v>
      </c>
      <c r="X99" s="93">
        <v>30041429999.999001</v>
      </c>
      <c r="Y99" s="93">
        <v>30041429999.999001</v>
      </c>
    </row>
    <row r="100" spans="1:25" ht="15.75" hidden="1" customHeight="1" x14ac:dyDescent="0.25">
      <c r="A100" s="223">
        <f t="shared" si="0"/>
        <v>24</v>
      </c>
      <c r="B100" s="249"/>
      <c r="C100" s="305"/>
      <c r="D100" s="338"/>
      <c r="E100" s="361"/>
      <c r="F100" s="361"/>
      <c r="G100" s="362"/>
      <c r="H100" s="255"/>
      <c r="I100" s="249"/>
      <c r="J100" s="249"/>
      <c r="K100" s="250"/>
      <c r="L100" s="250"/>
      <c r="M100" s="255"/>
      <c r="N100" s="250"/>
      <c r="O100" s="250"/>
      <c r="P100" s="250"/>
      <c r="Q100" s="250"/>
      <c r="R100" s="255"/>
      <c r="S100" s="255"/>
      <c r="T100" s="255"/>
      <c r="U100" s="254"/>
    </row>
    <row r="101" spans="1:25" ht="15.75" customHeight="1" x14ac:dyDescent="0.25">
      <c r="A101" s="223">
        <f t="shared" si="0"/>
        <v>25</v>
      </c>
      <c r="B101" s="249"/>
      <c r="C101" s="305" t="s">
        <v>111</v>
      </c>
      <c r="D101" s="430" t="s">
        <v>112</v>
      </c>
      <c r="E101" s="431"/>
      <c r="F101" s="431"/>
      <c r="G101" s="432"/>
      <c r="H101" s="88">
        <f>+[40]Sheet1!G50</f>
        <v>78272510769.600006</v>
      </c>
      <c r="I101" s="249"/>
      <c r="J101" s="249"/>
      <c r="K101" s="250"/>
      <c r="L101" s="88" t="str">
        <f>+[40]Sheet1!L50</f>
        <v>ANGS-34</v>
      </c>
      <c r="M101" s="88">
        <f>+[40]Sheet1!M50</f>
        <v>62922733645</v>
      </c>
      <c r="N101" s="88">
        <f>+[40]Sheet1!$G$22</f>
        <v>237699999.90000001</v>
      </c>
      <c r="O101" s="88">
        <f>+[40]Sheet1!$G$22</f>
        <v>237699999.90000001</v>
      </c>
      <c r="P101" s="88">
        <f>+[40]Sheet1!$G$22</f>
        <v>237699999.90000001</v>
      </c>
      <c r="Q101" s="88">
        <f>+[40]Sheet1!$G$22</f>
        <v>237699999.90000001</v>
      </c>
      <c r="R101" s="88">
        <f>+[40]Sheet1!R50</f>
        <v>56739295534</v>
      </c>
      <c r="S101" s="88">
        <f>+[40]Sheet1!S50</f>
        <v>6183438111</v>
      </c>
      <c r="T101" s="88">
        <f>+[40]Sheet1!T50</f>
        <v>15349777124.600006</v>
      </c>
      <c r="U101" s="88"/>
      <c r="W101" s="93">
        <v>65600000000</v>
      </c>
      <c r="X101" s="93">
        <v>9202215035</v>
      </c>
      <c r="Y101" s="93">
        <v>7173921527</v>
      </c>
    </row>
    <row r="102" spans="1:25" ht="15.75" customHeight="1" x14ac:dyDescent="0.25">
      <c r="A102" s="223"/>
      <c r="B102" s="249"/>
      <c r="C102" s="305"/>
      <c r="D102" s="364"/>
      <c r="E102" s="365"/>
      <c r="F102" s="365"/>
      <c r="G102" s="366"/>
      <c r="H102" s="88"/>
      <c r="I102" s="249"/>
      <c r="J102" s="249"/>
      <c r="K102" s="250"/>
      <c r="L102" s="263"/>
      <c r="M102" s="88"/>
      <c r="N102" s="88"/>
      <c r="O102" s="88"/>
      <c r="P102" s="88"/>
      <c r="Q102" s="88"/>
      <c r="R102" s="88"/>
      <c r="S102" s="88"/>
      <c r="T102" s="88"/>
      <c r="U102" s="88"/>
    </row>
    <row r="103" spans="1:25" ht="15.75" customHeight="1" x14ac:dyDescent="0.25">
      <c r="A103" s="223">
        <f>+A101+1</f>
        <v>26</v>
      </c>
      <c r="B103" s="249"/>
      <c r="C103" s="305"/>
      <c r="D103" s="338"/>
      <c r="E103" s="361"/>
      <c r="F103" s="361"/>
      <c r="G103" s="362"/>
      <c r="H103" s="88"/>
      <c r="I103" s="249"/>
      <c r="J103" s="249"/>
      <c r="K103" s="250"/>
      <c r="L103" s="263"/>
      <c r="M103" s="88"/>
      <c r="N103" s="88"/>
      <c r="O103" s="88"/>
      <c r="P103" s="88"/>
      <c r="Q103" s="88"/>
      <c r="R103" s="88"/>
      <c r="S103" s="88"/>
      <c r="T103" s="88"/>
      <c r="U103" s="88"/>
    </row>
    <row r="104" spans="1:25" ht="16.5" x14ac:dyDescent="0.3">
      <c r="A104" s="223" t="e">
        <f>+#REF!+1</f>
        <v>#REF!</v>
      </c>
      <c r="B104" s="14"/>
      <c r="C104" s="306" t="s">
        <v>135</v>
      </c>
      <c r="D104" s="417" t="s">
        <v>106</v>
      </c>
      <c r="E104" s="418"/>
      <c r="F104" s="418"/>
      <c r="G104" s="419"/>
      <c r="H104" s="236">
        <f>SUM(H77:H103)</f>
        <v>237165783791.397</v>
      </c>
      <c r="I104" s="56"/>
      <c r="J104" s="224"/>
      <c r="K104" s="237"/>
      <c r="L104" s="238">
        <f>+M104/H104</f>
        <v>0.90941260446070571</v>
      </c>
      <c r="M104" s="236">
        <f>SUM(M77:M103)</f>
        <v>215681553126.69897</v>
      </c>
      <c r="N104" s="239"/>
      <c r="O104" s="239"/>
      <c r="P104" s="239"/>
      <c r="Q104" s="239"/>
      <c r="R104" s="236">
        <f>SUM(R77:R103)</f>
        <v>209405786934.79901</v>
      </c>
      <c r="S104" s="236">
        <f>SUM(S77:S103)</f>
        <v>6275766191.8999996</v>
      </c>
      <c r="T104" s="236">
        <f>SUM(T77:T103)</f>
        <v>18969080157.596016</v>
      </c>
      <c r="U104" s="240"/>
      <c r="W104" s="236">
        <f>SUM(W77:W103)</f>
        <v>201711829999.995</v>
      </c>
      <c r="X104" s="93">
        <v>78297741836.998993</v>
      </c>
      <c r="Y104" s="93">
        <v>58108214151.999001</v>
      </c>
    </row>
    <row r="105" spans="1:25" ht="8.25" customHeight="1" x14ac:dyDescent="0.3">
      <c r="A105" s="223"/>
      <c r="B105" s="76"/>
      <c r="C105" s="307"/>
      <c r="D105" s="420"/>
      <c r="E105" s="421"/>
      <c r="F105" s="421"/>
      <c r="G105" s="422"/>
      <c r="H105" s="241"/>
      <c r="I105" s="61"/>
      <c r="J105" s="242"/>
      <c r="K105" s="243"/>
      <c r="L105" s="244"/>
      <c r="M105" s="245"/>
      <c r="N105" s="154"/>
      <c r="O105" s="154"/>
      <c r="P105" s="154"/>
      <c r="Q105" s="154"/>
      <c r="R105" s="245"/>
      <c r="S105" s="245"/>
      <c r="T105" s="245"/>
      <c r="U105" s="246"/>
    </row>
    <row r="106" spans="1:25" ht="16.5" x14ac:dyDescent="0.3">
      <c r="A106" s="223">
        <v>1</v>
      </c>
      <c r="B106" s="426">
        <f>+B75+1</f>
        <v>5</v>
      </c>
      <c r="C106" s="305"/>
      <c r="D106" s="423" t="s">
        <v>128</v>
      </c>
      <c r="E106" s="424"/>
      <c r="F106" s="424"/>
      <c r="G106" s="425"/>
      <c r="H106" s="88"/>
      <c r="I106" s="249"/>
      <c r="J106" s="249"/>
      <c r="K106" s="250"/>
      <c r="L106" s="251"/>
      <c r="M106" s="88"/>
      <c r="N106" s="250"/>
      <c r="O106" s="249"/>
      <c r="P106" s="249"/>
      <c r="Q106" s="249"/>
      <c r="R106" s="253"/>
      <c r="S106" s="249"/>
      <c r="T106" s="249"/>
      <c r="U106" s="254"/>
    </row>
    <row r="107" spans="1:25" ht="16.5" x14ac:dyDescent="0.3">
      <c r="A107" s="223">
        <f t="shared" si="0"/>
        <v>2</v>
      </c>
      <c r="B107" s="426"/>
      <c r="C107" s="305"/>
      <c r="D107" s="423"/>
      <c r="E107" s="424"/>
      <c r="F107" s="424"/>
      <c r="G107" s="425"/>
      <c r="H107" s="252"/>
      <c r="I107" s="249"/>
      <c r="J107" s="249"/>
      <c r="K107" s="250"/>
      <c r="L107" s="251"/>
      <c r="M107" s="252"/>
      <c r="N107" s="250"/>
      <c r="O107" s="249"/>
      <c r="P107" s="249"/>
      <c r="Q107" s="249"/>
      <c r="R107" s="253"/>
      <c r="S107" s="249"/>
      <c r="T107" s="249" t="s">
        <v>135</v>
      </c>
      <c r="U107" s="254"/>
    </row>
    <row r="108" spans="1:25" ht="16.5" hidden="1" x14ac:dyDescent="0.3">
      <c r="A108" s="223">
        <f t="shared" si="0"/>
        <v>3</v>
      </c>
      <c r="B108" s="14"/>
      <c r="C108" s="308" t="s">
        <v>132</v>
      </c>
      <c r="D108" s="341" t="s">
        <v>18</v>
      </c>
      <c r="E108" s="16"/>
      <c r="F108" s="16"/>
      <c r="G108" s="23" t="s">
        <v>25</v>
      </c>
      <c r="H108" s="27">
        <v>11617918899.996</v>
      </c>
      <c r="I108" s="27">
        <v>0</v>
      </c>
      <c r="J108" s="249" t="s">
        <v>15</v>
      </c>
      <c r="K108" s="250">
        <v>41363</v>
      </c>
      <c r="L108" s="132" t="s">
        <v>213</v>
      </c>
      <c r="M108" s="27">
        <v>11617918900</v>
      </c>
      <c r="N108" s="265"/>
      <c r="O108" s="266"/>
      <c r="P108" s="266"/>
      <c r="Q108" s="266"/>
      <c r="R108" s="21">
        <v>11617918900</v>
      </c>
      <c r="S108" s="267">
        <v>0</v>
      </c>
      <c r="T108" s="21"/>
      <c r="U108" s="254" t="s">
        <v>99</v>
      </c>
      <c r="W108" s="93">
        <v>11617918899.996</v>
      </c>
      <c r="X108" s="93">
        <v>11617918900</v>
      </c>
      <c r="Y108" s="93">
        <v>11617918900</v>
      </c>
    </row>
    <row r="109" spans="1:25" ht="16.5" hidden="1" x14ac:dyDescent="0.3">
      <c r="A109" s="223"/>
      <c r="B109" s="14"/>
      <c r="C109" s="308"/>
      <c r="D109" s="341" t="s">
        <v>18</v>
      </c>
      <c r="E109" s="16"/>
      <c r="F109" s="16"/>
      <c r="G109" s="23" t="s">
        <v>25</v>
      </c>
      <c r="H109" s="27">
        <v>10890000</v>
      </c>
      <c r="I109" s="27"/>
      <c r="J109" s="249"/>
      <c r="K109" s="250"/>
      <c r="L109" s="128">
        <v>1</v>
      </c>
      <c r="M109" s="27">
        <v>10890000</v>
      </c>
      <c r="N109" s="265"/>
      <c r="O109" s="266"/>
      <c r="P109" s="266"/>
      <c r="Q109" s="266"/>
      <c r="R109" s="21">
        <v>10890000</v>
      </c>
      <c r="S109" s="267">
        <v>0</v>
      </c>
      <c r="T109" s="21"/>
      <c r="U109" s="254"/>
    </row>
    <row r="110" spans="1:25" ht="16.5" hidden="1" x14ac:dyDescent="0.3">
      <c r="A110" s="223">
        <f>+A108+1</f>
        <v>4</v>
      </c>
      <c r="B110" s="14"/>
      <c r="C110" s="308"/>
      <c r="D110" s="341"/>
      <c r="E110" s="19"/>
      <c r="F110" s="19"/>
      <c r="G110" s="20"/>
      <c r="H110" s="21"/>
      <c r="I110" s="21"/>
      <c r="J110" s="249"/>
      <c r="K110" s="250"/>
      <c r="L110" s="117"/>
      <c r="M110" s="27"/>
      <c r="N110" s="265"/>
      <c r="O110" s="266"/>
      <c r="P110" s="266"/>
      <c r="Q110" s="266"/>
      <c r="R110" s="21"/>
      <c r="S110" s="88"/>
      <c r="T110" s="88"/>
      <c r="U110" s="254"/>
    </row>
    <row r="111" spans="1:25" ht="16.5" hidden="1" x14ac:dyDescent="0.3">
      <c r="A111" s="223">
        <f t="shared" si="0"/>
        <v>5</v>
      </c>
      <c r="B111" s="14"/>
      <c r="C111" s="308" t="s">
        <v>23</v>
      </c>
      <c r="D111" s="341" t="s">
        <v>24</v>
      </c>
      <c r="E111" s="22"/>
      <c r="F111" s="22"/>
      <c r="G111" s="23" t="s">
        <v>25</v>
      </c>
      <c r="H111" s="21">
        <v>14635258000</v>
      </c>
      <c r="I111" s="21"/>
      <c r="J111" s="249"/>
      <c r="K111" s="250"/>
      <c r="L111" s="117">
        <v>1</v>
      </c>
      <c r="M111" s="27">
        <v>14635258000</v>
      </c>
      <c r="N111" s="265"/>
      <c r="O111" s="266"/>
      <c r="P111" s="266"/>
      <c r="Q111" s="266"/>
      <c r="R111" s="27">
        <v>14635258000</v>
      </c>
      <c r="S111" s="27">
        <v>0</v>
      </c>
      <c r="T111" s="27">
        <v>0</v>
      </c>
      <c r="U111" s="254" t="s">
        <v>99</v>
      </c>
      <c r="W111" s="93">
        <v>14333493000</v>
      </c>
      <c r="X111" s="93">
        <v>13149486964</v>
      </c>
      <c r="Y111" s="93">
        <v>13149486964</v>
      </c>
    </row>
    <row r="112" spans="1:25" ht="16.5" hidden="1" x14ac:dyDescent="0.3">
      <c r="A112" s="223">
        <f t="shared" si="0"/>
        <v>6</v>
      </c>
      <c r="B112" s="14"/>
      <c r="C112" s="308"/>
      <c r="D112" s="341" t="s">
        <v>24</v>
      </c>
      <c r="E112" s="22"/>
      <c r="F112" s="22"/>
      <c r="G112" s="23" t="s">
        <v>135</v>
      </c>
      <c r="H112" s="34">
        <v>950580.99999999907</v>
      </c>
      <c r="I112" s="34"/>
      <c r="J112" s="268"/>
      <c r="K112" s="268"/>
      <c r="L112" s="117">
        <v>1</v>
      </c>
      <c r="M112" s="68">
        <v>950580.48</v>
      </c>
      <c r="N112" s="68"/>
      <c r="O112" s="68"/>
      <c r="P112" s="68"/>
      <c r="Q112" s="68"/>
      <c r="R112" s="68">
        <v>950580.48</v>
      </c>
      <c r="S112" s="68">
        <v>0</v>
      </c>
      <c r="T112" s="68"/>
      <c r="U112" s="254" t="s">
        <v>99</v>
      </c>
      <c r="W112" s="93">
        <v>949481</v>
      </c>
      <c r="X112" s="93">
        <v>874725.19</v>
      </c>
      <c r="Y112" s="93">
        <v>874725.19</v>
      </c>
    </row>
    <row r="113" spans="1:25" ht="16.5" hidden="1" x14ac:dyDescent="0.3">
      <c r="A113" s="223">
        <f t="shared" si="0"/>
        <v>7</v>
      </c>
      <c r="B113" s="14"/>
      <c r="C113" s="308"/>
      <c r="D113" s="342"/>
      <c r="E113" s="24"/>
      <c r="F113" s="24" t="s">
        <v>135</v>
      </c>
      <c r="G113" s="25"/>
      <c r="H113" s="21"/>
      <c r="I113" s="27"/>
      <c r="J113" s="249"/>
      <c r="K113" s="250"/>
      <c r="L113" s="251"/>
      <c r="M113" s="88"/>
      <c r="N113" s="88"/>
      <c r="O113" s="88"/>
      <c r="P113" s="88"/>
      <c r="Q113" s="88"/>
      <c r="R113" s="27"/>
      <c r="S113" s="88"/>
      <c r="T113" s="27"/>
      <c r="U113" s="254"/>
    </row>
    <row r="114" spans="1:25" ht="16.5" hidden="1" x14ac:dyDescent="0.3">
      <c r="A114" s="223">
        <f t="shared" si="0"/>
        <v>8</v>
      </c>
      <c r="B114" s="14"/>
      <c r="C114" s="308" t="s">
        <v>27</v>
      </c>
      <c r="D114" s="341" t="s">
        <v>28</v>
      </c>
      <c r="E114" s="24"/>
      <c r="F114" s="24"/>
      <c r="G114" s="54" t="s">
        <v>25</v>
      </c>
      <c r="H114" s="21">
        <f>+[41]Sheet1!$G$25</f>
        <v>50539445099</v>
      </c>
      <c r="I114" s="27"/>
      <c r="J114" s="249"/>
      <c r="K114" s="250"/>
      <c r="L114" s="251">
        <f>+[41]Sheet1!$L$25</f>
        <v>1</v>
      </c>
      <c r="M114" s="88">
        <f>+[41]Sheet1!M25</f>
        <v>50539445099</v>
      </c>
      <c r="N114" s="88"/>
      <c r="O114" s="88"/>
      <c r="P114" s="88"/>
      <c r="Q114" s="88"/>
      <c r="R114" s="88">
        <f>+[41]Sheet1!R25</f>
        <v>50539445099</v>
      </c>
      <c r="S114" s="88">
        <f>+[41]Sheet1!$S$25</f>
        <v>0</v>
      </c>
      <c r="T114" s="88">
        <f>+[41]Sheet1!T25</f>
        <v>0</v>
      </c>
      <c r="U114" s="254" t="s">
        <v>99</v>
      </c>
      <c r="W114" s="93">
        <v>49936700000</v>
      </c>
      <c r="X114" s="93">
        <v>44379898313</v>
      </c>
      <c r="Y114" s="93">
        <v>44379898313</v>
      </c>
    </row>
    <row r="115" spans="1:25" ht="16.5" hidden="1" x14ac:dyDescent="0.3">
      <c r="A115" s="223">
        <f t="shared" si="0"/>
        <v>9</v>
      </c>
      <c r="B115" s="124"/>
      <c r="C115" s="308"/>
      <c r="D115" s="342"/>
      <c r="E115" s="24"/>
      <c r="F115" s="24"/>
      <c r="G115" s="25"/>
      <c r="H115" s="21"/>
      <c r="I115" s="27"/>
      <c r="J115" s="249"/>
      <c r="K115" s="250"/>
      <c r="L115" s="251"/>
      <c r="M115" s="88"/>
      <c r="N115" s="88"/>
      <c r="O115" s="88"/>
      <c r="P115" s="88"/>
      <c r="Q115" s="88"/>
      <c r="R115" s="27"/>
      <c r="S115" s="88"/>
      <c r="T115" s="27"/>
      <c r="U115" s="254"/>
    </row>
    <row r="116" spans="1:25" ht="16.5" hidden="1" x14ac:dyDescent="0.3">
      <c r="A116" s="223">
        <f t="shared" si="0"/>
        <v>10</v>
      </c>
      <c r="B116" s="14"/>
      <c r="C116" s="308" t="s">
        <v>29</v>
      </c>
      <c r="D116" s="343" t="s">
        <v>30</v>
      </c>
      <c r="E116" s="199"/>
      <c r="F116" s="199"/>
      <c r="G116" s="25" t="s">
        <v>25</v>
      </c>
      <c r="H116" s="21">
        <f>+[42]Sheet1!$G$24</f>
        <v>28231500000</v>
      </c>
      <c r="I116" s="27"/>
      <c r="J116" s="249"/>
      <c r="K116" s="269"/>
      <c r="L116" s="251" t="str">
        <f>+[42]Sheet1!$L$24</f>
        <v>RET-5%</v>
      </c>
      <c r="M116" s="88">
        <f>+[42]Sheet1!M24</f>
        <v>28231500000</v>
      </c>
      <c r="N116" s="88"/>
      <c r="O116" s="88"/>
      <c r="P116" s="88"/>
      <c r="Q116" s="88"/>
      <c r="R116" s="88">
        <f>+[43]Sheet1!$R$24</f>
        <v>28231499999</v>
      </c>
      <c r="S116" s="88">
        <f>+[43]Sheet1!$S$24</f>
        <v>0</v>
      </c>
      <c r="T116" s="88">
        <f>+[43]Sheet1!$T$24</f>
        <v>0</v>
      </c>
      <c r="U116" s="254" t="s">
        <v>99</v>
      </c>
      <c r="W116" s="93">
        <v>26609000000</v>
      </c>
      <c r="X116" s="93">
        <v>25278549999</v>
      </c>
      <c r="Y116" s="93">
        <v>24489519975</v>
      </c>
    </row>
    <row r="117" spans="1:25" ht="16.5" hidden="1" x14ac:dyDescent="0.3">
      <c r="A117" s="223">
        <f t="shared" ref="A117:A173" si="1">+A116+1</f>
        <v>11</v>
      </c>
      <c r="B117" s="14"/>
      <c r="C117" s="308"/>
      <c r="D117" s="344"/>
      <c r="E117" s="199"/>
      <c r="F117" s="199"/>
      <c r="G117" s="25"/>
      <c r="H117" s="21"/>
      <c r="I117" s="27"/>
      <c r="J117" s="249"/>
      <c r="K117" s="250"/>
      <c r="L117" s="251"/>
      <c r="M117" s="88"/>
      <c r="N117" s="88"/>
      <c r="O117" s="88"/>
      <c r="P117" s="88"/>
      <c r="Q117" s="88"/>
      <c r="R117" s="27"/>
      <c r="S117" s="88"/>
      <c r="T117" s="27"/>
      <c r="U117" s="254"/>
    </row>
    <row r="118" spans="1:25" ht="16.5" x14ac:dyDescent="0.3">
      <c r="A118" s="223">
        <f t="shared" si="1"/>
        <v>12</v>
      </c>
      <c r="B118" s="14"/>
      <c r="C118" s="308" t="s">
        <v>31</v>
      </c>
      <c r="D118" s="343" t="s">
        <v>32</v>
      </c>
      <c r="E118" s="201"/>
      <c r="F118" s="201"/>
      <c r="G118" s="17"/>
      <c r="H118" s="21"/>
      <c r="I118" s="27"/>
      <c r="J118" s="249"/>
      <c r="K118" s="250"/>
      <c r="L118" s="251"/>
      <c r="M118" s="21"/>
      <c r="N118" s="88"/>
      <c r="O118" s="88"/>
      <c r="P118" s="88"/>
      <c r="Q118" s="88"/>
      <c r="R118" s="21"/>
      <c r="S118" s="21"/>
      <c r="T118" s="21"/>
      <c r="U118" s="254"/>
    </row>
    <row r="119" spans="1:25" ht="16.5" x14ac:dyDescent="0.3">
      <c r="A119" s="223">
        <f t="shared" si="1"/>
        <v>13</v>
      </c>
      <c r="B119" s="14"/>
      <c r="C119" s="308"/>
      <c r="D119" s="343" t="s">
        <v>115</v>
      </c>
      <c r="E119" s="201"/>
      <c r="F119" s="201"/>
      <c r="G119" s="17" t="s">
        <v>25</v>
      </c>
      <c r="H119" s="21">
        <f>+[44]Sheet1!G42</f>
        <v>86129678965</v>
      </c>
      <c r="I119" s="27"/>
      <c r="J119" s="249"/>
      <c r="K119" s="250"/>
      <c r="L119" s="117" t="str">
        <f>+[44]Sheet1!K42</f>
        <v>RET 5%</v>
      </c>
      <c r="M119" s="21">
        <f>+[44]Sheet1!L42</f>
        <v>86129678964.899994</v>
      </c>
      <c r="N119" s="21">
        <f>+[44]Sheet1!$G$23</f>
        <v>-4084624878.4000001</v>
      </c>
      <c r="O119" s="21">
        <f>+[44]Sheet1!$G$23</f>
        <v>-4084624878.4000001</v>
      </c>
      <c r="P119" s="21">
        <f>+[44]Sheet1!$G$23</f>
        <v>-4084624878.4000001</v>
      </c>
      <c r="Q119" s="21">
        <f>+[44]Sheet1!$G$23</f>
        <v>-4084624878.4000001</v>
      </c>
      <c r="R119" s="21">
        <f>+[44]Sheet1!$Q$42</f>
        <v>82564261451.899994</v>
      </c>
      <c r="S119" s="21">
        <f>+[44]Sheet1!$R$42</f>
        <v>3565417513</v>
      </c>
      <c r="T119" s="21"/>
      <c r="U119" s="254"/>
      <c r="W119" s="93">
        <v>82533000000</v>
      </c>
      <c r="X119" s="93">
        <v>54156569912.900002</v>
      </c>
      <c r="Y119" s="93">
        <v>48496212311</v>
      </c>
    </row>
    <row r="120" spans="1:25" ht="16.5" x14ac:dyDescent="0.3">
      <c r="A120" s="223">
        <f t="shared" si="1"/>
        <v>14</v>
      </c>
      <c r="B120" s="14"/>
      <c r="C120" s="308"/>
      <c r="D120" s="343" t="s">
        <v>133</v>
      </c>
      <c r="E120" s="201"/>
      <c r="F120" s="201"/>
      <c r="G120" s="17" t="s">
        <v>25</v>
      </c>
      <c r="H120" s="21">
        <f>+[44]Sheet1!G54</f>
        <v>4004627000</v>
      </c>
      <c r="I120" s="27"/>
      <c r="J120" s="249"/>
      <c r="K120" s="250"/>
      <c r="L120" s="128" t="str">
        <f>+[44]Sheet1!K54</f>
        <v>RET 5%</v>
      </c>
      <c r="M120" s="21">
        <f>+[44]Sheet1!L54</f>
        <v>4004626999.8000002</v>
      </c>
      <c r="N120" s="21">
        <f>+[44]Sheet1!M54</f>
        <v>0</v>
      </c>
      <c r="O120" s="21">
        <f>+[44]Sheet1!N54</f>
        <v>0</v>
      </c>
      <c r="P120" s="21">
        <f>+[44]Sheet1!O54</f>
        <v>0</v>
      </c>
      <c r="Q120" s="21">
        <f>+[44]Sheet1!P54</f>
        <v>0</v>
      </c>
      <c r="R120" s="21">
        <f>+[44]Sheet1!Q54</f>
        <v>3822593499.8000002</v>
      </c>
      <c r="S120" s="21">
        <f>+[44]Sheet1!$R$54</f>
        <v>182033500</v>
      </c>
      <c r="T120" s="21">
        <f>+[44]Sheet1!S54</f>
        <v>0</v>
      </c>
      <c r="U120" s="254"/>
      <c r="W120" s="93">
        <v>4978767200</v>
      </c>
      <c r="X120" s="93">
        <v>995753440</v>
      </c>
      <c r="Y120" s="93">
        <v>995753440</v>
      </c>
    </row>
    <row r="121" spans="1:25" ht="16.5" x14ac:dyDescent="0.3">
      <c r="A121" s="223">
        <f t="shared" si="1"/>
        <v>15</v>
      </c>
      <c r="B121" s="14"/>
      <c r="C121" s="308"/>
      <c r="D121" s="343" t="s">
        <v>134</v>
      </c>
      <c r="E121" s="201"/>
      <c r="F121" s="201"/>
      <c r="G121" s="17" t="s">
        <v>25</v>
      </c>
      <c r="H121" s="21">
        <f>+[44]Sheet1!G62</f>
        <v>4578145000</v>
      </c>
      <c r="I121" s="27"/>
      <c r="J121" s="249"/>
      <c r="K121" s="250"/>
      <c r="L121" s="128" t="str">
        <f>+[44]Sheet1!K62</f>
        <v>RET 5%</v>
      </c>
      <c r="M121" s="21">
        <f>+[44]Sheet1!L62</f>
        <v>4578145000</v>
      </c>
      <c r="N121" s="21">
        <f>+[44]Sheet1!M62</f>
        <v>0</v>
      </c>
      <c r="O121" s="21">
        <f>+[44]Sheet1!N62</f>
        <v>0</v>
      </c>
      <c r="P121" s="21">
        <f>+[44]Sheet1!O62</f>
        <v>0</v>
      </c>
      <c r="Q121" s="21">
        <f>+[44]Sheet1!P62</f>
        <v>0</v>
      </c>
      <c r="R121" s="21">
        <f>+[44]Sheet1!Q62</f>
        <v>4370047500</v>
      </c>
      <c r="S121" s="21">
        <f>+[44]Sheet1!R62</f>
        <v>208097500</v>
      </c>
      <c r="T121" s="21">
        <f>+[44]Sheet1!S62</f>
        <v>0</v>
      </c>
      <c r="U121" s="254"/>
      <c r="W121" s="93">
        <v>4464620600</v>
      </c>
      <c r="X121" s="93">
        <v>892924120</v>
      </c>
      <c r="Y121" s="93">
        <v>892924120</v>
      </c>
    </row>
    <row r="122" spans="1:25" ht="16.5" x14ac:dyDescent="0.3">
      <c r="A122" s="223">
        <f t="shared" si="1"/>
        <v>16</v>
      </c>
      <c r="B122" s="14"/>
      <c r="C122" s="308"/>
      <c r="D122" s="345" t="s">
        <v>80</v>
      </c>
      <c r="E122" s="202"/>
      <c r="F122" s="202"/>
      <c r="G122" s="96" t="s">
        <v>25</v>
      </c>
      <c r="H122" s="99">
        <f>+[44]Sheet1!G139</f>
        <v>2052386794.7</v>
      </c>
      <c r="I122" s="80"/>
      <c r="J122" s="270"/>
      <c r="K122" s="271"/>
      <c r="L122" s="131" t="str">
        <f>+[44]Sheet1!K135</f>
        <v>RET 5%</v>
      </c>
      <c r="M122" s="99">
        <f>+[44]Sheet1!L139</f>
        <v>2052386794</v>
      </c>
      <c r="N122" s="99">
        <f>+[44]Sheet1!M135</f>
        <v>0</v>
      </c>
      <c r="O122" s="99">
        <f>+[44]Sheet1!N135</f>
        <v>0</v>
      </c>
      <c r="P122" s="99">
        <f>+[44]Sheet1!O135</f>
        <v>0</v>
      </c>
      <c r="Q122" s="99">
        <f>+[44]Sheet1!P135</f>
        <v>0</v>
      </c>
      <c r="R122" s="99">
        <f>+[44]Sheet1!Q139</f>
        <v>2030137994</v>
      </c>
      <c r="S122" s="99">
        <f>+[44]Sheet1!R139</f>
        <v>22248800</v>
      </c>
      <c r="T122" s="356">
        <f>+[44]Sheet1!S139</f>
        <v>0.70000004768371582</v>
      </c>
      <c r="U122" s="254"/>
      <c r="W122" s="93">
        <v>660710226</v>
      </c>
      <c r="X122" s="93">
        <v>261426489</v>
      </c>
      <c r="Y122" s="93">
        <v>261426489</v>
      </c>
    </row>
    <row r="123" spans="1:25" ht="16.5" x14ac:dyDescent="0.3">
      <c r="A123" s="223">
        <f t="shared" si="1"/>
        <v>17</v>
      </c>
      <c r="B123" s="14"/>
      <c r="C123" s="308"/>
      <c r="D123" s="343" t="s">
        <v>76</v>
      </c>
      <c r="E123" s="201"/>
      <c r="F123" s="201"/>
      <c r="G123" s="17" t="s">
        <v>25</v>
      </c>
      <c r="H123" s="21">
        <f>+H119+H120+H121+H122</f>
        <v>96764837759.699997</v>
      </c>
      <c r="I123" s="21"/>
      <c r="J123" s="249"/>
      <c r="K123" s="250"/>
      <c r="L123" s="251"/>
      <c r="M123" s="21">
        <f>SUBTOTAL(9,M119:M122)</f>
        <v>96764837758.699997</v>
      </c>
      <c r="N123" s="88"/>
      <c r="O123" s="88"/>
      <c r="P123" s="88"/>
      <c r="Q123" s="88"/>
      <c r="R123" s="21">
        <f>SUBTOTAL(9,R119:R122)</f>
        <v>92787040445.699997</v>
      </c>
      <c r="S123" s="21">
        <f>SUM(S119:S122)</f>
        <v>3977797313</v>
      </c>
      <c r="T123" s="21">
        <f>+H123-M123</f>
        <v>1</v>
      </c>
      <c r="U123" s="254"/>
      <c r="W123" s="93">
        <v>92637098026</v>
      </c>
      <c r="X123" s="93">
        <v>56306673961.900002</v>
      </c>
      <c r="Y123" s="93">
        <v>50646316360</v>
      </c>
    </row>
    <row r="124" spans="1:25" ht="16.5" x14ac:dyDescent="0.3">
      <c r="A124" s="223">
        <f t="shared" si="1"/>
        <v>18</v>
      </c>
      <c r="B124" s="14"/>
      <c r="C124" s="308"/>
      <c r="D124" s="343" t="s">
        <v>32</v>
      </c>
      <c r="E124" s="201"/>
      <c r="F124" s="201"/>
      <c r="G124" s="17" t="s">
        <v>26</v>
      </c>
      <c r="H124" s="34">
        <f>+[44]Sheet1!G82</f>
        <v>1143008.8999999999</v>
      </c>
      <c r="I124" s="27"/>
      <c r="J124" s="249"/>
      <c r="K124" s="250"/>
      <c r="L124" s="128" t="str">
        <f>+[44]Sheet1!K82</f>
        <v>RET 5%</v>
      </c>
      <c r="M124" s="34">
        <f>+[44]Sheet1!L82</f>
        <v>1143014.1000000001</v>
      </c>
      <c r="N124" s="34">
        <f>+[44]Sheet1!M82</f>
        <v>0</v>
      </c>
      <c r="O124" s="34">
        <f>+[44]Sheet1!N82</f>
        <v>0</v>
      </c>
      <c r="P124" s="34">
        <f>+[44]Sheet1!O82</f>
        <v>0</v>
      </c>
      <c r="Q124" s="34">
        <f>+[44]Sheet1!P82</f>
        <v>0</v>
      </c>
      <c r="R124" s="34">
        <f>+[44]Sheet1!Q82</f>
        <v>1085863.6000000001</v>
      </c>
      <c r="S124" s="34">
        <f>+[44]Sheet1!R82</f>
        <v>57150.5</v>
      </c>
      <c r="T124" s="34">
        <f>+[44]Sheet1!S82</f>
        <v>-5.2000000001862645</v>
      </c>
      <c r="U124" s="254"/>
      <c r="W124" s="93">
        <v>1320000</v>
      </c>
      <c r="X124" s="93">
        <v>351544.60000000003</v>
      </c>
      <c r="Y124" s="93">
        <v>279678.30000000005</v>
      </c>
    </row>
    <row r="125" spans="1:25" ht="16.5" x14ac:dyDescent="0.3">
      <c r="A125" s="223">
        <f t="shared" si="1"/>
        <v>19</v>
      </c>
      <c r="B125" s="14"/>
      <c r="C125" s="308"/>
      <c r="D125" s="343" t="s">
        <v>162</v>
      </c>
      <c r="E125" s="201"/>
      <c r="F125" s="201"/>
      <c r="G125" s="17"/>
      <c r="H125" s="34"/>
      <c r="I125" s="27"/>
      <c r="J125" s="249"/>
      <c r="K125" s="250"/>
      <c r="L125" s="251"/>
      <c r="M125" s="21"/>
      <c r="N125" s="21"/>
      <c r="O125" s="21"/>
      <c r="P125" s="21"/>
      <c r="Q125" s="21"/>
      <c r="R125" s="21"/>
      <c r="S125" s="21"/>
      <c r="T125" s="21"/>
      <c r="U125" s="254"/>
      <c r="X125" s="93">
        <v>0</v>
      </c>
      <c r="Y125" s="93">
        <v>0</v>
      </c>
    </row>
    <row r="126" spans="1:25" ht="16.5" x14ac:dyDescent="0.3">
      <c r="A126" s="223">
        <f t="shared" si="1"/>
        <v>20</v>
      </c>
      <c r="B126" s="14"/>
      <c r="C126" s="308"/>
      <c r="D126" s="343"/>
      <c r="E126" s="201"/>
      <c r="F126" s="201"/>
      <c r="G126" s="17"/>
      <c r="H126" s="34"/>
      <c r="I126" s="27"/>
      <c r="J126" s="249"/>
      <c r="K126" s="250"/>
      <c r="L126" s="258"/>
      <c r="M126" s="34"/>
      <c r="N126" s="68"/>
      <c r="O126" s="68"/>
      <c r="P126" s="68"/>
      <c r="Q126" s="68"/>
      <c r="R126" s="34"/>
      <c r="S126" s="34"/>
      <c r="T126" s="34"/>
      <c r="U126" s="254"/>
    </row>
    <row r="127" spans="1:25" ht="16.5" x14ac:dyDescent="0.3">
      <c r="A127" s="223"/>
      <c r="B127" s="14"/>
      <c r="C127" s="308"/>
      <c r="D127" s="343"/>
      <c r="E127" s="201"/>
      <c r="F127" s="201"/>
      <c r="G127" s="17"/>
      <c r="H127" s="34"/>
      <c r="I127" s="27"/>
      <c r="J127" s="249"/>
      <c r="K127" s="250"/>
      <c r="L127" s="258"/>
      <c r="M127" s="34"/>
      <c r="N127" s="68"/>
      <c r="O127" s="68"/>
      <c r="P127" s="68"/>
      <c r="Q127" s="68"/>
      <c r="R127" s="34"/>
      <c r="S127" s="34"/>
      <c r="T127" s="34"/>
      <c r="U127" s="254"/>
    </row>
    <row r="128" spans="1:25" ht="16.5" x14ac:dyDescent="0.3">
      <c r="A128" s="223"/>
      <c r="B128" s="14"/>
      <c r="C128" s="308"/>
      <c r="D128" s="343"/>
      <c r="E128" s="201"/>
      <c r="F128" s="201"/>
      <c r="G128" s="17"/>
      <c r="H128" s="34"/>
      <c r="I128" s="27"/>
      <c r="J128" s="249"/>
      <c r="K128" s="250"/>
      <c r="L128" s="258"/>
      <c r="M128" s="34"/>
      <c r="N128" s="68"/>
      <c r="O128" s="68"/>
      <c r="P128" s="68"/>
      <c r="Q128" s="68"/>
      <c r="R128" s="34"/>
      <c r="S128" s="34"/>
      <c r="T128" s="34"/>
      <c r="U128" s="254"/>
    </row>
    <row r="129" spans="1:25" ht="16.5" x14ac:dyDescent="0.3">
      <c r="A129" s="223"/>
      <c r="B129" s="14"/>
      <c r="C129" s="308"/>
      <c r="D129" s="343"/>
      <c r="E129" s="201"/>
      <c r="F129" s="201"/>
      <c r="G129" s="17"/>
      <c r="H129" s="34"/>
      <c r="I129" s="27"/>
      <c r="J129" s="249"/>
      <c r="K129" s="250"/>
      <c r="L129" s="258"/>
      <c r="M129" s="34"/>
      <c r="N129" s="68"/>
      <c r="O129" s="68"/>
      <c r="P129" s="68"/>
      <c r="Q129" s="68"/>
      <c r="R129" s="34"/>
      <c r="S129" s="34"/>
      <c r="T129" s="34"/>
      <c r="U129" s="254"/>
    </row>
    <row r="130" spans="1:25" ht="16.5" x14ac:dyDescent="0.3">
      <c r="A130" s="223" t="e">
        <f>+#REF!+1</f>
        <v>#REF!</v>
      </c>
      <c r="B130" s="14"/>
      <c r="C130" s="308"/>
      <c r="D130" s="342"/>
      <c r="E130" s="24"/>
      <c r="F130" s="24"/>
      <c r="G130" s="25"/>
      <c r="H130" s="21"/>
      <c r="I130" s="21"/>
      <c r="J130" s="249"/>
      <c r="K130" s="250"/>
      <c r="L130" s="251"/>
      <c r="M130" s="88"/>
      <c r="N130" s="88"/>
      <c r="O130" s="88"/>
      <c r="P130" s="88"/>
      <c r="Q130" s="88"/>
      <c r="R130" s="27"/>
      <c r="S130" s="88"/>
      <c r="T130" s="27"/>
      <c r="U130" s="254"/>
    </row>
    <row r="131" spans="1:25" ht="16.5" x14ac:dyDescent="0.3">
      <c r="A131" s="223" t="e">
        <f t="shared" si="1"/>
        <v>#REF!</v>
      </c>
      <c r="B131" s="14"/>
      <c r="C131" s="309"/>
      <c r="D131" s="417" t="s">
        <v>33</v>
      </c>
      <c r="E131" s="418"/>
      <c r="F131" s="418"/>
      <c r="G131" s="419"/>
      <c r="H131" s="236">
        <f>+H123+H116+H114+H111+H108</f>
        <v>201788959758.69601</v>
      </c>
      <c r="I131" s="56"/>
      <c r="J131" s="224"/>
      <c r="K131" s="237"/>
      <c r="L131" s="238"/>
      <c r="M131" s="236">
        <f>+M123+M116+M114+M111+M108</f>
        <v>201788959757.70001</v>
      </c>
      <c r="N131" s="239"/>
      <c r="O131" s="239"/>
      <c r="P131" s="239"/>
      <c r="Q131" s="239"/>
      <c r="R131" s="236">
        <f>+R123+R116+R114+R111+R108</f>
        <v>197811162443.70001</v>
      </c>
      <c r="S131" s="236">
        <f>+S123+S116+S114+S111+S108</f>
        <v>3977797313</v>
      </c>
      <c r="T131" s="236">
        <f>+T123+T116+T114+T111+T108</f>
        <v>1</v>
      </c>
      <c r="U131" s="240"/>
      <c r="W131" s="93">
        <v>195134209925.996</v>
      </c>
      <c r="X131" s="93">
        <v>150732528137.89999</v>
      </c>
      <c r="Y131" s="93">
        <v>144283140512</v>
      </c>
    </row>
    <row r="132" spans="1:25" ht="16.5" x14ac:dyDescent="0.3">
      <c r="A132" s="223"/>
      <c r="B132" s="76"/>
      <c r="C132" s="307"/>
      <c r="D132" s="420"/>
      <c r="E132" s="421"/>
      <c r="F132" s="421"/>
      <c r="G132" s="422"/>
      <c r="H132" s="245">
        <f>+H124+H112</f>
        <v>2093589.899999999</v>
      </c>
      <c r="I132" s="61"/>
      <c r="J132" s="242"/>
      <c r="K132" s="243"/>
      <c r="L132" s="244"/>
      <c r="M132" s="245">
        <f>+M124+M112</f>
        <v>2093594.58</v>
      </c>
      <c r="N132" s="154"/>
      <c r="O132" s="154"/>
      <c r="P132" s="154"/>
      <c r="Q132" s="154"/>
      <c r="R132" s="245">
        <f>+R124+R112</f>
        <v>2036444.08</v>
      </c>
      <c r="S132" s="245">
        <f>+S124+S112</f>
        <v>57150.5</v>
      </c>
      <c r="T132" s="245">
        <f>+H132-M132</f>
        <v>-4.6800000010989606</v>
      </c>
      <c r="U132" s="246"/>
      <c r="W132" s="93">
        <v>2269481</v>
      </c>
      <c r="X132" s="93">
        <v>1226269.79</v>
      </c>
      <c r="Y132" s="93">
        <v>1154403.49</v>
      </c>
    </row>
    <row r="133" spans="1:25" ht="16.5" x14ac:dyDescent="0.3">
      <c r="A133" s="223"/>
      <c r="B133" s="368"/>
      <c r="C133" s="322"/>
      <c r="D133" s="369"/>
      <c r="E133" s="370"/>
      <c r="F133" s="370"/>
      <c r="G133" s="371"/>
      <c r="H133" s="372"/>
      <c r="I133" s="372"/>
      <c r="J133" s="373"/>
      <c r="K133" s="374"/>
      <c r="L133" s="375"/>
      <c r="M133" s="376"/>
      <c r="N133" s="376"/>
      <c r="O133" s="376"/>
      <c r="P133" s="376"/>
      <c r="Q133" s="376"/>
      <c r="R133" s="377"/>
      <c r="S133" s="376"/>
      <c r="T133" s="377"/>
      <c r="U133" s="378"/>
      <c r="V133" s="379"/>
      <c r="W133" s="380"/>
    </row>
    <row r="134" spans="1:25" ht="16.5" x14ac:dyDescent="0.3">
      <c r="A134" s="223">
        <f t="shared" si="1"/>
        <v>1</v>
      </c>
      <c r="B134" s="426">
        <f>+B106+1</f>
        <v>6</v>
      </c>
      <c r="C134" s="322"/>
      <c r="D134" s="427" t="s">
        <v>130</v>
      </c>
      <c r="E134" s="428"/>
      <c r="F134" s="428"/>
      <c r="G134" s="429"/>
      <c r="H134" s="21"/>
      <c r="I134" s="21"/>
      <c r="J134" s="249"/>
      <c r="K134" s="250"/>
      <c r="L134" s="251"/>
      <c r="M134" s="88"/>
      <c r="N134" s="88"/>
      <c r="O134" s="88"/>
      <c r="P134" s="88"/>
      <c r="Q134" s="88"/>
      <c r="R134" s="27"/>
      <c r="S134" s="88"/>
      <c r="T134" s="27"/>
      <c r="U134" s="254"/>
    </row>
    <row r="135" spans="1:25" ht="16.5" x14ac:dyDescent="0.3">
      <c r="A135" s="223">
        <f t="shared" si="1"/>
        <v>2</v>
      </c>
      <c r="B135" s="426"/>
      <c r="C135" s="322"/>
      <c r="D135" s="427"/>
      <c r="E135" s="428"/>
      <c r="F135" s="428"/>
      <c r="G135" s="429"/>
      <c r="H135" s="21"/>
      <c r="I135" s="21"/>
      <c r="J135" s="249"/>
      <c r="K135" s="250"/>
      <c r="L135" s="251"/>
      <c r="M135" s="88"/>
      <c r="N135" s="88"/>
      <c r="O135" s="88"/>
      <c r="P135" s="88"/>
      <c r="Q135" s="88"/>
      <c r="R135" s="27"/>
      <c r="S135" s="88"/>
      <c r="T135" s="27"/>
      <c r="U135" s="254"/>
    </row>
    <row r="136" spans="1:25" ht="16.5" hidden="1" x14ac:dyDescent="0.3">
      <c r="A136" s="223"/>
      <c r="B136" s="320"/>
      <c r="C136" s="308" t="s">
        <v>36</v>
      </c>
      <c r="D136" s="341" t="s">
        <v>37</v>
      </c>
      <c r="E136" s="24"/>
      <c r="F136" s="24"/>
      <c r="G136" s="17"/>
      <c r="H136" s="21"/>
      <c r="I136" s="21"/>
      <c r="J136" s="249" t="s">
        <v>16</v>
      </c>
      <c r="K136" s="250">
        <v>42241</v>
      </c>
      <c r="L136" s="251"/>
      <c r="M136" s="88"/>
      <c r="N136" s="88"/>
      <c r="O136" s="88"/>
      <c r="P136" s="88"/>
      <c r="Q136" s="88"/>
      <c r="R136" s="27"/>
      <c r="S136" s="88"/>
      <c r="T136" s="27"/>
      <c r="U136" s="254"/>
    </row>
    <row r="137" spans="1:25" ht="16.5" hidden="1" x14ac:dyDescent="0.3">
      <c r="A137" s="223"/>
      <c r="B137" s="320"/>
      <c r="C137" s="308"/>
      <c r="D137" s="341" t="s">
        <v>82</v>
      </c>
      <c r="E137" s="24"/>
      <c r="F137" s="24"/>
      <c r="G137" s="17" t="s">
        <v>25</v>
      </c>
      <c r="H137" s="88">
        <v>19431220000</v>
      </c>
      <c r="I137" s="21"/>
      <c r="J137" s="249"/>
      <c r="K137" s="250"/>
      <c r="L137" s="259" t="s">
        <v>105</v>
      </c>
      <c r="M137" s="88">
        <v>19431220000.079998</v>
      </c>
      <c r="N137" s="88"/>
      <c r="O137" s="88"/>
      <c r="P137" s="88"/>
      <c r="Q137" s="88"/>
      <c r="R137" s="88">
        <v>19431220000.079998</v>
      </c>
      <c r="S137" s="88">
        <v>0</v>
      </c>
      <c r="T137" s="88">
        <v>0</v>
      </c>
      <c r="U137" s="254" t="s">
        <v>99</v>
      </c>
    </row>
    <row r="138" spans="1:25" ht="16.5" hidden="1" x14ac:dyDescent="0.3">
      <c r="A138" s="223"/>
      <c r="B138" s="320"/>
      <c r="C138" s="308"/>
      <c r="D138" s="341" t="s">
        <v>82</v>
      </c>
      <c r="E138" s="19"/>
      <c r="F138" s="19"/>
      <c r="G138" s="17" t="s">
        <v>26</v>
      </c>
      <c r="H138" s="88">
        <v>308750</v>
      </c>
      <c r="I138" s="21"/>
      <c r="J138" s="249"/>
      <c r="K138" s="250"/>
      <c r="L138" s="259" t="s">
        <v>105</v>
      </c>
      <c r="M138" s="88">
        <v>308749.50219999999</v>
      </c>
      <c r="N138" s="88"/>
      <c r="O138" s="88"/>
      <c r="P138" s="88"/>
      <c r="Q138" s="88"/>
      <c r="R138" s="88">
        <v>308749.50219999999</v>
      </c>
      <c r="S138" s="88">
        <v>0</v>
      </c>
      <c r="T138" s="88">
        <v>0</v>
      </c>
      <c r="U138" s="254" t="s">
        <v>99</v>
      </c>
    </row>
    <row r="139" spans="1:25" ht="18" hidden="1" x14ac:dyDescent="0.3">
      <c r="A139" s="223"/>
      <c r="B139" s="320"/>
      <c r="C139" s="308"/>
      <c r="D139" s="335"/>
      <c r="E139" s="318"/>
      <c r="F139" s="318"/>
      <c r="G139" s="319"/>
      <c r="H139" s="21"/>
      <c r="I139" s="21"/>
      <c r="J139" s="249"/>
      <c r="K139" s="250"/>
      <c r="L139" s="251"/>
      <c r="M139" s="88"/>
      <c r="N139" s="88"/>
      <c r="O139" s="88"/>
      <c r="P139" s="88"/>
      <c r="Q139" s="88"/>
      <c r="R139" s="27"/>
      <c r="S139" s="88"/>
      <c r="T139" s="27"/>
      <c r="U139" s="254"/>
    </row>
    <row r="140" spans="1:25" ht="16.5" hidden="1" x14ac:dyDescent="0.3">
      <c r="A140" s="223"/>
      <c r="B140" s="320"/>
      <c r="C140" s="308" t="s">
        <v>40</v>
      </c>
      <c r="D140" s="341" t="s">
        <v>41</v>
      </c>
      <c r="E140" s="16"/>
      <c r="F140" s="24"/>
      <c r="G140" s="23"/>
      <c r="H140" s="34"/>
      <c r="I140" s="34"/>
      <c r="J140" s="249"/>
      <c r="K140" s="250"/>
      <c r="L140" s="251"/>
      <c r="M140" s="51"/>
      <c r="N140" s="68"/>
      <c r="O140" s="68"/>
      <c r="P140" s="68"/>
      <c r="Q140" s="68"/>
      <c r="R140" s="34"/>
      <c r="S140" s="268"/>
      <c r="T140" s="268"/>
      <c r="U140" s="254"/>
    </row>
    <row r="141" spans="1:25" ht="16.5" hidden="1" x14ac:dyDescent="0.3">
      <c r="A141" s="223"/>
      <c r="B141" s="320"/>
      <c r="C141" s="308"/>
      <c r="D141" s="341" t="s">
        <v>83</v>
      </c>
      <c r="E141" s="16"/>
      <c r="F141" s="24"/>
      <c r="G141" s="17" t="s">
        <v>25</v>
      </c>
      <c r="H141" s="27">
        <v>29596160000</v>
      </c>
      <c r="I141" s="34"/>
      <c r="J141" s="249"/>
      <c r="K141" s="250"/>
      <c r="L141" s="128">
        <v>1</v>
      </c>
      <c r="M141" s="27">
        <v>29518863836</v>
      </c>
      <c r="N141" s="27">
        <v>0</v>
      </c>
      <c r="O141" s="27">
        <v>0</v>
      </c>
      <c r="P141" s="27">
        <v>0</v>
      </c>
      <c r="Q141" s="27">
        <v>0</v>
      </c>
      <c r="R141" s="27">
        <f>+M141</f>
        <v>29518863836</v>
      </c>
      <c r="S141" s="27"/>
      <c r="T141" s="296">
        <v>0</v>
      </c>
      <c r="U141" s="254" t="s">
        <v>99</v>
      </c>
    </row>
    <row r="142" spans="1:25" ht="16.5" hidden="1" x14ac:dyDescent="0.3">
      <c r="A142" s="223"/>
      <c r="B142" s="320"/>
      <c r="C142" s="308"/>
      <c r="D142" s="346" t="s">
        <v>81</v>
      </c>
      <c r="E142" s="94"/>
      <c r="F142" s="79"/>
      <c r="G142" s="96" t="s">
        <v>25</v>
      </c>
      <c r="H142" s="80">
        <v>-77296160.699999928</v>
      </c>
      <c r="I142" s="97"/>
      <c r="J142" s="270"/>
      <c r="K142" s="271"/>
      <c r="L142" s="118"/>
      <c r="M142" s="80"/>
      <c r="N142" s="80"/>
      <c r="O142" s="80"/>
      <c r="P142" s="80"/>
      <c r="Q142" s="80"/>
      <c r="R142" s="80"/>
      <c r="S142" s="80"/>
      <c r="T142" s="80"/>
      <c r="U142" s="254"/>
    </row>
    <row r="143" spans="1:25" ht="16.5" hidden="1" x14ac:dyDescent="0.3">
      <c r="A143" s="223"/>
      <c r="B143" s="320"/>
      <c r="C143" s="308"/>
      <c r="D143" s="341" t="s">
        <v>76</v>
      </c>
      <c r="E143" s="16"/>
      <c r="F143" s="24"/>
      <c r="G143" s="17" t="s">
        <v>25</v>
      </c>
      <c r="H143" s="27">
        <f>SUBTOTAL(9,H141:H142)</f>
        <v>29518863839.299999</v>
      </c>
      <c r="I143" s="34"/>
      <c r="J143" s="249"/>
      <c r="K143" s="250"/>
      <c r="L143" s="117"/>
      <c r="M143" s="27">
        <f>SUBTOTAL(9,M141:M142)</f>
        <v>29518863836</v>
      </c>
      <c r="N143" s="27"/>
      <c r="O143" s="27"/>
      <c r="P143" s="27"/>
      <c r="Q143" s="27"/>
      <c r="R143" s="27">
        <f>SUBTOTAL(9,R141:R142)</f>
        <v>29518863836</v>
      </c>
      <c r="S143" s="27">
        <f>SUBTOTAL(9,S141:S142)</f>
        <v>0</v>
      </c>
      <c r="T143" s="27">
        <f>SUBTOTAL(9,T141:T142)</f>
        <v>0</v>
      </c>
      <c r="U143" s="254"/>
    </row>
    <row r="144" spans="1:25" ht="16.5" hidden="1" x14ac:dyDescent="0.3">
      <c r="A144" s="223"/>
      <c r="B144" s="320"/>
      <c r="C144" s="308"/>
      <c r="D144" s="341" t="s">
        <v>41</v>
      </c>
      <c r="E144" s="16"/>
      <c r="F144" s="24"/>
      <c r="G144" s="17" t="s">
        <v>26</v>
      </c>
      <c r="H144" s="34">
        <v>1071620</v>
      </c>
      <c r="I144" s="34"/>
      <c r="J144" s="249"/>
      <c r="K144" s="250"/>
      <c r="L144" s="128">
        <v>1</v>
      </c>
      <c r="M144" s="34">
        <v>1091805.6599999999</v>
      </c>
      <c r="N144" s="34">
        <v>0</v>
      </c>
      <c r="O144" s="34">
        <v>0</v>
      </c>
      <c r="P144" s="34">
        <v>0</v>
      </c>
      <c r="Q144" s="34">
        <v>0</v>
      </c>
      <c r="R144" s="34">
        <f>+M144</f>
        <v>1091805.6599999999</v>
      </c>
      <c r="S144" s="34"/>
      <c r="T144" s="296">
        <v>0</v>
      </c>
      <c r="U144" s="254" t="s">
        <v>99</v>
      </c>
    </row>
    <row r="145" spans="1:21" ht="16.5" hidden="1" x14ac:dyDescent="0.3">
      <c r="A145" s="223"/>
      <c r="B145" s="320"/>
      <c r="C145" s="308"/>
      <c r="D145" s="346" t="s">
        <v>127</v>
      </c>
      <c r="E145" s="94"/>
      <c r="F145" s="79"/>
      <c r="G145" s="96" t="s">
        <v>26</v>
      </c>
      <c r="H145" s="97">
        <v>20185.968000000001</v>
      </c>
      <c r="I145" s="97"/>
      <c r="J145" s="270"/>
      <c r="K145" s="271"/>
      <c r="L145" s="118"/>
      <c r="M145" s="97"/>
      <c r="N145" s="97"/>
      <c r="O145" s="97"/>
      <c r="P145" s="97"/>
      <c r="Q145" s="97"/>
      <c r="R145" s="97"/>
      <c r="S145" s="97"/>
      <c r="T145" s="97"/>
      <c r="U145" s="254"/>
    </row>
    <row r="146" spans="1:21" ht="16.5" hidden="1" x14ac:dyDescent="0.3">
      <c r="A146" s="223"/>
      <c r="B146" s="320"/>
      <c r="C146" s="308"/>
      <c r="D146" s="341" t="s">
        <v>76</v>
      </c>
      <c r="E146" s="16"/>
      <c r="F146" s="24"/>
      <c r="G146" s="17" t="str">
        <f>+G144</f>
        <v>USD</v>
      </c>
      <c r="H146" s="34">
        <f>SUBTOTAL(9,H144:H145)</f>
        <v>1091805.9680000001</v>
      </c>
      <c r="I146" s="34"/>
      <c r="J146" s="249"/>
      <c r="K146" s="250"/>
      <c r="L146" s="117"/>
      <c r="M146" s="34">
        <f>SUBTOTAL(9,M144:M145)</f>
        <v>1091805.6599999999</v>
      </c>
      <c r="N146" s="34"/>
      <c r="O146" s="34"/>
      <c r="P146" s="34"/>
      <c r="Q146" s="34"/>
      <c r="R146" s="34">
        <f>SUBTOTAL(9,R144:R145)</f>
        <v>1091805.6599999999</v>
      </c>
      <c r="S146" s="34">
        <f>SUBTOTAL(9,S144:S145)</f>
        <v>0</v>
      </c>
      <c r="T146" s="296">
        <v>0</v>
      </c>
      <c r="U146" s="254"/>
    </row>
    <row r="147" spans="1:21" ht="18" hidden="1" x14ac:dyDescent="0.3">
      <c r="A147" s="223"/>
      <c r="B147" s="320"/>
      <c r="C147" s="308"/>
      <c r="D147" s="335"/>
      <c r="E147" s="318"/>
      <c r="F147" s="318"/>
      <c r="G147" s="319"/>
      <c r="H147" s="21"/>
      <c r="I147" s="21"/>
      <c r="J147" s="249"/>
      <c r="K147" s="250"/>
      <c r="L147" s="251"/>
      <c r="M147" s="88"/>
      <c r="N147" s="88"/>
      <c r="O147" s="88"/>
      <c r="P147" s="88"/>
      <c r="Q147" s="88"/>
      <c r="R147" s="27"/>
      <c r="S147" s="88"/>
      <c r="T147" s="27"/>
      <c r="U147" s="254"/>
    </row>
    <row r="148" spans="1:21" ht="16.5" hidden="1" x14ac:dyDescent="0.3">
      <c r="A148" s="223"/>
      <c r="B148" s="320"/>
      <c r="C148" s="308" t="s">
        <v>113</v>
      </c>
      <c r="D148" s="341" t="str">
        <f>+[45]Sheet1!$C$9</f>
        <v>Pen : 037R1/APJ/MRK/UMUM/E/11-14</v>
      </c>
      <c r="E148" s="24"/>
      <c r="F148" s="24"/>
      <c r="G148" s="17" t="s">
        <v>25</v>
      </c>
      <c r="H148" s="27">
        <f>+[45]Sheet1!$G$14</f>
        <v>444900000</v>
      </c>
      <c r="I148" s="34"/>
      <c r="J148" s="249"/>
      <c r="K148" s="250"/>
      <c r="L148" s="128">
        <f>+[45]Sheet1!$K$14</f>
        <v>1</v>
      </c>
      <c r="M148" s="27">
        <f>+[45]Sheet1!$L$14</f>
        <v>444900000</v>
      </c>
      <c r="N148" s="34"/>
      <c r="O148" s="34"/>
      <c r="P148" s="34"/>
      <c r="Q148" s="34"/>
      <c r="R148" s="27">
        <f>+[45]Sheet1!$Q$14</f>
        <v>444900000</v>
      </c>
      <c r="S148" s="27">
        <v>0</v>
      </c>
      <c r="T148" s="27">
        <f>+[45]Sheet1!$S$14</f>
        <v>0</v>
      </c>
      <c r="U148" s="254" t="s">
        <v>99</v>
      </c>
    </row>
    <row r="149" spans="1:21" ht="16.5" hidden="1" x14ac:dyDescent="0.3">
      <c r="A149" s="223"/>
      <c r="B149" s="320"/>
      <c r="C149" s="308"/>
      <c r="D149" s="341" t="str">
        <f>+[45]Sheet1!$C$11</f>
        <v>AULA SEKOLAH SANTO YACOBUS</v>
      </c>
      <c r="E149" s="24"/>
      <c r="F149" s="24"/>
      <c r="G149" s="17" t="s">
        <v>26</v>
      </c>
      <c r="H149" s="34">
        <f>+[45]Sheet1!$G$21</f>
        <v>29400</v>
      </c>
      <c r="I149" s="34"/>
      <c r="J149" s="249"/>
      <c r="K149" s="250"/>
      <c r="L149" s="128">
        <f>+[45]Sheet1!$K$21</f>
        <v>1</v>
      </c>
      <c r="M149" s="34">
        <f>+[45]Sheet1!$L$21</f>
        <v>29400</v>
      </c>
      <c r="N149" s="34"/>
      <c r="O149" s="34"/>
      <c r="P149" s="34"/>
      <c r="Q149" s="34"/>
      <c r="R149" s="34">
        <f>+[45]Sheet1!$Q$21</f>
        <v>29400</v>
      </c>
      <c r="S149" s="27">
        <v>0</v>
      </c>
      <c r="T149" s="34">
        <f>+[45]Sheet1!$S$21</f>
        <v>0</v>
      </c>
      <c r="U149" s="254" t="s">
        <v>99</v>
      </c>
    </row>
    <row r="150" spans="1:21" ht="16.5" hidden="1" x14ac:dyDescent="0.3">
      <c r="A150" s="223"/>
      <c r="B150" s="320"/>
      <c r="C150" s="308"/>
      <c r="D150" s="342"/>
      <c r="E150" s="24"/>
      <c r="F150" s="24"/>
      <c r="G150" s="17"/>
      <c r="H150" s="34"/>
      <c r="I150" s="34"/>
      <c r="J150" s="249"/>
      <c r="K150" s="269"/>
      <c r="L150" s="117"/>
      <c r="M150" s="34"/>
      <c r="N150" s="34"/>
      <c r="O150" s="34"/>
      <c r="P150" s="34"/>
      <c r="Q150" s="34"/>
      <c r="R150" s="34"/>
      <c r="S150" s="34"/>
      <c r="T150" s="34"/>
      <c r="U150" s="254"/>
    </row>
    <row r="151" spans="1:21" ht="16.5" hidden="1" x14ac:dyDescent="0.3">
      <c r="A151" s="223"/>
      <c r="B151" s="320"/>
      <c r="C151" s="308" t="s">
        <v>97</v>
      </c>
      <c r="D151" s="341" t="s">
        <v>44</v>
      </c>
      <c r="E151" s="24"/>
      <c r="F151" s="24"/>
      <c r="G151" s="17"/>
      <c r="H151" s="34"/>
      <c r="I151" s="34"/>
      <c r="J151" s="249"/>
      <c r="K151" s="269"/>
      <c r="L151" s="117"/>
      <c r="M151" s="34"/>
      <c r="N151" s="34"/>
      <c r="O151" s="34"/>
      <c r="P151" s="34"/>
      <c r="Q151" s="34"/>
      <c r="R151" s="34"/>
      <c r="S151" s="34"/>
      <c r="T151" s="34"/>
      <c r="U151" s="254"/>
    </row>
    <row r="152" spans="1:21" ht="16.5" hidden="1" x14ac:dyDescent="0.3">
      <c r="A152" s="223"/>
      <c r="B152" s="320"/>
      <c r="C152" s="308"/>
      <c r="D152" s="341" t="s">
        <v>85</v>
      </c>
      <c r="E152" s="24"/>
      <c r="F152" s="24"/>
      <c r="G152" s="17" t="s">
        <v>25</v>
      </c>
      <c r="H152" s="27">
        <v>11633500000</v>
      </c>
      <c r="I152" s="34"/>
      <c r="J152" s="249"/>
      <c r="K152" s="250"/>
      <c r="L152" s="174" t="s">
        <v>205</v>
      </c>
      <c r="M152" s="27">
        <v>11633500000</v>
      </c>
      <c r="N152" s="27">
        <v>19305392798.900002</v>
      </c>
      <c r="O152" s="27">
        <v>19305392798.900002</v>
      </c>
      <c r="P152" s="27">
        <v>19305392798.900002</v>
      </c>
      <c r="Q152" s="27">
        <v>19305392798.900002</v>
      </c>
      <c r="R152" s="27">
        <v>11633500000</v>
      </c>
      <c r="S152" s="27">
        <v>0</v>
      </c>
      <c r="T152" s="27">
        <v>0</v>
      </c>
      <c r="U152" s="254" t="s">
        <v>99</v>
      </c>
    </row>
    <row r="153" spans="1:21" ht="16.5" hidden="1" x14ac:dyDescent="0.3">
      <c r="A153" s="223"/>
      <c r="B153" s="320"/>
      <c r="C153" s="308"/>
      <c r="D153" s="341" t="s">
        <v>80</v>
      </c>
      <c r="E153" s="24"/>
      <c r="F153" s="24"/>
      <c r="G153" s="17" t="s">
        <v>25</v>
      </c>
      <c r="H153" s="27">
        <v>7671892798.8999996</v>
      </c>
      <c r="I153" s="34"/>
      <c r="J153" s="249"/>
      <c r="K153" s="250"/>
      <c r="L153" s="128" t="s">
        <v>205</v>
      </c>
      <c r="M153" s="27">
        <v>7671892799.3800001</v>
      </c>
      <c r="N153" s="27"/>
      <c r="O153" s="27"/>
      <c r="P153" s="27"/>
      <c r="Q153" s="27"/>
      <c r="R153" s="27">
        <v>7671892799.3800001</v>
      </c>
      <c r="S153" s="27">
        <v>0</v>
      </c>
      <c r="T153" s="27">
        <v>0</v>
      </c>
      <c r="U153" s="254" t="s">
        <v>99</v>
      </c>
    </row>
    <row r="154" spans="1:21" ht="16.5" hidden="1" x14ac:dyDescent="0.3">
      <c r="A154" s="223"/>
      <c r="B154" s="320"/>
      <c r="C154" s="308"/>
      <c r="D154" s="341" t="s">
        <v>160</v>
      </c>
      <c r="E154" s="24"/>
      <c r="F154" s="24"/>
      <c r="G154" s="17" t="s">
        <v>25</v>
      </c>
      <c r="H154" s="184">
        <v>528808500</v>
      </c>
      <c r="I154" s="185"/>
      <c r="J154" s="313"/>
      <c r="K154" s="314"/>
      <c r="L154" s="188" t="s">
        <v>205</v>
      </c>
      <c r="M154" s="184">
        <v>528808500</v>
      </c>
      <c r="N154" s="184">
        <v>0</v>
      </c>
      <c r="O154" s="184">
        <v>0</v>
      </c>
      <c r="P154" s="184">
        <v>0</v>
      </c>
      <c r="Q154" s="184">
        <v>0</v>
      </c>
      <c r="R154" s="184">
        <v>528808500</v>
      </c>
      <c r="S154" s="184">
        <v>0</v>
      </c>
      <c r="T154" s="27">
        <v>0</v>
      </c>
      <c r="U154" s="254" t="s">
        <v>99</v>
      </c>
    </row>
    <row r="155" spans="1:21" ht="16.5" hidden="1" x14ac:dyDescent="0.3">
      <c r="A155" s="223"/>
      <c r="B155" s="320"/>
      <c r="C155" s="308"/>
      <c r="D155" s="347" t="s">
        <v>161</v>
      </c>
      <c r="E155" s="176"/>
      <c r="F155" s="176"/>
      <c r="G155" s="177" t="s">
        <v>25</v>
      </c>
      <c r="H155" s="80">
        <v>68442000</v>
      </c>
      <c r="I155" s="97"/>
      <c r="J155" s="270"/>
      <c r="K155" s="271"/>
      <c r="L155" s="131" t="s">
        <v>205</v>
      </c>
      <c r="M155" s="80">
        <v>68442000</v>
      </c>
      <c r="N155" s="80"/>
      <c r="O155" s="80"/>
      <c r="P155" s="80"/>
      <c r="Q155" s="80"/>
      <c r="R155" s="80">
        <v>68442000</v>
      </c>
      <c r="S155" s="80">
        <v>0</v>
      </c>
      <c r="T155" s="80">
        <v>0</v>
      </c>
      <c r="U155" s="254"/>
    </row>
    <row r="156" spans="1:21" ht="16.5" hidden="1" x14ac:dyDescent="0.3">
      <c r="A156" s="223"/>
      <c r="B156" s="320"/>
      <c r="C156" s="308"/>
      <c r="D156" s="341" t="s">
        <v>76</v>
      </c>
      <c r="E156" s="24"/>
      <c r="F156" s="24"/>
      <c r="G156" s="17" t="s">
        <v>25</v>
      </c>
      <c r="H156" s="27">
        <v>19902643298.900002</v>
      </c>
      <c r="I156" s="34"/>
      <c r="J156" s="249"/>
      <c r="K156" s="250"/>
      <c r="L156" s="117"/>
      <c r="M156" s="27">
        <v>19902643299.380001</v>
      </c>
      <c r="N156" s="27">
        <v>19305392798.900002</v>
      </c>
      <c r="O156" s="27">
        <v>19305392798.900002</v>
      </c>
      <c r="P156" s="27">
        <v>19305392798.900002</v>
      </c>
      <c r="Q156" s="27">
        <v>19305392798.900002</v>
      </c>
      <c r="R156" s="27">
        <v>19902643299.380001</v>
      </c>
      <c r="S156" s="27">
        <v>0</v>
      </c>
      <c r="T156" s="27">
        <v>0</v>
      </c>
      <c r="U156" s="276" t="s">
        <v>99</v>
      </c>
    </row>
    <row r="157" spans="1:21" ht="16.5" hidden="1" x14ac:dyDescent="0.3">
      <c r="A157" s="223"/>
      <c r="B157" s="320"/>
      <c r="C157" s="308"/>
      <c r="D157" s="341"/>
      <c r="E157" s="24"/>
      <c r="F157" s="24"/>
      <c r="G157" s="17"/>
      <c r="H157" s="34"/>
      <c r="I157" s="34"/>
      <c r="J157" s="249"/>
      <c r="K157" s="250"/>
      <c r="L157" s="117"/>
      <c r="M157" s="34"/>
      <c r="N157" s="34"/>
      <c r="O157" s="34"/>
      <c r="P157" s="34"/>
      <c r="Q157" s="34"/>
      <c r="R157" s="34"/>
      <c r="S157" s="34"/>
      <c r="T157" s="27"/>
      <c r="U157" s="254"/>
    </row>
    <row r="158" spans="1:21" ht="16.5" hidden="1" x14ac:dyDescent="0.3">
      <c r="A158" s="223"/>
      <c r="B158" s="320"/>
      <c r="C158" s="308"/>
      <c r="D158" s="341" t="s">
        <v>44</v>
      </c>
      <c r="E158" s="24"/>
      <c r="F158" s="24"/>
      <c r="G158" s="17"/>
      <c r="H158" s="34"/>
      <c r="I158" s="34"/>
      <c r="J158" s="249"/>
      <c r="K158" s="250"/>
      <c r="L158" s="117"/>
      <c r="M158" s="34"/>
      <c r="N158" s="34"/>
      <c r="O158" s="34"/>
      <c r="P158" s="34"/>
      <c r="Q158" s="34"/>
      <c r="R158" s="34"/>
      <c r="S158" s="34"/>
      <c r="T158" s="34"/>
      <c r="U158" s="254"/>
    </row>
    <row r="159" spans="1:21" ht="16.5" hidden="1" x14ac:dyDescent="0.3">
      <c r="A159" s="223"/>
      <c r="B159" s="320"/>
      <c r="C159" s="308"/>
      <c r="D159" s="341" t="s">
        <v>85</v>
      </c>
      <c r="E159" s="24"/>
      <c r="F159" s="24"/>
      <c r="G159" s="17" t="s">
        <v>26</v>
      </c>
      <c r="H159" s="122">
        <v>971000</v>
      </c>
      <c r="I159" s="34"/>
      <c r="J159" s="249"/>
      <c r="K159" s="250"/>
      <c r="L159" s="128" t="s">
        <v>205</v>
      </c>
      <c r="M159" s="34">
        <v>971000</v>
      </c>
      <c r="N159" s="34">
        <v>0</v>
      </c>
      <c r="O159" s="34">
        <v>0</v>
      </c>
      <c r="P159" s="34">
        <v>0</v>
      </c>
      <c r="Q159" s="34">
        <v>0</v>
      </c>
      <c r="R159" s="34">
        <v>971000</v>
      </c>
      <c r="S159" s="34">
        <v>0</v>
      </c>
      <c r="T159" s="34">
        <v>0</v>
      </c>
      <c r="U159" s="254" t="s">
        <v>99</v>
      </c>
    </row>
    <row r="160" spans="1:21" ht="16.5" hidden="1" x14ac:dyDescent="0.3">
      <c r="A160" s="223"/>
      <c r="B160" s="320"/>
      <c r="C160" s="308"/>
      <c r="D160" s="346" t="s">
        <v>80</v>
      </c>
      <c r="E160" s="79"/>
      <c r="F160" s="79"/>
      <c r="G160" s="96" t="s">
        <v>26</v>
      </c>
      <c r="H160" s="97">
        <v>95530.214999999997</v>
      </c>
      <c r="I160" s="97"/>
      <c r="J160" s="270"/>
      <c r="K160" s="271"/>
      <c r="L160" s="131" t="s">
        <v>205</v>
      </c>
      <c r="M160" s="97">
        <v>95529.82925000001</v>
      </c>
      <c r="N160" s="97">
        <v>0</v>
      </c>
      <c r="O160" s="97">
        <v>0</v>
      </c>
      <c r="P160" s="97">
        <v>0</v>
      </c>
      <c r="Q160" s="97">
        <v>0</v>
      </c>
      <c r="R160" s="97">
        <v>95529.82925000001</v>
      </c>
      <c r="S160" s="97">
        <v>0</v>
      </c>
      <c r="T160" s="97">
        <v>0</v>
      </c>
      <c r="U160" s="254" t="s">
        <v>99</v>
      </c>
    </row>
    <row r="161" spans="1:25" ht="16.5" hidden="1" x14ac:dyDescent="0.3">
      <c r="A161" s="223"/>
      <c r="B161" s="320"/>
      <c r="C161" s="308"/>
      <c r="D161" s="346" t="s">
        <v>76</v>
      </c>
      <c r="E161" s="79"/>
      <c r="F161" s="79"/>
      <c r="G161" s="96" t="s">
        <v>26</v>
      </c>
      <c r="H161" s="123">
        <v>1066530.2150000001</v>
      </c>
      <c r="I161" s="97"/>
      <c r="J161" s="270"/>
      <c r="K161" s="271"/>
      <c r="L161" s="118"/>
      <c r="M161" s="97">
        <v>1066529.82925</v>
      </c>
      <c r="N161" s="97"/>
      <c r="O161" s="97"/>
      <c r="P161" s="97"/>
      <c r="Q161" s="97"/>
      <c r="R161" s="97">
        <v>1066529.82925</v>
      </c>
      <c r="S161" s="97">
        <v>0</v>
      </c>
      <c r="T161" s="97">
        <v>0</v>
      </c>
      <c r="U161" s="275" t="s">
        <v>99</v>
      </c>
    </row>
    <row r="162" spans="1:25" ht="16.5" hidden="1" x14ac:dyDescent="0.3">
      <c r="A162" s="223"/>
      <c r="B162" s="320"/>
      <c r="C162" s="308"/>
      <c r="D162" s="341"/>
      <c r="E162" s="24"/>
      <c r="F162" s="24"/>
      <c r="G162" s="17"/>
      <c r="H162" s="34"/>
      <c r="I162" s="34"/>
      <c r="J162" s="249"/>
      <c r="K162" s="250"/>
      <c r="L162" s="117"/>
      <c r="M162" s="34"/>
      <c r="N162" s="34"/>
      <c r="O162" s="34"/>
      <c r="P162" s="34"/>
      <c r="Q162" s="34"/>
      <c r="R162" s="34"/>
      <c r="S162" s="34"/>
      <c r="T162" s="34"/>
      <c r="U162" s="254"/>
    </row>
    <row r="163" spans="1:25" ht="16.5" hidden="1" x14ac:dyDescent="0.3">
      <c r="A163" s="223"/>
      <c r="B163" s="320"/>
      <c r="C163" s="308" t="s">
        <v>64</v>
      </c>
      <c r="D163" s="341" t="s">
        <v>65</v>
      </c>
      <c r="E163" s="24"/>
      <c r="F163" s="24"/>
      <c r="G163" s="17" t="s">
        <v>25</v>
      </c>
      <c r="H163" s="27">
        <v>1766414716</v>
      </c>
      <c r="I163" s="34"/>
      <c r="J163" s="249"/>
      <c r="K163" s="250"/>
      <c r="L163" s="259">
        <v>1</v>
      </c>
      <c r="M163" s="27">
        <v>1766414716</v>
      </c>
      <c r="N163" s="27">
        <v>0</v>
      </c>
      <c r="O163" s="27">
        <v>0</v>
      </c>
      <c r="P163" s="27">
        <v>0</v>
      </c>
      <c r="Q163" s="27">
        <v>0</v>
      </c>
      <c r="R163" s="27">
        <v>1766414716</v>
      </c>
      <c r="S163" s="27">
        <v>0</v>
      </c>
      <c r="T163" s="27">
        <v>0</v>
      </c>
      <c r="U163" s="254" t="s">
        <v>99</v>
      </c>
    </row>
    <row r="164" spans="1:25" ht="16.5" x14ac:dyDescent="0.3">
      <c r="A164" s="223">
        <f>+A135+1</f>
        <v>3</v>
      </c>
      <c r="B164" s="14"/>
      <c r="C164" s="308" t="s">
        <v>34</v>
      </c>
      <c r="D164" s="341" t="s">
        <v>35</v>
      </c>
      <c r="E164" s="16" t="s">
        <v>135</v>
      </c>
      <c r="F164" s="16"/>
      <c r="G164" s="17" t="s">
        <v>25</v>
      </c>
      <c r="H164" s="21">
        <f>+[46]Sheet1!$G$24</f>
        <v>4135106851.7000008</v>
      </c>
      <c r="I164" s="27"/>
      <c r="J164" s="249"/>
      <c r="K164" s="250"/>
      <c r="L164" s="150" t="str">
        <f>+[46]Sheet1!$L$24</f>
        <v>FA</v>
      </c>
      <c r="M164" s="21">
        <f>+[46]Sheet1!M24</f>
        <v>4135106853</v>
      </c>
      <c r="N164" s="88"/>
      <c r="O164" s="88"/>
      <c r="P164" s="88"/>
      <c r="Q164" s="88"/>
      <c r="R164" s="21">
        <f>+[46]Sheet1!R24</f>
        <v>4043155707</v>
      </c>
      <c r="S164" s="21">
        <f>+[46]Sheet1!S24</f>
        <v>91951146</v>
      </c>
      <c r="T164" s="21">
        <f>+[46]Sheet1!T24</f>
        <v>-1.2999992370605469</v>
      </c>
      <c r="U164" s="254"/>
      <c r="V164" s="272">
        <f>+H164-W164</f>
        <v>-594893148.29999924</v>
      </c>
      <c r="W164" s="93">
        <v>4730000000</v>
      </c>
      <c r="X164" s="93">
        <v>3188095919</v>
      </c>
      <c r="Y164" s="93">
        <v>3077769378</v>
      </c>
    </row>
    <row r="165" spans="1:25" ht="16.5" x14ac:dyDescent="0.3">
      <c r="A165" s="223">
        <f t="shared" si="1"/>
        <v>4</v>
      </c>
      <c r="B165" s="14"/>
      <c r="C165" s="308"/>
      <c r="D165" s="341" t="s">
        <v>35</v>
      </c>
      <c r="E165" s="16"/>
      <c r="F165" s="16"/>
      <c r="G165" s="17" t="s">
        <v>26</v>
      </c>
      <c r="H165" s="34">
        <f>+[46]Sheet1!$G$36</f>
        <v>91005.717000000004</v>
      </c>
      <c r="I165" s="27"/>
      <c r="J165" s="249"/>
      <c r="K165" s="250"/>
      <c r="L165" s="117">
        <f>+[46]Sheet1!$L$36</f>
        <v>0.98372199999999999</v>
      </c>
      <c r="M165" s="34">
        <f>+[46]Sheet1!M36</f>
        <v>91005</v>
      </c>
      <c r="N165" s="68"/>
      <c r="O165" s="68"/>
      <c r="P165" s="68"/>
      <c r="Q165" s="68"/>
      <c r="R165" s="34">
        <f>+[46]Sheet1!R36</f>
        <v>86606</v>
      </c>
      <c r="S165" s="34">
        <f>+[46]Sheet1!S36</f>
        <v>4399</v>
      </c>
      <c r="T165" s="34">
        <f>+[46]Sheet1!T36</f>
        <v>0.71700000000419095</v>
      </c>
      <c r="U165" s="254"/>
      <c r="V165" s="272">
        <f t="shared" ref="V165:V194" si="2">+H165-W165</f>
        <v>3005.7170000000042</v>
      </c>
      <c r="W165" s="93">
        <v>88000</v>
      </c>
      <c r="X165" s="93">
        <v>79368</v>
      </c>
      <c r="Y165" s="93">
        <v>78648</v>
      </c>
    </row>
    <row r="166" spans="1:25" ht="16.5" x14ac:dyDescent="0.3">
      <c r="A166" s="223">
        <f t="shared" si="1"/>
        <v>5</v>
      </c>
      <c r="B166" s="14"/>
      <c r="C166" s="308" t="s">
        <v>135</v>
      </c>
      <c r="D166" s="342"/>
      <c r="E166" s="24"/>
      <c r="F166" s="24"/>
      <c r="G166" s="25"/>
      <c r="H166" s="21" t="s">
        <v>135</v>
      </c>
      <c r="I166" s="21"/>
      <c r="J166" s="249" t="s">
        <v>16</v>
      </c>
      <c r="K166" s="250">
        <v>42241</v>
      </c>
      <c r="L166" s="251"/>
      <c r="M166" s="88"/>
      <c r="N166" s="88"/>
      <c r="O166" s="88"/>
      <c r="P166" s="88"/>
      <c r="Q166" s="88"/>
      <c r="R166" s="27"/>
      <c r="S166" s="88"/>
      <c r="T166" s="27"/>
      <c r="U166" s="254"/>
      <c r="V166" s="272" t="e">
        <f t="shared" si="2"/>
        <v>#VALUE!</v>
      </c>
    </row>
    <row r="167" spans="1:25" ht="16.5" hidden="1" x14ac:dyDescent="0.3">
      <c r="A167" s="223">
        <f t="shared" si="1"/>
        <v>6</v>
      </c>
      <c r="B167" s="14"/>
      <c r="C167" s="308" t="s">
        <v>38</v>
      </c>
      <c r="D167" s="341" t="s">
        <v>39</v>
      </c>
      <c r="E167" s="24"/>
      <c r="F167" s="24"/>
      <c r="G167" s="17" t="s">
        <v>25</v>
      </c>
      <c r="H167" s="27">
        <f>+[47]Sheet1!$G$31</f>
        <v>63744748874.400002</v>
      </c>
      <c r="I167" s="34"/>
      <c r="J167" s="249"/>
      <c r="K167" s="250"/>
      <c r="L167" s="251" t="str">
        <f>+[47]Sheet1!L30</f>
        <v>Ret-5%</v>
      </c>
      <c r="M167" s="67">
        <f>+[47]Sheet1!M31</f>
        <v>63744748872</v>
      </c>
      <c r="N167" s="268"/>
      <c r="O167" s="268"/>
      <c r="P167" s="268"/>
      <c r="Q167" s="268"/>
      <c r="R167" s="67">
        <f>+[47]Sheet1!R31</f>
        <v>63744748872</v>
      </c>
      <c r="S167" s="67">
        <f>+[47]Sheet1!S31</f>
        <v>0</v>
      </c>
      <c r="T167" s="67"/>
      <c r="U167" s="254" t="s">
        <v>99</v>
      </c>
      <c r="V167" s="272">
        <f>+H136-W167</f>
        <v>0</v>
      </c>
    </row>
    <row r="168" spans="1:25" ht="16.5" hidden="1" x14ac:dyDescent="0.3">
      <c r="A168" s="223">
        <f t="shared" si="1"/>
        <v>7</v>
      </c>
      <c r="B168" s="14"/>
      <c r="C168" s="308"/>
      <c r="D168" s="341" t="s">
        <v>39</v>
      </c>
      <c r="E168" s="24"/>
      <c r="F168" s="24"/>
      <c r="G168" s="17" t="s">
        <v>26</v>
      </c>
      <c r="H168" s="34">
        <v>2797934</v>
      </c>
      <c r="I168" s="34"/>
      <c r="J168" s="249"/>
      <c r="K168" s="250"/>
      <c r="L168" s="251" t="str">
        <f>+[47]Sheet1!L55</f>
        <v>Ret-5%</v>
      </c>
      <c r="M168" s="68">
        <f>+[47]Sheet1!M56</f>
        <v>2797934.47</v>
      </c>
      <c r="N168" s="68"/>
      <c r="O168" s="68"/>
      <c r="P168" s="68"/>
      <c r="Q168" s="68"/>
      <c r="R168" s="68">
        <f>+[48]Sheet1!$R$56</f>
        <v>2797934.47</v>
      </c>
      <c r="S168" s="68">
        <f>+[47]Sheet1!S56</f>
        <v>0</v>
      </c>
      <c r="T168" s="68"/>
      <c r="U168" s="254" t="s">
        <v>99</v>
      </c>
      <c r="V168" s="272">
        <f>+H137-W168</f>
        <v>0</v>
      </c>
      <c r="W168" s="93">
        <v>19431220000</v>
      </c>
      <c r="X168" s="93">
        <v>18459659000.079998</v>
      </c>
      <c r="Y168" s="93">
        <v>18459659000.079998</v>
      </c>
    </row>
    <row r="169" spans="1:25" ht="16.5" hidden="1" x14ac:dyDescent="0.3">
      <c r="A169" s="223">
        <f t="shared" si="1"/>
        <v>8</v>
      </c>
      <c r="B169" s="14"/>
      <c r="C169" s="308"/>
      <c r="D169" s="342"/>
      <c r="E169" s="24"/>
      <c r="F169" s="24"/>
      <c r="G169" s="23"/>
      <c r="H169" s="34"/>
      <c r="I169" s="34"/>
      <c r="J169" s="249"/>
      <c r="K169" s="250"/>
      <c r="L169" s="251"/>
      <c r="M169" s="51"/>
      <c r="N169" s="68"/>
      <c r="O169" s="68"/>
      <c r="P169" s="68"/>
      <c r="Q169" s="68"/>
      <c r="R169" s="34"/>
      <c r="S169" s="268"/>
      <c r="T169" s="268"/>
      <c r="U169" s="268"/>
      <c r="V169" s="272">
        <f>+H138-W169</f>
        <v>0</v>
      </c>
      <c r="W169" s="93">
        <v>308750</v>
      </c>
      <c r="X169" s="93">
        <v>293312.50219999999</v>
      </c>
      <c r="Y169" s="93">
        <v>293312.50219999999</v>
      </c>
    </row>
    <row r="170" spans="1:25" ht="16.5" hidden="1" x14ac:dyDescent="0.3">
      <c r="A170" s="223">
        <f t="shared" si="1"/>
        <v>9</v>
      </c>
      <c r="B170" s="14"/>
      <c r="C170" s="308" t="s">
        <v>42</v>
      </c>
      <c r="D170" s="341" t="s">
        <v>43</v>
      </c>
      <c r="E170" s="24"/>
      <c r="F170" s="24"/>
      <c r="G170" s="23"/>
      <c r="H170" s="34"/>
      <c r="I170" s="34"/>
      <c r="J170" s="249"/>
      <c r="K170" s="250"/>
      <c r="L170" s="251"/>
      <c r="M170" s="51"/>
      <c r="N170" s="68"/>
      <c r="O170" s="68"/>
      <c r="P170" s="68"/>
      <c r="Q170" s="68"/>
      <c r="R170" s="34"/>
      <c r="S170" s="268"/>
      <c r="T170" s="268"/>
      <c r="U170" s="268"/>
      <c r="V170" s="272" t="e">
        <f>+#REF!-W170</f>
        <v>#REF!</v>
      </c>
    </row>
    <row r="171" spans="1:25" ht="16.5" hidden="1" x14ac:dyDescent="0.3">
      <c r="A171" s="223">
        <f t="shared" si="1"/>
        <v>10</v>
      </c>
      <c r="B171" s="14"/>
      <c r="C171" s="308"/>
      <c r="D171" s="341" t="s">
        <v>84</v>
      </c>
      <c r="E171" s="24"/>
      <c r="F171" s="24"/>
      <c r="G171" s="17" t="s">
        <v>25</v>
      </c>
      <c r="H171" s="27">
        <f>+[2]Sheet1!G7</f>
        <v>25795000000</v>
      </c>
      <c r="I171" s="34"/>
      <c r="J171" s="249"/>
      <c r="K171" s="250"/>
      <c r="L171" s="117">
        <f>+[2]Sheet1!K32</f>
        <v>1</v>
      </c>
      <c r="M171" s="27">
        <f>+[2]Sheet1!L32</f>
        <v>28691127373</v>
      </c>
      <c r="N171" s="27">
        <f>+[2]Sheet1!$G$21</f>
        <v>86458262</v>
      </c>
      <c r="O171" s="27">
        <f>+[2]Sheet1!$G$21</f>
        <v>86458262</v>
      </c>
      <c r="P171" s="27">
        <f>+[2]Sheet1!$G$21</f>
        <v>86458262</v>
      </c>
      <c r="Q171" s="27">
        <f>+[2]Sheet1!$G$21</f>
        <v>86458262</v>
      </c>
      <c r="R171" s="27">
        <f>+[2]Sheet1!Q32</f>
        <v>28691127373</v>
      </c>
      <c r="S171" s="27">
        <f>+[2]Sheet1!R32</f>
        <v>0</v>
      </c>
      <c r="T171" s="27" t="str">
        <f>+[2]Sheet1!S32</f>
        <v>LUNAS</v>
      </c>
      <c r="U171" s="254" t="s">
        <v>99</v>
      </c>
      <c r="V171" s="272">
        <f>+H167-W171</f>
        <v>-2783825812.9000015</v>
      </c>
      <c r="W171" s="93">
        <v>66528574687.300003</v>
      </c>
      <c r="X171" s="93">
        <v>56133729342</v>
      </c>
      <c r="Y171" s="93">
        <v>55551639592</v>
      </c>
    </row>
    <row r="172" spans="1:25" ht="16.5" hidden="1" x14ac:dyDescent="0.3">
      <c r="A172" s="223">
        <f t="shared" si="1"/>
        <v>11</v>
      </c>
      <c r="B172" s="14"/>
      <c r="C172" s="308"/>
      <c r="D172" s="346" t="s">
        <v>80</v>
      </c>
      <c r="E172" s="79"/>
      <c r="F172" s="79"/>
      <c r="G172" s="96" t="s">
        <v>25</v>
      </c>
      <c r="H172" s="80">
        <f>+[2]Sheet1!$G$26</f>
        <v>2896126532.2000003</v>
      </c>
      <c r="I172" s="97"/>
      <c r="J172" s="270"/>
      <c r="K172" s="273"/>
      <c r="L172" s="118"/>
      <c r="M172" s="80"/>
      <c r="N172" s="80"/>
      <c r="O172" s="80"/>
      <c r="P172" s="80"/>
      <c r="Q172" s="80"/>
      <c r="R172" s="80"/>
      <c r="S172" s="80"/>
      <c r="T172" s="80"/>
      <c r="U172" s="254"/>
      <c r="V172" s="272">
        <f>+H168-W172</f>
        <v>-15187.598999999929</v>
      </c>
      <c r="W172" s="93">
        <v>2813121.5989999999</v>
      </c>
      <c r="X172" s="93">
        <v>2567100</v>
      </c>
      <c r="Y172" s="93">
        <v>2566616.5499999998</v>
      </c>
    </row>
    <row r="173" spans="1:25" ht="16.5" hidden="1" x14ac:dyDescent="0.3">
      <c r="A173" s="223">
        <f t="shared" si="1"/>
        <v>12</v>
      </c>
      <c r="B173" s="14"/>
      <c r="C173" s="308"/>
      <c r="D173" s="341" t="s">
        <v>76</v>
      </c>
      <c r="E173" s="24"/>
      <c r="F173" s="24"/>
      <c r="G173" s="17" t="s">
        <v>25</v>
      </c>
      <c r="H173" s="27">
        <f>SUBTOTAL(9,H171:H172)</f>
        <v>28691126532.200001</v>
      </c>
      <c r="I173" s="34"/>
      <c r="J173" s="249"/>
      <c r="K173" s="274"/>
      <c r="L173" s="117"/>
      <c r="M173" s="27">
        <f>SUBTOTAL(9,M171:M172)</f>
        <v>28691127373</v>
      </c>
      <c r="N173" s="27"/>
      <c r="O173" s="27"/>
      <c r="P173" s="27"/>
      <c r="Q173" s="27"/>
      <c r="R173" s="27">
        <f>SUBTOTAL(9,R171:R172)</f>
        <v>28691127373</v>
      </c>
      <c r="S173" s="27">
        <f>SUBTOTAL(9,S171:S172)</f>
        <v>0</v>
      </c>
      <c r="T173" s="27">
        <f>SUBTOTAL(9,T171:T172)</f>
        <v>0</v>
      </c>
      <c r="U173" s="254"/>
      <c r="V173" s="272">
        <f>+H169-W173</f>
        <v>0</v>
      </c>
    </row>
    <row r="174" spans="1:25" ht="16.5" hidden="1" x14ac:dyDescent="0.3">
      <c r="A174" s="223" t="e">
        <f>+#REF!+1</f>
        <v>#REF!</v>
      </c>
      <c r="B174" s="14"/>
      <c r="C174" s="308"/>
      <c r="D174" s="342"/>
      <c r="E174" s="24"/>
      <c r="F174" s="24"/>
      <c r="G174" s="23"/>
      <c r="H174" s="34"/>
      <c r="I174" s="34"/>
      <c r="J174" s="249"/>
      <c r="K174" s="250"/>
      <c r="L174" s="251"/>
      <c r="M174" s="51"/>
      <c r="N174" s="68"/>
      <c r="O174" s="68"/>
      <c r="P174" s="68"/>
      <c r="Q174" s="68"/>
      <c r="R174" s="34"/>
      <c r="S174" s="268"/>
      <c r="T174" s="268"/>
      <c r="U174" s="254"/>
      <c r="V174" s="272">
        <f t="shared" si="2"/>
        <v>0</v>
      </c>
    </row>
    <row r="175" spans="1:25" ht="16.5" hidden="1" x14ac:dyDescent="0.3">
      <c r="A175" s="223"/>
      <c r="B175" s="76"/>
      <c r="C175" s="310"/>
      <c r="D175" s="348"/>
      <c r="E175" s="79"/>
      <c r="F175" s="79"/>
      <c r="G175" s="147"/>
      <c r="H175" s="97"/>
      <c r="I175" s="97"/>
      <c r="J175" s="270"/>
      <c r="K175" s="271"/>
      <c r="L175" s="283"/>
      <c r="M175" s="209"/>
      <c r="N175" s="323"/>
      <c r="O175" s="323"/>
      <c r="P175" s="323"/>
      <c r="Q175" s="323"/>
      <c r="R175" s="97"/>
      <c r="S175" s="287"/>
      <c r="T175" s="287"/>
      <c r="U175" s="275"/>
      <c r="V175" s="272"/>
    </row>
    <row r="176" spans="1:25" ht="16.5" x14ac:dyDescent="0.3">
      <c r="A176" s="223" t="e">
        <f>+A174+1</f>
        <v>#REF!</v>
      </c>
      <c r="B176" s="14"/>
      <c r="C176" s="308" t="s">
        <v>45</v>
      </c>
      <c r="D176" s="341" t="s">
        <v>46</v>
      </c>
      <c r="E176" s="24"/>
      <c r="F176" s="24"/>
      <c r="G176" s="23"/>
      <c r="H176" s="34"/>
      <c r="I176" s="34"/>
      <c r="J176" s="249"/>
      <c r="K176" s="250"/>
      <c r="L176" s="251"/>
      <c r="M176" s="51"/>
      <c r="N176" s="68"/>
      <c r="O176" s="68"/>
      <c r="P176" s="68"/>
      <c r="Q176" s="68"/>
      <c r="R176" s="34"/>
      <c r="S176" s="268"/>
      <c r="T176" s="268"/>
      <c r="U176" s="254"/>
      <c r="V176" s="272">
        <f t="shared" si="2"/>
        <v>0</v>
      </c>
    </row>
    <row r="177" spans="1:25" ht="16.5" x14ac:dyDescent="0.3">
      <c r="A177" s="223" t="e">
        <f t="shared" ref="A177" si="3">+A176+1</f>
        <v>#REF!</v>
      </c>
      <c r="B177" s="14"/>
      <c r="C177" s="308"/>
      <c r="D177" s="349" t="s">
        <v>86</v>
      </c>
      <c r="E177" s="24"/>
      <c r="F177" s="24"/>
      <c r="G177" s="17" t="s">
        <v>25</v>
      </c>
      <c r="H177" s="27">
        <f>+[49]Sheet1!$G$10</f>
        <v>65065000000</v>
      </c>
      <c r="I177" s="34"/>
      <c r="J177" s="249"/>
      <c r="K177" s="250"/>
      <c r="L177" s="117" t="str">
        <f>+[49]Sheet1!$K$27</f>
        <v>ADD-3,4-100%</v>
      </c>
      <c r="M177" s="27">
        <f>+[49]Sheet1!L30</f>
        <v>69655477042</v>
      </c>
      <c r="N177" s="27">
        <f>+[49]Sheet1!$G$66</f>
        <v>0</v>
      </c>
      <c r="O177" s="27">
        <f>+[49]Sheet1!$G$66</f>
        <v>0</v>
      </c>
      <c r="P177" s="27">
        <f>+[49]Sheet1!$G$66</f>
        <v>0</v>
      </c>
      <c r="Q177" s="27">
        <f>+[49]Sheet1!$G$66</f>
        <v>0</v>
      </c>
      <c r="R177" s="27">
        <f>+[49]Sheet1!Q30</f>
        <v>69655477042</v>
      </c>
      <c r="S177" s="27" t="s">
        <v>135</v>
      </c>
      <c r="T177" s="27">
        <f>+H179-M177</f>
        <v>41404511.300003052</v>
      </c>
      <c r="U177" s="254"/>
      <c r="V177" s="272">
        <f t="shared" si="2"/>
        <v>0</v>
      </c>
      <c r="W177" s="93">
        <v>65065000000</v>
      </c>
      <c r="X177" s="93">
        <v>65726700269</v>
      </c>
      <c r="Y177" s="93">
        <v>64839522843</v>
      </c>
    </row>
    <row r="178" spans="1:25" ht="16.5" x14ac:dyDescent="0.3">
      <c r="A178" s="223" t="e">
        <f t="shared" ref="A178:A208" si="4">+A177+1</f>
        <v>#REF!</v>
      </c>
      <c r="B178" s="14"/>
      <c r="C178" s="308"/>
      <c r="D178" s="346" t="s">
        <v>80</v>
      </c>
      <c r="E178" s="79"/>
      <c r="F178" s="79"/>
      <c r="G178" s="96" t="s">
        <v>25</v>
      </c>
      <c r="H178" s="80">
        <f>+[49]Sheet1!$G$21</f>
        <v>4631881553.3000002</v>
      </c>
      <c r="I178" s="97"/>
      <c r="J178" s="270"/>
      <c r="K178" s="271"/>
      <c r="L178" s="118"/>
      <c r="M178" s="80" t="s">
        <v>13</v>
      </c>
      <c r="N178" s="80"/>
      <c r="O178" s="80"/>
      <c r="P178" s="80"/>
      <c r="Q178" s="80"/>
      <c r="R178" s="80"/>
      <c r="S178" s="80"/>
      <c r="T178" s="80"/>
      <c r="U178" s="254"/>
      <c r="V178" s="272">
        <f t="shared" si="2"/>
        <v>0</v>
      </c>
      <c r="W178" s="93">
        <v>4631881553.3000002</v>
      </c>
      <c r="X178" s="93" t="s">
        <v>13</v>
      </c>
    </row>
    <row r="179" spans="1:25" ht="16.5" x14ac:dyDescent="0.3">
      <c r="A179" s="223" t="e">
        <f t="shared" si="4"/>
        <v>#REF!</v>
      </c>
      <c r="B179" s="14"/>
      <c r="C179" s="308"/>
      <c r="D179" s="341" t="s">
        <v>76</v>
      </c>
      <c r="E179" s="24"/>
      <c r="F179" s="24"/>
      <c r="G179" s="17" t="s">
        <v>25</v>
      </c>
      <c r="H179" s="27">
        <f>+[49]Sheet1!$G$30</f>
        <v>69696881553.300003</v>
      </c>
      <c r="I179" s="34"/>
      <c r="J179" s="249"/>
      <c r="K179" s="250"/>
      <c r="L179" s="117"/>
      <c r="M179" s="27">
        <f>+[49]Sheet1!$L$30</f>
        <v>69655477042</v>
      </c>
      <c r="N179" s="27"/>
      <c r="O179" s="27"/>
      <c r="P179" s="27"/>
      <c r="Q179" s="27"/>
      <c r="R179" s="27">
        <f>+[49]Sheet1!$Q$30</f>
        <v>69655477042</v>
      </c>
      <c r="S179" s="27">
        <f>SUBTOTAL(9,S177:S178)</f>
        <v>0</v>
      </c>
      <c r="T179" s="27">
        <f>+H179-M179</f>
        <v>41404511.300003052</v>
      </c>
      <c r="U179" s="254"/>
      <c r="V179" s="272">
        <f t="shared" si="2"/>
        <v>0</v>
      </c>
      <c r="W179" s="93">
        <v>69696881553.300003</v>
      </c>
      <c r="X179" s="93">
        <v>65726700269</v>
      </c>
      <c r="Y179" s="93">
        <v>64839522843</v>
      </c>
    </row>
    <row r="180" spans="1:25" ht="16.5" x14ac:dyDescent="0.3">
      <c r="A180" s="223" t="e">
        <f t="shared" si="4"/>
        <v>#REF!</v>
      </c>
      <c r="B180" s="14"/>
      <c r="C180" s="308"/>
      <c r="D180" s="341"/>
      <c r="E180" s="24"/>
      <c r="F180" s="24"/>
      <c r="G180" s="17"/>
      <c r="H180" s="27"/>
      <c r="I180" s="34"/>
      <c r="J180" s="249"/>
      <c r="K180" s="250"/>
      <c r="L180" s="117"/>
      <c r="M180" s="27"/>
      <c r="N180" s="27"/>
      <c r="O180" s="27"/>
      <c r="P180" s="27"/>
      <c r="Q180" s="27"/>
      <c r="R180" s="27"/>
      <c r="S180" s="27"/>
      <c r="T180" s="27"/>
      <c r="U180" s="254"/>
      <c r="V180" s="272">
        <f t="shared" si="2"/>
        <v>0</v>
      </c>
    </row>
    <row r="181" spans="1:25" ht="16.5" hidden="1" x14ac:dyDescent="0.3">
      <c r="A181" s="223" t="e">
        <f t="shared" si="4"/>
        <v>#REF!</v>
      </c>
      <c r="B181" s="14"/>
      <c r="C181" s="308"/>
      <c r="D181" s="341" t="s">
        <v>87</v>
      </c>
      <c r="E181" s="24"/>
      <c r="F181" s="24"/>
      <c r="G181" s="17" t="s">
        <v>25</v>
      </c>
      <c r="H181" s="27">
        <f>+[49]Sheet1!G32</f>
        <v>55000000</v>
      </c>
      <c r="I181" s="34"/>
      <c r="J181" s="249"/>
      <c r="K181" s="250"/>
      <c r="L181" s="128" t="str">
        <f>+[49]Sheet1!K45</f>
        <v>AD3 100%</v>
      </c>
      <c r="M181" s="27">
        <f>+[49]Sheet1!L45</f>
        <v>1149988125</v>
      </c>
      <c r="N181" s="27"/>
      <c r="O181" s="27"/>
      <c r="P181" s="27"/>
      <c r="Q181" s="27"/>
      <c r="R181" s="27">
        <f>+[49]Sheet1!Q45</f>
        <v>1149988125</v>
      </c>
      <c r="S181" s="27">
        <f>+[49]Sheet1!R45</f>
        <v>0</v>
      </c>
      <c r="T181" s="27">
        <f>+[49]Sheet1!$S$43</f>
        <v>0</v>
      </c>
      <c r="U181" s="254"/>
      <c r="V181" s="272">
        <f t="shared" si="2"/>
        <v>0</v>
      </c>
      <c r="W181" s="93">
        <v>55000000</v>
      </c>
      <c r="X181" s="93">
        <v>1149988125</v>
      </c>
      <c r="Y181" s="93">
        <v>687988125</v>
      </c>
    </row>
    <row r="182" spans="1:25" ht="16.5" hidden="1" x14ac:dyDescent="0.3">
      <c r="A182" s="223" t="e">
        <f t="shared" si="4"/>
        <v>#REF!</v>
      </c>
      <c r="B182" s="14"/>
      <c r="C182" s="308"/>
      <c r="D182" s="346" t="s">
        <v>80</v>
      </c>
      <c r="E182" s="79"/>
      <c r="F182" s="79"/>
      <c r="G182" s="96" t="s">
        <v>25</v>
      </c>
      <c r="H182" s="80">
        <f>+[49]Sheet1!G42</f>
        <v>1094988125</v>
      </c>
      <c r="I182" s="97"/>
      <c r="J182" s="270"/>
      <c r="K182" s="271"/>
      <c r="L182" s="131"/>
      <c r="M182" s="80"/>
      <c r="N182" s="80"/>
      <c r="O182" s="80"/>
      <c r="P182" s="80"/>
      <c r="Q182" s="80"/>
      <c r="R182" s="80"/>
      <c r="S182" s="80"/>
      <c r="T182" s="80"/>
      <c r="U182" s="254"/>
      <c r="V182" s="272">
        <f t="shared" si="2"/>
        <v>0</v>
      </c>
      <c r="W182" s="93">
        <v>1094988125</v>
      </c>
    </row>
    <row r="183" spans="1:25" ht="16.5" hidden="1" x14ac:dyDescent="0.3">
      <c r="A183" s="223" t="e">
        <f t="shared" si="4"/>
        <v>#REF!</v>
      </c>
      <c r="B183" s="14"/>
      <c r="C183" s="308"/>
      <c r="D183" s="341" t="s">
        <v>76</v>
      </c>
      <c r="E183" s="24"/>
      <c r="F183" s="24"/>
      <c r="G183" s="17" t="s">
        <v>25</v>
      </c>
      <c r="H183" s="27">
        <f>SUBTOTAL(9,H181:H182)</f>
        <v>1149988125</v>
      </c>
      <c r="I183" s="34"/>
      <c r="J183" s="249"/>
      <c r="K183" s="250"/>
      <c r="L183" s="128"/>
      <c r="M183" s="27">
        <f>SUBTOTAL(9,M181:M182)</f>
        <v>1149988125</v>
      </c>
      <c r="N183" s="27"/>
      <c r="O183" s="27"/>
      <c r="P183" s="27"/>
      <c r="Q183" s="27"/>
      <c r="R183" s="27">
        <f>SUBTOTAL(9,R181:R182)</f>
        <v>1149988125</v>
      </c>
      <c r="S183" s="27">
        <f>SUBTOTAL(9,S181:S182)</f>
        <v>0</v>
      </c>
      <c r="T183" s="27">
        <f>SUBTOTAL(9,T181:T182)</f>
        <v>0</v>
      </c>
      <c r="U183" s="254" t="s">
        <v>99</v>
      </c>
      <c r="V183" s="272">
        <f t="shared" si="2"/>
        <v>0</v>
      </c>
      <c r="W183" s="93">
        <v>1149988125</v>
      </c>
      <c r="X183" s="93">
        <v>1149988125</v>
      </c>
      <c r="Y183" s="93">
        <v>687988125</v>
      </c>
    </row>
    <row r="184" spans="1:25" ht="16.5" hidden="1" x14ac:dyDescent="0.3">
      <c r="A184" s="223" t="e">
        <f t="shared" si="4"/>
        <v>#REF!</v>
      </c>
      <c r="B184" s="14"/>
      <c r="C184" s="308"/>
      <c r="D184" s="341"/>
      <c r="E184" s="24"/>
      <c r="F184" s="24"/>
      <c r="G184" s="17"/>
      <c r="H184" s="27"/>
      <c r="I184" s="34"/>
      <c r="J184" s="249"/>
      <c r="K184" s="250"/>
      <c r="L184" s="128"/>
      <c r="M184" s="27"/>
      <c r="N184" s="27"/>
      <c r="O184" s="27"/>
      <c r="P184" s="27"/>
      <c r="Q184" s="27"/>
      <c r="R184" s="27"/>
      <c r="S184" s="27"/>
      <c r="T184" s="27"/>
      <c r="U184" s="254"/>
      <c r="V184" s="272">
        <f t="shared" si="2"/>
        <v>0</v>
      </c>
    </row>
    <row r="185" spans="1:25" ht="16.5" hidden="1" x14ac:dyDescent="0.3">
      <c r="A185" s="223" t="e">
        <f t="shared" si="4"/>
        <v>#REF!</v>
      </c>
      <c r="B185" s="14"/>
      <c r="C185" s="308"/>
      <c r="D185" s="341" t="s">
        <v>88</v>
      </c>
      <c r="E185" s="24"/>
      <c r="F185" s="24"/>
      <c r="G185" s="17" t="s">
        <v>25</v>
      </c>
      <c r="H185" s="27">
        <f>+[49]Sheet1!G61</f>
        <v>728736368</v>
      </c>
      <c r="I185" s="34"/>
      <c r="J185" s="249"/>
      <c r="K185" s="250"/>
      <c r="L185" s="128">
        <f>+[49]Sheet1!K72</f>
        <v>1</v>
      </c>
      <c r="M185" s="27">
        <f>+[49]Sheet1!L72</f>
        <v>1382149520</v>
      </c>
      <c r="N185" s="27"/>
      <c r="O185" s="27"/>
      <c r="P185" s="27"/>
      <c r="Q185" s="27"/>
      <c r="R185" s="27">
        <f>+[49]Sheet1!Q72</f>
        <v>1382149520</v>
      </c>
      <c r="S185" s="27">
        <f>+[49]Sheet1!$R$72</f>
        <v>0</v>
      </c>
      <c r="T185" s="27">
        <f>+[49]Sheet1!$S$70</f>
        <v>0</v>
      </c>
      <c r="U185" s="254"/>
      <c r="V185" s="272">
        <f t="shared" si="2"/>
        <v>0</v>
      </c>
      <c r="W185" s="93">
        <v>728736368</v>
      </c>
      <c r="X185" s="93">
        <v>1313042045</v>
      </c>
      <c r="Y185" s="93">
        <v>1313042045</v>
      </c>
    </row>
    <row r="186" spans="1:25" ht="16.5" hidden="1" x14ac:dyDescent="0.3">
      <c r="A186" s="223" t="e">
        <f t="shared" si="4"/>
        <v>#REF!</v>
      </c>
      <c r="B186" s="14"/>
      <c r="C186" s="308"/>
      <c r="D186" s="346" t="s">
        <v>80</v>
      </c>
      <c r="E186" s="79"/>
      <c r="F186" s="79"/>
      <c r="G186" s="96" t="s">
        <v>25</v>
      </c>
      <c r="H186" s="80">
        <f>+[49]Sheet1!G68</f>
        <v>653413161</v>
      </c>
      <c r="I186" s="97"/>
      <c r="J186" s="270"/>
      <c r="K186" s="271"/>
      <c r="L186" s="118"/>
      <c r="M186" s="97"/>
      <c r="N186" s="97"/>
      <c r="O186" s="97"/>
      <c r="P186" s="97"/>
      <c r="Q186" s="97"/>
      <c r="R186" s="97"/>
      <c r="S186" s="97"/>
      <c r="T186" s="97"/>
      <c r="U186" s="254"/>
      <c r="V186" s="272">
        <f t="shared" si="2"/>
        <v>0</v>
      </c>
      <c r="W186" s="93">
        <v>653413161</v>
      </c>
    </row>
    <row r="187" spans="1:25" ht="16.5" hidden="1" x14ac:dyDescent="0.3">
      <c r="A187" s="223" t="e">
        <f t="shared" si="4"/>
        <v>#REF!</v>
      </c>
      <c r="B187" s="14"/>
      <c r="C187" s="308"/>
      <c r="D187" s="341" t="s">
        <v>76</v>
      </c>
      <c r="E187" s="24"/>
      <c r="F187" s="24"/>
      <c r="G187" s="17"/>
      <c r="H187" s="27">
        <f>SUBTOTAL(9,H185:H186)</f>
        <v>1382149529</v>
      </c>
      <c r="I187" s="34"/>
      <c r="J187" s="249"/>
      <c r="K187" s="250"/>
      <c r="L187" s="117"/>
      <c r="M187" s="27">
        <f>SUBTOTAL(9,M185:M186)</f>
        <v>1382149520</v>
      </c>
      <c r="N187" s="34"/>
      <c r="O187" s="34"/>
      <c r="P187" s="34"/>
      <c r="Q187" s="34"/>
      <c r="R187" s="27">
        <f>SUBTOTAL(9,R185:R186)</f>
        <v>1382149520</v>
      </c>
      <c r="S187" s="27">
        <f>SUBTOTAL(9,S185:S186)</f>
        <v>0</v>
      </c>
      <c r="T187" s="27">
        <f>SUBTOTAL(9,T185:T186)</f>
        <v>0</v>
      </c>
      <c r="U187" s="254" t="s">
        <v>99</v>
      </c>
      <c r="V187" s="272">
        <f t="shared" si="2"/>
        <v>0</v>
      </c>
      <c r="W187" s="93">
        <v>1382149529</v>
      </c>
      <c r="X187" s="93">
        <v>1313042045</v>
      </c>
      <c r="Y187" s="93">
        <v>1313042045</v>
      </c>
    </row>
    <row r="188" spans="1:25" ht="16.5" hidden="1" x14ac:dyDescent="0.3">
      <c r="A188" s="223" t="e">
        <f t="shared" si="4"/>
        <v>#REF!</v>
      </c>
      <c r="B188" s="14"/>
      <c r="C188" s="308"/>
      <c r="D188" s="341"/>
      <c r="E188" s="24"/>
      <c r="F188" s="24"/>
      <c r="G188" s="17"/>
      <c r="H188" s="27"/>
      <c r="I188" s="34"/>
      <c r="J188" s="249"/>
      <c r="K188" s="250"/>
      <c r="L188" s="117"/>
      <c r="M188" s="27"/>
      <c r="N188" s="34"/>
      <c r="O188" s="34"/>
      <c r="P188" s="34"/>
      <c r="Q188" s="34"/>
      <c r="R188" s="27"/>
      <c r="S188" s="27"/>
      <c r="T188" s="27"/>
      <c r="U188" s="254"/>
      <c r="V188" s="272">
        <f t="shared" si="2"/>
        <v>0</v>
      </c>
    </row>
    <row r="189" spans="1:25" ht="16.5" hidden="1" x14ac:dyDescent="0.3">
      <c r="A189" s="223" t="e">
        <f t="shared" si="4"/>
        <v>#REF!</v>
      </c>
      <c r="B189" s="14"/>
      <c r="C189" s="308"/>
      <c r="D189" s="341" t="s">
        <v>189</v>
      </c>
      <c r="E189" s="24"/>
      <c r="F189" s="24"/>
      <c r="G189" s="17" t="s">
        <v>25</v>
      </c>
      <c r="H189" s="27">
        <f>+[49]Sheet1!G78</f>
        <v>74965000</v>
      </c>
      <c r="I189" s="34"/>
      <c r="J189" s="249"/>
      <c r="K189" s="250"/>
      <c r="L189" s="128" t="str">
        <f>+[49]Sheet1!K78</f>
        <v>Ret. 5%</v>
      </c>
      <c r="M189" s="27">
        <f>+[49]Sheet1!L78</f>
        <v>74965000</v>
      </c>
      <c r="N189" s="27">
        <f>+[49]Sheet1!M78</f>
        <v>0</v>
      </c>
      <c r="O189" s="27">
        <f>+[49]Sheet1!N78</f>
        <v>0</v>
      </c>
      <c r="P189" s="27">
        <f>+[49]Sheet1!O78</f>
        <v>0</v>
      </c>
      <c r="Q189" s="27">
        <f>+[49]Sheet1!P78</f>
        <v>0</v>
      </c>
      <c r="R189" s="27">
        <f>+[49]Sheet1!Q78</f>
        <v>74965000</v>
      </c>
      <c r="S189" s="27">
        <f>+[49]Sheet1!R78</f>
        <v>0</v>
      </c>
      <c r="T189" s="27">
        <f>+[49]Sheet1!S78</f>
        <v>0</v>
      </c>
      <c r="U189" s="254"/>
      <c r="V189" s="272">
        <f t="shared" si="2"/>
        <v>0</v>
      </c>
      <c r="W189" s="93">
        <v>74965000</v>
      </c>
      <c r="X189" s="93">
        <v>0</v>
      </c>
      <c r="Y189" s="93">
        <v>0</v>
      </c>
    </row>
    <row r="190" spans="1:25" ht="16.5" hidden="1" x14ac:dyDescent="0.3">
      <c r="A190" s="223" t="e">
        <f t="shared" si="4"/>
        <v>#REF!</v>
      </c>
      <c r="B190" s="14"/>
      <c r="C190" s="308"/>
      <c r="D190" s="350" t="s">
        <v>73</v>
      </c>
      <c r="E190" s="137"/>
      <c r="F190" s="137"/>
      <c r="G190" s="103"/>
      <c r="H190" s="104">
        <f>+H179+H183+H187+H189</f>
        <v>72303984207.300003</v>
      </c>
      <c r="I190" s="105"/>
      <c r="J190" s="277"/>
      <c r="K190" s="278"/>
      <c r="L190" s="119"/>
      <c r="M190" s="104">
        <f>+M179+M183+M187+M189</f>
        <v>72262579687</v>
      </c>
      <c r="N190" s="105"/>
      <c r="O190" s="105"/>
      <c r="P190" s="105"/>
      <c r="Q190" s="105"/>
      <c r="R190" s="104">
        <f>+R179+R183+R187+R189</f>
        <v>72262579687</v>
      </c>
      <c r="S190" s="104">
        <f>+S179+S183+S187+S189</f>
        <v>0</v>
      </c>
      <c r="T190" s="104">
        <f>+T179+T183+T187+T189</f>
        <v>41404511.300003052</v>
      </c>
      <c r="U190" s="254"/>
      <c r="V190" s="272">
        <f t="shared" si="2"/>
        <v>0</v>
      </c>
      <c r="W190" s="93">
        <v>72303984207.300003</v>
      </c>
      <c r="X190" s="93">
        <v>68189730439</v>
      </c>
      <c r="Y190" s="93">
        <v>66840553013</v>
      </c>
    </row>
    <row r="191" spans="1:25" ht="16.5" hidden="1" x14ac:dyDescent="0.3">
      <c r="A191" s="223" t="e">
        <f t="shared" si="4"/>
        <v>#REF!</v>
      </c>
      <c r="B191" s="14"/>
      <c r="C191" s="308"/>
      <c r="D191" s="341"/>
      <c r="E191" s="24"/>
      <c r="F191" s="24"/>
      <c r="G191" s="17"/>
      <c r="H191" s="34"/>
      <c r="I191" s="34"/>
      <c r="J191" s="249"/>
      <c r="K191" s="250"/>
      <c r="L191" s="117"/>
      <c r="M191" s="34"/>
      <c r="N191" s="34"/>
      <c r="O191" s="34"/>
      <c r="P191" s="34"/>
      <c r="Q191" s="34"/>
      <c r="R191" s="34"/>
      <c r="S191" s="34"/>
      <c r="T191" s="34"/>
      <c r="U191" s="254"/>
      <c r="V191" s="272">
        <f t="shared" si="2"/>
        <v>0</v>
      </c>
    </row>
    <row r="192" spans="1:25" ht="16.5" hidden="1" x14ac:dyDescent="0.3">
      <c r="A192" s="223" t="e">
        <f t="shared" si="4"/>
        <v>#REF!</v>
      </c>
      <c r="B192" s="14"/>
      <c r="C192" s="308"/>
      <c r="D192" s="341" t="s">
        <v>87</v>
      </c>
      <c r="E192" s="24"/>
      <c r="F192" s="24"/>
      <c r="G192" s="17" t="s">
        <v>26</v>
      </c>
      <c r="H192" s="34">
        <f>+[49]Sheet1!$G$47</f>
        <v>91630</v>
      </c>
      <c r="I192" s="34"/>
      <c r="J192" s="249"/>
      <c r="K192" s="250"/>
      <c r="L192" s="128">
        <f>+[49]Sheet1!K59</f>
        <v>1</v>
      </c>
      <c r="M192" s="34">
        <f>+[49]Sheet1!L59</f>
        <v>113630</v>
      </c>
      <c r="N192" s="34"/>
      <c r="O192" s="34"/>
      <c r="P192" s="34"/>
      <c r="Q192" s="34"/>
      <c r="R192" s="34">
        <f>+[49]Sheet1!Q59</f>
        <v>113630</v>
      </c>
      <c r="S192" s="34">
        <f>+[49]Sheet1!R59</f>
        <v>0</v>
      </c>
      <c r="T192" s="34">
        <f>+[49]Sheet1!S57</f>
        <v>0</v>
      </c>
      <c r="U192" s="254"/>
      <c r="V192" s="272">
        <f t="shared" si="2"/>
        <v>0</v>
      </c>
      <c r="W192" s="93">
        <v>91630</v>
      </c>
      <c r="X192" s="93">
        <v>113630</v>
      </c>
      <c r="Y192" s="93">
        <v>113630</v>
      </c>
    </row>
    <row r="193" spans="1:25" ht="16.5" hidden="1" x14ac:dyDescent="0.3">
      <c r="A193" s="223" t="e">
        <f t="shared" si="4"/>
        <v>#REF!</v>
      </c>
      <c r="B193" s="14"/>
      <c r="C193" s="308"/>
      <c r="D193" s="346" t="s">
        <v>80</v>
      </c>
      <c r="E193" s="79"/>
      <c r="F193" s="79"/>
      <c r="G193" s="96" t="s">
        <v>26</v>
      </c>
      <c r="H193" s="97">
        <f>+[49]Sheet1!$G$54</f>
        <v>22000</v>
      </c>
      <c r="I193" s="97"/>
      <c r="J193" s="270"/>
      <c r="K193" s="271"/>
      <c r="L193" s="118"/>
      <c r="M193" s="97"/>
      <c r="N193" s="97"/>
      <c r="O193" s="97"/>
      <c r="P193" s="97"/>
      <c r="Q193" s="97"/>
      <c r="R193" s="97"/>
      <c r="S193" s="97"/>
      <c r="T193" s="97"/>
      <c r="U193" s="254"/>
      <c r="V193" s="272">
        <f t="shared" si="2"/>
        <v>0</v>
      </c>
      <c r="W193" s="93">
        <v>22000</v>
      </c>
    </row>
    <row r="194" spans="1:25" ht="16.5" hidden="1" x14ac:dyDescent="0.3">
      <c r="A194" s="223" t="e">
        <f t="shared" si="4"/>
        <v>#REF!</v>
      </c>
      <c r="B194" s="14"/>
      <c r="C194" s="308"/>
      <c r="D194" s="341" t="s">
        <v>76</v>
      </c>
      <c r="E194" s="24"/>
      <c r="F194" s="24"/>
      <c r="G194" s="17" t="s">
        <v>26</v>
      </c>
      <c r="H194" s="34">
        <f>SUBTOTAL(9,H192:H193)</f>
        <v>113630</v>
      </c>
      <c r="I194" s="34"/>
      <c r="J194" s="249"/>
      <c r="K194" s="250"/>
      <c r="L194" s="117"/>
      <c r="M194" s="34">
        <f>SUBTOTAL(9,M192:M193)</f>
        <v>113630</v>
      </c>
      <c r="N194" s="34"/>
      <c r="O194" s="34"/>
      <c r="P194" s="34"/>
      <c r="Q194" s="34"/>
      <c r="R194" s="34">
        <f>SUBTOTAL(9,R192:R193)</f>
        <v>113630</v>
      </c>
      <c r="S194" s="34">
        <f>SUBTOTAL(9,S192:S193)</f>
        <v>0</v>
      </c>
      <c r="T194" s="34">
        <f>SUBTOTAL(9,T192:T193)</f>
        <v>0</v>
      </c>
      <c r="U194" s="254" t="s">
        <v>99</v>
      </c>
      <c r="V194" s="272">
        <f t="shared" si="2"/>
        <v>0</v>
      </c>
      <c r="W194" s="93">
        <v>113630</v>
      </c>
      <c r="X194" s="93">
        <v>113630</v>
      </c>
      <c r="Y194" s="93">
        <v>113630</v>
      </c>
    </row>
    <row r="195" spans="1:25" ht="16.5" hidden="1" x14ac:dyDescent="0.3">
      <c r="A195" s="223" t="e">
        <f>+#REF!+1</f>
        <v>#REF!</v>
      </c>
      <c r="B195" s="14"/>
      <c r="C195" s="308" t="s">
        <v>138</v>
      </c>
      <c r="D195" s="341" t="str">
        <f>+[50]Sheet1!$C$9</f>
        <v>Pen : 017/APJ/MRK/UMUM/E/03-14</v>
      </c>
      <c r="E195" s="24"/>
      <c r="F195" s="24"/>
      <c r="G195" s="17"/>
      <c r="H195" s="27">
        <f>+[51]Sheet1!$G$26</f>
        <v>1582790000</v>
      </c>
      <c r="I195" s="34"/>
      <c r="J195" s="249"/>
      <c r="K195" s="250"/>
      <c r="L195" s="128">
        <f>+[50]Sheet1!$K$26</f>
        <v>1</v>
      </c>
      <c r="M195" s="27">
        <f>+[51]Sheet1!$L$26</f>
        <v>1582790000</v>
      </c>
      <c r="N195" s="34"/>
      <c r="O195" s="34"/>
      <c r="P195" s="34"/>
      <c r="Q195" s="34"/>
      <c r="R195" s="27">
        <f>+[51]Sheet1!$Q$26</f>
        <v>1582790000</v>
      </c>
      <c r="S195" s="27">
        <f>+[51]Sheet1!$R$26</f>
        <v>0</v>
      </c>
      <c r="T195" s="27">
        <f>+H195-M195</f>
        <v>0</v>
      </c>
      <c r="U195" s="254" t="s">
        <v>99</v>
      </c>
      <c r="V195" s="272">
        <f t="shared" ref="V195:V196" si="5">+H195-W195</f>
        <v>278290000</v>
      </c>
      <c r="W195" s="93">
        <v>1304500000</v>
      </c>
      <c r="X195" s="93">
        <v>1304500000</v>
      </c>
      <c r="Y195" s="93">
        <v>954500000</v>
      </c>
    </row>
    <row r="196" spans="1:25" ht="16.5" hidden="1" x14ac:dyDescent="0.3">
      <c r="A196" s="223" t="e">
        <f t="shared" si="4"/>
        <v>#REF!</v>
      </c>
      <c r="B196" s="14"/>
      <c r="C196" s="308"/>
      <c r="D196" s="341" t="str">
        <f>+[50]Sheet1!$C$11</f>
        <v>GEREJA SANTO YOHANES CILANGKAP</v>
      </c>
      <c r="E196" s="24"/>
      <c r="F196" s="24"/>
      <c r="G196" s="17"/>
      <c r="H196" s="34"/>
      <c r="I196" s="34"/>
      <c r="J196" s="249"/>
      <c r="K196" s="250"/>
      <c r="L196" s="117"/>
      <c r="M196" s="34"/>
      <c r="N196" s="34"/>
      <c r="O196" s="34"/>
      <c r="P196" s="34"/>
      <c r="Q196" s="34"/>
      <c r="R196" s="34"/>
      <c r="S196" s="34"/>
      <c r="T196" s="34"/>
      <c r="U196" s="254"/>
      <c r="V196" s="272">
        <f t="shared" si="5"/>
        <v>0</v>
      </c>
    </row>
    <row r="197" spans="1:25" ht="16.5" hidden="1" x14ac:dyDescent="0.3">
      <c r="A197" s="223" t="e">
        <f t="shared" si="4"/>
        <v>#REF!</v>
      </c>
      <c r="B197" s="14"/>
      <c r="C197" s="308"/>
      <c r="D197" s="341"/>
      <c r="E197" s="24"/>
      <c r="F197" s="24"/>
      <c r="G197" s="17"/>
      <c r="H197" s="34"/>
      <c r="I197" s="34"/>
      <c r="J197" s="249"/>
      <c r="K197" s="250"/>
      <c r="L197" s="117"/>
      <c r="M197" s="34"/>
      <c r="N197" s="34"/>
      <c r="O197" s="34"/>
      <c r="P197" s="34"/>
      <c r="Q197" s="34"/>
      <c r="R197" s="34"/>
      <c r="S197" s="34"/>
      <c r="T197" s="34"/>
      <c r="U197" s="254"/>
    </row>
    <row r="198" spans="1:25" ht="16.5" x14ac:dyDescent="0.3">
      <c r="A198" s="223" t="e">
        <f t="shared" si="4"/>
        <v>#REF!</v>
      </c>
      <c r="B198" s="14"/>
      <c r="C198" s="309"/>
      <c r="D198" s="417" t="s">
        <v>47</v>
      </c>
      <c r="E198" s="418"/>
      <c r="F198" s="418"/>
      <c r="G198" s="419"/>
      <c r="H198" s="56">
        <f>+H195+H190+H163+H156+H148+H173+H143+H167+H137+H164</f>
        <v>241521798319.80002</v>
      </c>
      <c r="I198" s="56"/>
      <c r="J198" s="224"/>
      <c r="K198" s="237"/>
      <c r="L198" s="238"/>
      <c r="M198" s="56">
        <f>+M195+M190+M163+M156+M148+M173+M143+M167+M137+M164</f>
        <v>241480394636.45999</v>
      </c>
      <c r="N198" s="56">
        <f>SUM(N164:N197)-N199</f>
        <v>86458262</v>
      </c>
      <c r="O198" s="56">
        <f>SUM(O164:O197)-O199</f>
        <v>86458262</v>
      </c>
      <c r="P198" s="56">
        <f>SUM(P164:P197)-P199</f>
        <v>86458262</v>
      </c>
      <c r="Q198" s="56">
        <f>SUM(Q164:Q197)-Q199</f>
        <v>86458262</v>
      </c>
      <c r="R198" s="56">
        <f>+R195+R190+R163+R156+R148+R173+R143+R167+R137+R164</f>
        <v>241388443490.45999</v>
      </c>
      <c r="S198" s="56">
        <f>+S195+S190+S163+S156+S148+S173+S143+S167+S137+S164</f>
        <v>91951146</v>
      </c>
      <c r="T198" s="56">
        <f>+H198-M198</f>
        <v>41403683.340026855</v>
      </c>
      <c r="U198" s="240"/>
      <c r="W198" s="93">
        <v>244187727281</v>
      </c>
      <c r="X198" s="93">
        <v>222919790473.45999</v>
      </c>
      <c r="Y198" s="93">
        <v>218697455732.07999</v>
      </c>
    </row>
    <row r="199" spans="1:25" ht="16.5" x14ac:dyDescent="0.3">
      <c r="A199" s="223" t="e">
        <f t="shared" si="4"/>
        <v>#REF!</v>
      </c>
      <c r="B199" s="76"/>
      <c r="C199" s="307"/>
      <c r="D199" s="420"/>
      <c r="E199" s="421"/>
      <c r="F199" s="421"/>
      <c r="G199" s="422"/>
      <c r="H199" s="279">
        <f>+H194+H161+H149+H146+H168+H138+H165</f>
        <v>5499055.9000000004</v>
      </c>
      <c r="I199" s="61"/>
      <c r="J199" s="242"/>
      <c r="K199" s="243"/>
      <c r="L199" s="244"/>
      <c r="M199" s="279">
        <f>+M194+M161+M149+M146+M168+M138+M165</f>
        <v>5499054.4614499994</v>
      </c>
      <c r="N199" s="279">
        <f>+N186+N159+N144+N168+N138+N165</f>
        <v>0</v>
      </c>
      <c r="O199" s="279">
        <f>+O186+O159+O144+O168+O138+O165</f>
        <v>0</v>
      </c>
      <c r="P199" s="279">
        <f>+P186+P159+P144+P168+P138+P165</f>
        <v>0</v>
      </c>
      <c r="Q199" s="279">
        <f>+Q186+Q159+Q144+Q168+Q138+Q165</f>
        <v>0</v>
      </c>
      <c r="R199" s="279">
        <f>+R194+R161+R149+R146+R168+R138+R165</f>
        <v>5494655.4614499994</v>
      </c>
      <c r="S199" s="167">
        <f>+S194+S161+S149+S146+S168+S138+S165</f>
        <v>4399</v>
      </c>
      <c r="T199" s="279">
        <f>+T194+T161+T149+T146+T168+T138+T165</f>
        <v>0.71700000000419095</v>
      </c>
      <c r="U199" s="246"/>
      <c r="W199" s="93">
        <v>5511237.9140000008</v>
      </c>
      <c r="X199" s="93">
        <v>5133231.8714499995</v>
      </c>
      <c r="Y199" s="93">
        <v>5098416.8414500002</v>
      </c>
    </row>
    <row r="200" spans="1:25" ht="16.5" hidden="1" x14ac:dyDescent="0.3">
      <c r="A200" s="223" t="e">
        <f t="shared" si="4"/>
        <v>#REF!</v>
      </c>
      <c r="B200" s="14"/>
      <c r="C200" s="308"/>
      <c r="D200" s="342"/>
      <c r="E200" s="24"/>
      <c r="F200" s="24"/>
      <c r="G200" s="23"/>
      <c r="H200" s="27"/>
      <c r="I200" s="34"/>
      <c r="J200" s="249"/>
      <c r="K200" s="250"/>
      <c r="L200" s="251"/>
      <c r="M200" s="27"/>
      <c r="N200" s="27"/>
      <c r="O200" s="27"/>
      <c r="P200" s="27"/>
      <c r="Q200" s="27"/>
      <c r="R200" s="27"/>
      <c r="S200" s="27"/>
      <c r="T200" s="27"/>
      <c r="U200" s="254"/>
    </row>
    <row r="201" spans="1:25" ht="16.5" hidden="1" x14ac:dyDescent="0.3">
      <c r="A201" s="223" t="e">
        <f>+A200+1</f>
        <v>#REF!</v>
      </c>
      <c r="B201" s="426">
        <f>+B134+1</f>
        <v>7</v>
      </c>
      <c r="C201" s="308"/>
      <c r="D201" s="423" t="s">
        <v>139</v>
      </c>
      <c r="E201" s="424"/>
      <c r="F201" s="424"/>
      <c r="G201" s="425"/>
      <c r="H201" s="27"/>
      <c r="I201" s="34"/>
      <c r="J201" s="249"/>
      <c r="K201" s="250"/>
      <c r="L201" s="251"/>
      <c r="M201" s="27"/>
      <c r="N201" s="27"/>
      <c r="O201" s="27"/>
      <c r="P201" s="27"/>
      <c r="Q201" s="27"/>
      <c r="R201" s="27"/>
      <c r="S201" s="27"/>
      <c r="T201" s="27"/>
      <c r="U201" s="254"/>
    </row>
    <row r="202" spans="1:25" ht="10.5" hidden="1" customHeight="1" x14ac:dyDescent="0.3">
      <c r="A202" s="223" t="e">
        <f t="shared" si="4"/>
        <v>#REF!</v>
      </c>
      <c r="B202" s="426"/>
      <c r="C202" s="308"/>
      <c r="D202" s="423"/>
      <c r="E202" s="424"/>
      <c r="F202" s="424"/>
      <c r="G202" s="425"/>
      <c r="H202" s="27"/>
      <c r="I202" s="34"/>
      <c r="J202" s="249"/>
      <c r="K202" s="250"/>
      <c r="L202" s="251"/>
      <c r="M202" s="27"/>
      <c r="N202" s="27"/>
      <c r="O202" s="27"/>
      <c r="P202" s="27"/>
      <c r="Q202" s="27"/>
      <c r="R202" s="27"/>
      <c r="S202" s="27"/>
      <c r="T202" s="27"/>
      <c r="U202" s="254"/>
    </row>
    <row r="203" spans="1:25" ht="16.5" hidden="1" x14ac:dyDescent="0.3">
      <c r="A203" s="223" t="e">
        <f t="shared" si="4"/>
        <v>#REF!</v>
      </c>
      <c r="B203" s="14"/>
      <c r="C203" s="308" t="s">
        <v>48</v>
      </c>
      <c r="D203" s="341" t="s">
        <v>49</v>
      </c>
      <c r="E203" s="16"/>
      <c r="F203" s="24"/>
      <c r="G203" s="23"/>
      <c r="H203" s="27"/>
      <c r="I203" s="34"/>
      <c r="J203" s="249"/>
      <c r="K203" s="250"/>
      <c r="L203" s="251"/>
      <c r="M203" s="27"/>
      <c r="N203" s="27"/>
      <c r="O203" s="27"/>
      <c r="P203" s="27"/>
      <c r="Q203" s="27"/>
      <c r="R203" s="27"/>
      <c r="S203" s="27"/>
      <c r="T203" s="27"/>
      <c r="U203" s="254"/>
    </row>
    <row r="204" spans="1:25" ht="16.5" hidden="1" x14ac:dyDescent="0.3">
      <c r="A204" s="223" t="e">
        <f t="shared" si="4"/>
        <v>#REF!</v>
      </c>
      <c r="B204" s="14"/>
      <c r="C204" s="308"/>
      <c r="D204" s="341" t="s">
        <v>116</v>
      </c>
      <c r="E204" s="16"/>
      <c r="F204" s="16"/>
      <c r="G204" s="17" t="s">
        <v>25</v>
      </c>
      <c r="H204" s="27">
        <v>37063125000</v>
      </c>
      <c r="I204" s="34"/>
      <c r="J204" s="249"/>
      <c r="K204" s="250"/>
      <c r="L204" s="132" t="s">
        <v>214</v>
      </c>
      <c r="M204" s="27">
        <v>41020563873.300003</v>
      </c>
      <c r="N204" s="27">
        <v>0</v>
      </c>
      <c r="O204" s="27">
        <v>0</v>
      </c>
      <c r="P204" s="27">
        <v>0</v>
      </c>
      <c r="Q204" s="27">
        <v>0</v>
      </c>
      <c r="R204" s="27">
        <v>41020563873.300003</v>
      </c>
      <c r="S204" s="27">
        <v>0</v>
      </c>
      <c r="T204" s="27"/>
      <c r="U204" s="254" t="s">
        <v>99</v>
      </c>
      <c r="V204" s="272">
        <f t="shared" ref="V204:V286" si="6">+H204-W204</f>
        <v>0</v>
      </c>
      <c r="W204" s="93">
        <v>37063125000</v>
      </c>
      <c r="X204" s="93">
        <v>39995049776.650002</v>
      </c>
      <c r="Y204" s="93">
        <v>38969535680</v>
      </c>
    </row>
    <row r="205" spans="1:25" ht="16.5" hidden="1" x14ac:dyDescent="0.3">
      <c r="A205" s="223" t="e">
        <f t="shared" si="4"/>
        <v>#REF!</v>
      </c>
      <c r="B205" s="14"/>
      <c r="C205" s="308"/>
      <c r="D205" s="346" t="s">
        <v>80</v>
      </c>
      <c r="E205" s="94"/>
      <c r="F205" s="94"/>
      <c r="G205" s="96" t="s">
        <v>25</v>
      </c>
      <c r="H205" s="80">
        <v>3957438873.3000002</v>
      </c>
      <c r="I205" s="97"/>
      <c r="J205" s="270"/>
      <c r="K205" s="273"/>
      <c r="L205" s="118"/>
      <c r="M205" s="80"/>
      <c r="N205" s="80"/>
      <c r="O205" s="80"/>
      <c r="P205" s="80"/>
      <c r="Q205" s="80"/>
      <c r="R205" s="80"/>
      <c r="S205" s="80"/>
      <c r="T205" s="80"/>
      <c r="U205" s="254"/>
      <c r="V205" s="272">
        <f t="shared" si="6"/>
        <v>0</v>
      </c>
      <c r="W205" s="93">
        <v>3957438873.3000002</v>
      </c>
    </row>
    <row r="206" spans="1:25" ht="16.5" hidden="1" x14ac:dyDescent="0.3">
      <c r="A206" s="223" t="e">
        <f t="shared" si="4"/>
        <v>#REF!</v>
      </c>
      <c r="B206" s="14"/>
      <c r="C206" s="308"/>
      <c r="D206" s="341" t="s">
        <v>76</v>
      </c>
      <c r="E206" s="16"/>
      <c r="F206" s="16"/>
      <c r="G206" s="17" t="s">
        <v>25</v>
      </c>
      <c r="H206" s="27">
        <v>41020563873.300003</v>
      </c>
      <c r="I206" s="34"/>
      <c r="J206" s="249"/>
      <c r="K206" s="274"/>
      <c r="L206" s="117"/>
      <c r="M206" s="27">
        <v>41020563873.300003</v>
      </c>
      <c r="N206" s="27"/>
      <c r="O206" s="27"/>
      <c r="P206" s="27"/>
      <c r="Q206" s="27"/>
      <c r="R206" s="27">
        <v>41020563873.300003</v>
      </c>
      <c r="S206" s="27">
        <v>0</v>
      </c>
      <c r="T206" s="27">
        <v>0</v>
      </c>
      <c r="U206" s="254"/>
      <c r="V206" s="272">
        <f t="shared" si="6"/>
        <v>0</v>
      </c>
      <c r="W206" s="93">
        <v>41020563873.300003</v>
      </c>
      <c r="X206" s="93">
        <v>39995049776.650002</v>
      </c>
      <c r="Y206" s="93">
        <v>38969535680</v>
      </c>
    </row>
    <row r="207" spans="1:25" ht="16.5" hidden="1" x14ac:dyDescent="0.3">
      <c r="A207" s="223" t="e">
        <f t="shared" si="4"/>
        <v>#REF!</v>
      </c>
      <c r="B207" s="14"/>
      <c r="C207" s="308"/>
      <c r="D207" s="341"/>
      <c r="E207" s="16"/>
      <c r="F207" s="16"/>
      <c r="G207" s="17"/>
      <c r="H207" s="27"/>
      <c r="I207" s="34"/>
      <c r="J207" s="249"/>
      <c r="K207" s="274"/>
      <c r="L207" s="117"/>
      <c r="M207" s="27"/>
      <c r="N207" s="27"/>
      <c r="O207" s="27"/>
      <c r="P207" s="27"/>
      <c r="Q207" s="27"/>
      <c r="R207" s="27"/>
      <c r="S207" s="27"/>
      <c r="T207" s="27"/>
      <c r="U207" s="254"/>
      <c r="V207" s="272">
        <f t="shared" si="6"/>
        <v>0</v>
      </c>
    </row>
    <row r="208" spans="1:25" ht="16.5" hidden="1" x14ac:dyDescent="0.3">
      <c r="A208" s="223" t="e">
        <f t="shared" si="4"/>
        <v>#REF!</v>
      </c>
      <c r="B208" s="14"/>
      <c r="C208" s="308"/>
      <c r="D208" s="341" t="s">
        <v>117</v>
      </c>
      <c r="E208" s="16"/>
      <c r="F208" s="16"/>
      <c r="G208" s="17" t="s">
        <v>25</v>
      </c>
      <c r="H208" s="27">
        <v>12354375000</v>
      </c>
      <c r="I208" s="34"/>
      <c r="J208" s="249"/>
      <c r="K208" s="274"/>
      <c r="L208" s="132" t="s">
        <v>214</v>
      </c>
      <c r="M208" s="27">
        <v>13818653472</v>
      </c>
      <c r="N208" s="27">
        <v>0</v>
      </c>
      <c r="O208" s="27">
        <v>0</v>
      </c>
      <c r="P208" s="27">
        <v>0</v>
      </c>
      <c r="Q208" s="27">
        <v>0</v>
      </c>
      <c r="R208" s="27">
        <v>13818653472</v>
      </c>
      <c r="S208" s="27">
        <v>0</v>
      </c>
      <c r="T208" s="27"/>
      <c r="U208" s="254" t="s">
        <v>99</v>
      </c>
      <c r="V208" s="272">
        <f t="shared" si="6"/>
        <v>0</v>
      </c>
      <c r="W208" s="93">
        <v>12354375000</v>
      </c>
      <c r="X208" s="93">
        <v>13473187137</v>
      </c>
      <c r="Y208" s="93">
        <v>13127720800</v>
      </c>
    </row>
    <row r="209" spans="1:25" ht="16.5" hidden="1" x14ac:dyDescent="0.3">
      <c r="A209" s="223" t="e">
        <f t="shared" ref="A209:A229" si="7">+A208+1</f>
        <v>#REF!</v>
      </c>
      <c r="B209" s="14"/>
      <c r="C209" s="308"/>
      <c r="D209" s="346" t="s">
        <v>80</v>
      </c>
      <c r="E209" s="94"/>
      <c r="F209" s="94"/>
      <c r="G209" s="96" t="s">
        <v>25</v>
      </c>
      <c r="H209" s="80">
        <v>1464278471.7</v>
      </c>
      <c r="I209" s="97"/>
      <c r="J209" s="270"/>
      <c r="K209" s="273"/>
      <c r="L209" s="118"/>
      <c r="M209" s="80"/>
      <c r="N209" s="80"/>
      <c r="O209" s="80"/>
      <c r="P209" s="80"/>
      <c r="Q209" s="80"/>
      <c r="R209" s="80"/>
      <c r="S209" s="80"/>
      <c r="T209" s="80"/>
      <c r="U209" s="254"/>
      <c r="V209" s="272">
        <f t="shared" si="6"/>
        <v>0</v>
      </c>
      <c r="W209" s="93">
        <v>1464278471.7</v>
      </c>
    </row>
    <row r="210" spans="1:25" ht="16.5" hidden="1" x14ac:dyDescent="0.3">
      <c r="A210" s="223" t="e">
        <f t="shared" si="7"/>
        <v>#REF!</v>
      </c>
      <c r="B210" s="14"/>
      <c r="C210" s="308"/>
      <c r="D210" s="341" t="s">
        <v>76</v>
      </c>
      <c r="E210" s="16"/>
      <c r="F210" s="16"/>
      <c r="G210" s="17" t="s">
        <v>25</v>
      </c>
      <c r="H210" s="27">
        <v>13818653471.700001</v>
      </c>
      <c r="I210" s="34"/>
      <c r="J210" s="249"/>
      <c r="K210" s="274"/>
      <c r="L210" s="117"/>
      <c r="M210" s="27">
        <v>13818653472</v>
      </c>
      <c r="N210" s="27"/>
      <c r="O210" s="27"/>
      <c r="P210" s="27"/>
      <c r="Q210" s="27"/>
      <c r="R210" s="27">
        <v>13818653472</v>
      </c>
      <c r="S210" s="27">
        <v>0</v>
      </c>
      <c r="T210" s="27">
        <v>0</v>
      </c>
      <c r="U210" s="254"/>
      <c r="V210" s="272">
        <f t="shared" si="6"/>
        <v>0</v>
      </c>
      <c r="W210" s="93">
        <v>13818653471.700001</v>
      </c>
      <c r="X210" s="93">
        <v>13473187137</v>
      </c>
      <c r="Y210" s="93">
        <v>13127720800</v>
      </c>
    </row>
    <row r="211" spans="1:25" ht="16.5" hidden="1" x14ac:dyDescent="0.3">
      <c r="A211" s="223" t="e">
        <f t="shared" si="7"/>
        <v>#REF!</v>
      </c>
      <c r="B211" s="14"/>
      <c r="C211" s="308"/>
      <c r="D211" s="341"/>
      <c r="E211" s="16"/>
      <c r="F211" s="16"/>
      <c r="G211" s="17"/>
      <c r="H211" s="27"/>
      <c r="I211" s="34"/>
      <c r="J211" s="249"/>
      <c r="K211" s="274"/>
      <c r="L211" s="117"/>
      <c r="M211" s="27"/>
      <c r="N211" s="27"/>
      <c r="O211" s="27"/>
      <c r="P211" s="27"/>
      <c r="Q211" s="27"/>
      <c r="R211" s="27"/>
      <c r="S211" s="27"/>
      <c r="T211" s="27"/>
      <c r="U211" s="254"/>
      <c r="V211" s="272">
        <f t="shared" si="6"/>
        <v>0</v>
      </c>
    </row>
    <row r="212" spans="1:25" ht="16.5" hidden="1" x14ac:dyDescent="0.3">
      <c r="A212" s="223" t="e">
        <f t="shared" si="7"/>
        <v>#REF!</v>
      </c>
      <c r="B212" s="14"/>
      <c r="C212" s="308"/>
      <c r="D212" s="341" t="s">
        <v>118</v>
      </c>
      <c r="E212" s="16"/>
      <c r="F212" s="16"/>
      <c r="G212" s="17" t="s">
        <v>25</v>
      </c>
      <c r="H212" s="27">
        <v>8497604731.000001</v>
      </c>
      <c r="I212" s="34"/>
      <c r="J212" s="249"/>
      <c r="K212" s="274"/>
      <c r="L212" s="128" t="s">
        <v>215</v>
      </c>
      <c r="M212" s="27">
        <v>8497604731</v>
      </c>
      <c r="N212" s="27">
        <v>0</v>
      </c>
      <c r="O212" s="27">
        <v>0</v>
      </c>
      <c r="P212" s="27">
        <v>0</v>
      </c>
      <c r="Q212" s="27">
        <v>0</v>
      </c>
      <c r="R212" s="27">
        <v>8497604731</v>
      </c>
      <c r="S212" s="27">
        <v>0</v>
      </c>
      <c r="T212" s="27"/>
      <c r="U212" s="254" t="s">
        <v>99</v>
      </c>
      <c r="V212" s="272">
        <f t="shared" si="6"/>
        <v>0</v>
      </c>
      <c r="W212" s="93">
        <v>8497604731.000001</v>
      </c>
      <c r="X212" s="93">
        <v>7811305457</v>
      </c>
      <c r="Y212" s="93">
        <v>7811305457</v>
      </c>
    </row>
    <row r="213" spans="1:25" ht="16.5" hidden="1" x14ac:dyDescent="0.3">
      <c r="A213" s="223" t="e">
        <f t="shared" si="7"/>
        <v>#REF!</v>
      </c>
      <c r="B213" s="14"/>
      <c r="C213" s="308"/>
      <c r="D213" s="341" t="s">
        <v>92</v>
      </c>
      <c r="E213" s="16"/>
      <c r="F213" s="16"/>
      <c r="G213" s="17"/>
      <c r="H213" s="27"/>
      <c r="I213" s="34"/>
      <c r="J213" s="249"/>
      <c r="K213" s="274"/>
      <c r="L213" s="117"/>
      <c r="M213" s="27"/>
      <c r="N213" s="27"/>
      <c r="O213" s="27"/>
      <c r="P213" s="27"/>
      <c r="Q213" s="27"/>
      <c r="R213" s="27"/>
      <c r="S213" s="27"/>
      <c r="T213" s="27"/>
      <c r="U213" s="254"/>
      <c r="V213" s="272">
        <f t="shared" si="6"/>
        <v>0</v>
      </c>
    </row>
    <row r="214" spans="1:25" ht="16.5" hidden="1" x14ac:dyDescent="0.3">
      <c r="A214" s="223" t="e">
        <f t="shared" si="7"/>
        <v>#REF!</v>
      </c>
      <c r="B214" s="14"/>
      <c r="C214" s="308"/>
      <c r="D214" s="341" t="s">
        <v>119</v>
      </c>
      <c r="E214" s="16"/>
      <c r="F214" s="16"/>
      <c r="G214" s="17" t="s">
        <v>25</v>
      </c>
      <c r="H214" s="27">
        <v>305008000</v>
      </c>
      <c r="I214" s="34"/>
      <c r="J214" s="249"/>
      <c r="K214" s="274"/>
      <c r="L214" s="128" t="s">
        <v>215</v>
      </c>
      <c r="M214" s="27">
        <v>305008000</v>
      </c>
      <c r="N214" s="27"/>
      <c r="O214" s="27"/>
      <c r="P214" s="27"/>
      <c r="Q214" s="27"/>
      <c r="R214" s="27">
        <v>305008000</v>
      </c>
      <c r="S214" s="27">
        <v>0</v>
      </c>
      <c r="T214" s="27"/>
      <c r="U214" s="254" t="s">
        <v>99</v>
      </c>
      <c r="V214" s="272">
        <f t="shared" si="6"/>
        <v>0</v>
      </c>
      <c r="W214" s="93">
        <v>305008000</v>
      </c>
      <c r="X214" s="93">
        <v>289757600</v>
      </c>
      <c r="Y214" s="93">
        <v>289757600</v>
      </c>
    </row>
    <row r="215" spans="1:25" ht="16.5" hidden="1" x14ac:dyDescent="0.3">
      <c r="A215" s="223" t="e">
        <f t="shared" si="7"/>
        <v>#REF!</v>
      </c>
      <c r="B215" s="14"/>
      <c r="C215" s="308"/>
      <c r="D215" s="346" t="s">
        <v>93</v>
      </c>
      <c r="E215" s="94"/>
      <c r="F215" s="94"/>
      <c r="G215" s="96"/>
      <c r="H215" s="80"/>
      <c r="I215" s="97"/>
      <c r="J215" s="270"/>
      <c r="K215" s="273"/>
      <c r="L215" s="118"/>
      <c r="M215" s="80"/>
      <c r="N215" s="80"/>
      <c r="O215" s="80"/>
      <c r="P215" s="80"/>
      <c r="Q215" s="80"/>
      <c r="R215" s="80"/>
      <c r="S215" s="80"/>
      <c r="T215" s="80"/>
      <c r="U215" s="254"/>
      <c r="V215" s="272">
        <f t="shared" si="6"/>
        <v>0</v>
      </c>
    </row>
    <row r="216" spans="1:25" ht="16.5" hidden="1" x14ac:dyDescent="0.3">
      <c r="A216" s="223" t="e">
        <f t="shared" si="7"/>
        <v>#REF!</v>
      </c>
      <c r="B216" s="14"/>
      <c r="C216" s="308"/>
      <c r="D216" s="350" t="s">
        <v>73</v>
      </c>
      <c r="E216" s="102"/>
      <c r="F216" s="102"/>
      <c r="G216" s="103" t="s">
        <v>25</v>
      </c>
      <c r="H216" s="104">
        <v>63641830076</v>
      </c>
      <c r="I216" s="105"/>
      <c r="J216" s="277"/>
      <c r="K216" s="280"/>
      <c r="L216" s="119"/>
      <c r="M216" s="104">
        <v>63641830076.300003</v>
      </c>
      <c r="N216" s="104">
        <v>0</v>
      </c>
      <c r="O216" s="104">
        <v>0</v>
      </c>
      <c r="P216" s="104">
        <v>0</v>
      </c>
      <c r="Q216" s="104">
        <v>0</v>
      </c>
      <c r="R216" s="104">
        <v>63641830076.300003</v>
      </c>
      <c r="S216" s="104">
        <v>0</v>
      </c>
      <c r="T216" s="104">
        <v>0</v>
      </c>
      <c r="U216" s="254"/>
      <c r="V216" s="272">
        <f t="shared" si="6"/>
        <v>0</v>
      </c>
      <c r="W216" s="93">
        <v>63641830076</v>
      </c>
      <c r="X216" s="93">
        <v>61569299970.650002</v>
      </c>
      <c r="Y216" s="93">
        <v>60198319537</v>
      </c>
    </row>
    <row r="217" spans="1:25" ht="16.5" hidden="1" x14ac:dyDescent="0.3">
      <c r="A217" s="223" t="e">
        <f t="shared" si="7"/>
        <v>#REF!</v>
      </c>
      <c r="B217" s="14"/>
      <c r="C217" s="308"/>
      <c r="D217" s="341"/>
      <c r="E217" s="16"/>
      <c r="F217" s="16"/>
      <c r="G217" s="17"/>
      <c r="H217" s="27"/>
      <c r="I217" s="34"/>
      <c r="J217" s="249"/>
      <c r="K217" s="274"/>
      <c r="L217" s="117"/>
      <c r="M217" s="27"/>
      <c r="N217" s="27"/>
      <c r="O217" s="27"/>
      <c r="P217" s="27"/>
      <c r="Q217" s="27"/>
      <c r="R217" s="27"/>
      <c r="S217" s="27"/>
      <c r="T217" s="27"/>
      <c r="U217" s="254"/>
      <c r="V217" s="272">
        <f t="shared" si="6"/>
        <v>0</v>
      </c>
    </row>
    <row r="218" spans="1:25" ht="16.5" hidden="1" x14ac:dyDescent="0.3">
      <c r="A218" s="223" t="e">
        <f t="shared" si="7"/>
        <v>#REF!</v>
      </c>
      <c r="B218" s="14"/>
      <c r="C218" s="308" t="s">
        <v>50</v>
      </c>
      <c r="D218" s="341" t="s">
        <v>51</v>
      </c>
      <c r="E218" s="22"/>
      <c r="F218" s="22"/>
      <c r="G218" s="17"/>
      <c r="H218" s="27"/>
      <c r="I218" s="34"/>
      <c r="J218" s="249"/>
      <c r="K218" s="250"/>
      <c r="L218" s="117"/>
      <c r="M218" s="27"/>
      <c r="N218" s="27"/>
      <c r="O218" s="27"/>
      <c r="P218" s="27"/>
      <c r="Q218" s="27"/>
      <c r="R218" s="27"/>
      <c r="S218" s="27"/>
      <c r="T218" s="27"/>
      <c r="U218" s="254"/>
      <c r="V218" s="272">
        <f t="shared" si="6"/>
        <v>0</v>
      </c>
    </row>
    <row r="219" spans="1:25" ht="16.5" hidden="1" x14ac:dyDescent="0.3">
      <c r="A219" s="223" t="e">
        <f t="shared" si="7"/>
        <v>#REF!</v>
      </c>
      <c r="B219" s="14"/>
      <c r="C219" s="308"/>
      <c r="D219" s="341" t="s">
        <v>120</v>
      </c>
      <c r="E219" s="22"/>
      <c r="F219" s="22"/>
      <c r="G219" s="17" t="s">
        <v>25</v>
      </c>
      <c r="H219" s="27">
        <v>51865000000.000008</v>
      </c>
      <c r="I219" s="34"/>
      <c r="J219" s="249"/>
      <c r="K219" s="250"/>
      <c r="L219" s="128" t="s">
        <v>205</v>
      </c>
      <c r="M219" s="27">
        <v>58113286044</v>
      </c>
      <c r="N219" s="27"/>
      <c r="O219" s="27"/>
      <c r="P219" s="27"/>
      <c r="Q219" s="27"/>
      <c r="R219" s="27">
        <v>58113286044</v>
      </c>
      <c r="S219" s="27">
        <v>0</v>
      </c>
      <c r="T219" s="27"/>
      <c r="U219" s="27" t="s">
        <v>99</v>
      </c>
      <c r="V219" s="272">
        <f t="shared" si="6"/>
        <v>0</v>
      </c>
      <c r="W219" s="93">
        <v>51865000000.000008</v>
      </c>
      <c r="X219" s="93">
        <v>55207621742</v>
      </c>
      <c r="Y219" s="93">
        <v>54734521969</v>
      </c>
    </row>
    <row r="220" spans="1:25" ht="16.5" hidden="1" x14ac:dyDescent="0.3">
      <c r="A220" s="223" t="e">
        <f t="shared" si="7"/>
        <v>#REF!</v>
      </c>
      <c r="B220" s="14"/>
      <c r="C220" s="308"/>
      <c r="D220" s="346" t="s">
        <v>80</v>
      </c>
      <c r="E220" s="100"/>
      <c r="F220" s="100"/>
      <c r="G220" s="96" t="s">
        <v>25</v>
      </c>
      <c r="H220" s="80">
        <v>6248286044</v>
      </c>
      <c r="I220" s="97"/>
      <c r="J220" s="270"/>
      <c r="K220" s="271"/>
      <c r="L220" s="118"/>
      <c r="M220" s="80"/>
      <c r="N220" s="80"/>
      <c r="O220" s="80"/>
      <c r="P220" s="80"/>
      <c r="Q220" s="80"/>
      <c r="R220" s="80"/>
      <c r="S220" s="80"/>
      <c r="T220" s="80"/>
      <c r="U220" s="254"/>
      <c r="V220" s="272">
        <f t="shared" si="6"/>
        <v>2</v>
      </c>
      <c r="W220" s="93">
        <v>6248286042</v>
      </c>
    </row>
    <row r="221" spans="1:25" ht="16.5" hidden="1" x14ac:dyDescent="0.3">
      <c r="A221" s="223" t="e">
        <f t="shared" si="7"/>
        <v>#REF!</v>
      </c>
      <c r="B221" s="14"/>
      <c r="C221" s="308"/>
      <c r="D221" s="341" t="s">
        <v>76</v>
      </c>
      <c r="E221" s="16"/>
      <c r="F221" s="16"/>
      <c r="G221" s="17" t="s">
        <v>25</v>
      </c>
      <c r="H221" s="27">
        <v>58113286044.000008</v>
      </c>
      <c r="I221" s="34"/>
      <c r="J221" s="249"/>
      <c r="K221" s="274"/>
      <c r="L221" s="117"/>
      <c r="M221" s="27">
        <v>58113286044</v>
      </c>
      <c r="N221" s="27"/>
      <c r="O221" s="27"/>
      <c r="P221" s="27"/>
      <c r="Q221" s="27"/>
      <c r="R221" s="27">
        <v>58113286044</v>
      </c>
      <c r="S221" s="27">
        <v>0</v>
      </c>
      <c r="T221" s="27">
        <v>0</v>
      </c>
      <c r="U221" s="254"/>
      <c r="V221" s="272">
        <f t="shared" si="6"/>
        <v>2</v>
      </c>
      <c r="W221" s="93">
        <v>58113286042.000008</v>
      </c>
      <c r="X221" s="93">
        <v>55207621742</v>
      </c>
      <c r="Y221" s="93">
        <v>54734521969</v>
      </c>
    </row>
    <row r="222" spans="1:25" ht="16.5" hidden="1" x14ac:dyDescent="0.3">
      <c r="A222" s="223" t="e">
        <f t="shared" si="7"/>
        <v>#REF!</v>
      </c>
      <c r="B222" s="14"/>
      <c r="C222" s="308"/>
      <c r="D222" s="341"/>
      <c r="E222" s="16"/>
      <c r="F222" s="16"/>
      <c r="G222" s="17"/>
      <c r="H222" s="27"/>
      <c r="I222" s="34"/>
      <c r="J222" s="249"/>
      <c r="K222" s="274"/>
      <c r="L222" s="117"/>
      <c r="M222" s="27"/>
      <c r="N222" s="27"/>
      <c r="O222" s="27"/>
      <c r="P222" s="27"/>
      <c r="Q222" s="27"/>
      <c r="R222" s="27"/>
      <c r="S222" s="27"/>
      <c r="T222" s="27"/>
      <c r="U222" s="254"/>
      <c r="V222" s="272">
        <f t="shared" si="6"/>
        <v>0</v>
      </c>
    </row>
    <row r="223" spans="1:25" ht="16.5" hidden="1" x14ac:dyDescent="0.3">
      <c r="A223" s="223" t="e">
        <f t="shared" si="7"/>
        <v>#REF!</v>
      </c>
      <c r="B223" s="14"/>
      <c r="C223" s="308"/>
      <c r="D223" s="349" t="s">
        <v>121</v>
      </c>
      <c r="E223" s="16"/>
      <c r="F223" s="16"/>
      <c r="G223" s="17" t="s">
        <v>25</v>
      </c>
      <c r="H223" s="27">
        <v>47850000000.000008</v>
      </c>
      <c r="I223" s="34"/>
      <c r="J223" s="249"/>
      <c r="K223" s="274"/>
      <c r="L223" s="128" t="s">
        <v>205</v>
      </c>
      <c r="M223" s="27">
        <v>50651312528</v>
      </c>
      <c r="N223" s="27"/>
      <c r="O223" s="27"/>
      <c r="P223" s="27"/>
      <c r="Q223" s="27"/>
      <c r="R223" s="27">
        <v>50651312528</v>
      </c>
      <c r="S223" s="27">
        <v>0</v>
      </c>
      <c r="T223" s="27"/>
      <c r="U223" s="27" t="s">
        <v>99</v>
      </c>
      <c r="V223" s="272">
        <f t="shared" si="6"/>
        <v>0</v>
      </c>
      <c r="W223" s="93">
        <v>47850000000.000008</v>
      </c>
      <c r="X223" s="93">
        <v>48118746902</v>
      </c>
      <c r="Y223" s="93">
        <v>44750418677</v>
      </c>
    </row>
    <row r="224" spans="1:25" ht="16.5" hidden="1" x14ac:dyDescent="0.3">
      <c r="A224" s="223" t="e">
        <f t="shared" si="7"/>
        <v>#REF!</v>
      </c>
      <c r="B224" s="14"/>
      <c r="C224" s="308"/>
      <c r="D224" s="346" t="s">
        <v>80</v>
      </c>
      <c r="E224" s="100"/>
      <c r="F224" s="100"/>
      <c r="G224" s="96" t="s">
        <v>25</v>
      </c>
      <c r="H224" s="80">
        <v>2801312527.999999</v>
      </c>
      <c r="I224" s="97"/>
      <c r="J224" s="270"/>
      <c r="K224" s="271"/>
      <c r="L224" s="118"/>
      <c r="M224" s="80"/>
      <c r="N224" s="80"/>
      <c r="O224" s="80"/>
      <c r="P224" s="80"/>
      <c r="Q224" s="80"/>
      <c r="R224" s="80"/>
      <c r="S224" s="80"/>
      <c r="T224" s="80"/>
      <c r="U224" s="254"/>
      <c r="V224" s="272">
        <f t="shared" si="6"/>
        <v>0</v>
      </c>
      <c r="W224" s="93">
        <v>2801312527.999999</v>
      </c>
    </row>
    <row r="225" spans="1:25" ht="16.5" hidden="1" x14ac:dyDescent="0.3">
      <c r="A225" s="223" t="e">
        <f t="shared" si="7"/>
        <v>#REF!</v>
      </c>
      <c r="B225" s="14"/>
      <c r="C225" s="308"/>
      <c r="D225" s="341" t="s">
        <v>76</v>
      </c>
      <c r="E225" s="16"/>
      <c r="F225" s="16"/>
      <c r="G225" s="17" t="s">
        <v>25</v>
      </c>
      <c r="H225" s="27">
        <v>50651312528.000008</v>
      </c>
      <c r="I225" s="34"/>
      <c r="J225" s="249"/>
      <c r="K225" s="274"/>
      <c r="L225" s="117"/>
      <c r="M225" s="27">
        <v>50651312528</v>
      </c>
      <c r="N225" s="27"/>
      <c r="O225" s="27"/>
      <c r="P225" s="27"/>
      <c r="Q225" s="27"/>
      <c r="R225" s="27">
        <v>50651312528</v>
      </c>
      <c r="S225" s="27">
        <v>0</v>
      </c>
      <c r="T225" s="27">
        <v>0</v>
      </c>
      <c r="U225" s="254"/>
      <c r="V225" s="272">
        <f t="shared" si="6"/>
        <v>0</v>
      </c>
      <c r="W225" s="93">
        <v>50651312528.000008</v>
      </c>
      <c r="X225" s="93">
        <v>48118746902</v>
      </c>
      <c r="Y225" s="93">
        <v>44750418677</v>
      </c>
    </row>
    <row r="226" spans="1:25" ht="16.5" hidden="1" x14ac:dyDescent="0.3">
      <c r="A226" s="223" t="e">
        <f t="shared" si="7"/>
        <v>#REF!</v>
      </c>
      <c r="B226" s="76"/>
      <c r="C226" s="310"/>
      <c r="D226" s="346"/>
      <c r="E226" s="94"/>
      <c r="F226" s="94"/>
      <c r="G226" s="96"/>
      <c r="H226" s="80"/>
      <c r="I226" s="97"/>
      <c r="J226" s="270"/>
      <c r="K226" s="273"/>
      <c r="L226" s="118"/>
      <c r="M226" s="80"/>
      <c r="N226" s="80"/>
      <c r="O226" s="80"/>
      <c r="P226" s="80"/>
      <c r="Q226" s="80"/>
      <c r="R226" s="80"/>
      <c r="S226" s="80"/>
      <c r="T226" s="80"/>
      <c r="U226" s="275"/>
      <c r="V226" s="272">
        <f t="shared" si="6"/>
        <v>0</v>
      </c>
    </row>
    <row r="227" spans="1:25" ht="11.25" hidden="1" customHeight="1" x14ac:dyDescent="0.3">
      <c r="A227" s="223"/>
      <c r="B227" s="14"/>
      <c r="C227" s="308"/>
      <c r="D227" s="341"/>
      <c r="E227" s="16"/>
      <c r="F227" s="16"/>
      <c r="G227" s="17"/>
      <c r="H227" s="27"/>
      <c r="I227" s="34"/>
      <c r="J227" s="249"/>
      <c r="K227" s="274"/>
      <c r="L227" s="117"/>
      <c r="M227" s="27"/>
      <c r="N227" s="27"/>
      <c r="O227" s="27"/>
      <c r="P227" s="27"/>
      <c r="Q227" s="27"/>
      <c r="R227" s="27"/>
      <c r="S227" s="27"/>
      <c r="T227" s="27"/>
      <c r="U227" s="254"/>
      <c r="V227" s="272">
        <f t="shared" si="6"/>
        <v>0</v>
      </c>
    </row>
    <row r="228" spans="1:25" ht="16.5" hidden="1" x14ac:dyDescent="0.3">
      <c r="A228" s="223">
        <f t="shared" si="7"/>
        <v>1</v>
      </c>
      <c r="B228" s="14"/>
      <c r="C228" s="308"/>
      <c r="D228" s="341" t="s">
        <v>125</v>
      </c>
      <c r="E228" s="16"/>
      <c r="F228" s="16"/>
      <c r="G228" s="17" t="s">
        <v>25</v>
      </c>
      <c r="H228" s="27">
        <v>699093485</v>
      </c>
      <c r="I228" s="34"/>
      <c r="J228" s="249"/>
      <c r="K228" s="274"/>
      <c r="L228" s="132">
        <v>1</v>
      </c>
      <c r="M228" s="27">
        <v>699093485</v>
      </c>
      <c r="N228" s="27">
        <v>23100000.000000004</v>
      </c>
      <c r="O228" s="27">
        <v>23100000.000000004</v>
      </c>
      <c r="P228" s="27">
        <v>23100000.000000004</v>
      </c>
      <c r="Q228" s="27">
        <v>23100000.000000004</v>
      </c>
      <c r="R228" s="27">
        <v>699093485</v>
      </c>
      <c r="S228" s="27">
        <v>0</v>
      </c>
      <c r="U228" s="27" t="s">
        <v>99</v>
      </c>
      <c r="V228" s="272">
        <f t="shared" si="6"/>
        <v>0</v>
      </c>
      <c r="W228" s="93">
        <v>699093485</v>
      </c>
      <c r="X228" s="93">
        <v>699093485</v>
      </c>
      <c r="Y228" s="93">
        <v>388882148</v>
      </c>
    </row>
    <row r="229" spans="1:25" ht="16.5" hidden="1" x14ac:dyDescent="0.3">
      <c r="A229" s="223">
        <f t="shared" si="7"/>
        <v>2</v>
      </c>
      <c r="B229" s="14"/>
      <c r="C229" s="308"/>
      <c r="D229" s="341" t="s">
        <v>126</v>
      </c>
      <c r="E229" s="16"/>
      <c r="F229" s="16"/>
      <c r="G229" s="17"/>
      <c r="H229" s="27"/>
      <c r="I229" s="34"/>
      <c r="J229" s="249"/>
      <c r="K229" s="274"/>
      <c r="L229" s="117"/>
      <c r="M229" s="27"/>
      <c r="N229" s="27"/>
      <c r="O229" s="27"/>
      <c r="P229" s="27"/>
      <c r="Q229" s="27"/>
      <c r="R229" s="27"/>
      <c r="S229" s="27"/>
      <c r="T229" s="27"/>
      <c r="U229" s="254"/>
      <c r="V229" s="272">
        <f t="shared" si="6"/>
        <v>0</v>
      </c>
    </row>
    <row r="230" spans="1:25" ht="16.5" hidden="1" x14ac:dyDescent="0.3">
      <c r="A230" s="223">
        <f t="shared" ref="A230:A291" si="8">+A229+1</f>
        <v>3</v>
      </c>
      <c r="B230" s="14"/>
      <c r="C230" s="308"/>
      <c r="D230" s="350" t="s">
        <v>73</v>
      </c>
      <c r="E230" s="102"/>
      <c r="F230" s="102"/>
      <c r="G230" s="103" t="s">
        <v>25</v>
      </c>
      <c r="H230" s="104">
        <v>109463692057.00002</v>
      </c>
      <c r="I230" s="105"/>
      <c r="J230" s="277"/>
      <c r="K230" s="280"/>
      <c r="L230" s="119"/>
      <c r="M230" s="104">
        <v>109463692057</v>
      </c>
      <c r="N230" s="104">
        <v>0</v>
      </c>
      <c r="O230" s="104">
        <v>0</v>
      </c>
      <c r="P230" s="104">
        <v>0</v>
      </c>
      <c r="Q230" s="104">
        <v>0</v>
      </c>
      <c r="R230" s="104">
        <v>109463692057</v>
      </c>
      <c r="S230" s="104">
        <v>0</v>
      </c>
      <c r="T230" s="104"/>
      <c r="U230" s="254"/>
      <c r="V230" s="272">
        <f t="shared" si="6"/>
        <v>2</v>
      </c>
      <c r="W230" s="93">
        <v>109463692055.00002</v>
      </c>
      <c r="X230" s="93">
        <v>104025462129</v>
      </c>
      <c r="Y230" s="93">
        <v>99873822794</v>
      </c>
    </row>
    <row r="231" spans="1:25" ht="16.5" hidden="1" x14ac:dyDescent="0.3">
      <c r="A231" s="223">
        <f t="shared" si="8"/>
        <v>4</v>
      </c>
      <c r="B231" s="14"/>
      <c r="C231" s="308"/>
      <c r="D231" s="341"/>
      <c r="E231" s="16"/>
      <c r="F231" s="16"/>
      <c r="G231" s="17"/>
      <c r="H231" s="27"/>
      <c r="I231" s="34"/>
      <c r="J231" s="249"/>
      <c r="K231" s="274"/>
      <c r="L231" s="117"/>
      <c r="M231" s="27"/>
      <c r="N231" s="27"/>
      <c r="O231" s="27"/>
      <c r="P231" s="27"/>
      <c r="Q231" s="27"/>
      <c r="R231" s="27"/>
      <c r="S231" s="27"/>
      <c r="T231" s="27"/>
      <c r="U231" s="254"/>
      <c r="V231" s="272">
        <f t="shared" si="6"/>
        <v>0</v>
      </c>
    </row>
    <row r="232" spans="1:25" ht="16.5" hidden="1" x14ac:dyDescent="0.3">
      <c r="A232" s="223">
        <f t="shared" si="8"/>
        <v>5</v>
      </c>
      <c r="B232" s="14"/>
      <c r="C232" s="308" t="s">
        <v>52</v>
      </c>
      <c r="D232" s="341" t="s">
        <v>53</v>
      </c>
      <c r="E232" s="24"/>
      <c r="F232" s="24"/>
      <c r="G232" s="54"/>
      <c r="H232" s="27"/>
      <c r="I232" s="34"/>
      <c r="J232" s="249"/>
      <c r="K232" s="274"/>
      <c r="L232" s="117"/>
      <c r="M232" s="27"/>
      <c r="N232" s="27"/>
      <c r="O232" s="27"/>
      <c r="P232" s="27"/>
      <c r="Q232" s="27"/>
      <c r="R232" s="27"/>
      <c r="S232" s="27"/>
      <c r="T232" s="27"/>
      <c r="U232" s="254"/>
      <c r="V232" s="272">
        <f t="shared" si="6"/>
        <v>0</v>
      </c>
    </row>
    <row r="233" spans="1:25" ht="16.5" hidden="1" x14ac:dyDescent="0.3">
      <c r="A233" s="223">
        <f t="shared" si="8"/>
        <v>6</v>
      </c>
      <c r="B233" s="14"/>
      <c r="C233" s="308"/>
      <c r="D233" s="341" t="s">
        <v>122</v>
      </c>
      <c r="E233" s="16"/>
      <c r="F233" s="16"/>
      <c r="G233" s="54" t="s">
        <v>25</v>
      </c>
      <c r="H233" s="27">
        <v>20625000000</v>
      </c>
      <c r="I233" s="34"/>
      <c r="J233" s="249"/>
      <c r="K233" s="274"/>
      <c r="L233" s="128" t="s">
        <v>170</v>
      </c>
      <c r="M233" s="108">
        <v>23233815133</v>
      </c>
      <c r="N233" s="108">
        <v>23233815133</v>
      </c>
      <c r="O233" s="108">
        <v>23233815133</v>
      </c>
      <c r="P233" s="108">
        <v>23233815133</v>
      </c>
      <c r="Q233" s="108">
        <v>23233815133</v>
      </c>
      <c r="R233" s="108">
        <v>23233815133</v>
      </c>
      <c r="S233" s="108">
        <v>0</v>
      </c>
      <c r="T233" s="108">
        <v>0</v>
      </c>
      <c r="U233" s="254" t="s">
        <v>99</v>
      </c>
      <c r="V233" s="272">
        <f t="shared" si="6"/>
        <v>0</v>
      </c>
      <c r="W233" s="93">
        <v>20625000000</v>
      </c>
      <c r="X233" s="93">
        <v>21104088105</v>
      </c>
      <c r="Y233" s="93">
        <v>21104088105</v>
      </c>
    </row>
    <row r="234" spans="1:25" ht="16.5" hidden="1" x14ac:dyDescent="0.3">
      <c r="A234" s="223">
        <f t="shared" si="8"/>
        <v>7</v>
      </c>
      <c r="B234" s="14"/>
      <c r="C234" s="308"/>
      <c r="D234" s="346" t="s">
        <v>80</v>
      </c>
      <c r="E234" s="94"/>
      <c r="F234" s="94"/>
      <c r="G234" s="91" t="s">
        <v>25</v>
      </c>
      <c r="H234" s="80">
        <v>2608815133</v>
      </c>
      <c r="I234" s="97"/>
      <c r="J234" s="270"/>
      <c r="K234" s="273"/>
      <c r="L234" s="118"/>
      <c r="M234" s="80"/>
      <c r="N234" s="80"/>
      <c r="O234" s="80"/>
      <c r="P234" s="80"/>
      <c r="Q234" s="80"/>
      <c r="R234" s="80"/>
      <c r="S234" s="80"/>
      <c r="T234" s="80"/>
      <c r="U234" s="254"/>
      <c r="V234" s="272">
        <f t="shared" si="6"/>
        <v>1</v>
      </c>
      <c r="W234" s="93">
        <v>2608815132</v>
      </c>
    </row>
    <row r="235" spans="1:25" ht="16.5" hidden="1" x14ac:dyDescent="0.3">
      <c r="A235" s="223">
        <f t="shared" si="8"/>
        <v>8</v>
      </c>
      <c r="B235" s="14"/>
      <c r="C235" s="308"/>
      <c r="D235" s="346" t="s">
        <v>76</v>
      </c>
      <c r="E235" s="94"/>
      <c r="F235" s="94"/>
      <c r="G235" s="91" t="s">
        <v>25</v>
      </c>
      <c r="H235" s="80">
        <v>23233815133</v>
      </c>
      <c r="I235" s="97"/>
      <c r="J235" s="270"/>
      <c r="K235" s="273"/>
      <c r="L235" s="118"/>
      <c r="M235" s="80">
        <v>23233815133</v>
      </c>
      <c r="N235" s="80">
        <v>23233815133</v>
      </c>
      <c r="O235" s="80">
        <v>23233815133</v>
      </c>
      <c r="P235" s="80">
        <v>23233815133</v>
      </c>
      <c r="Q235" s="80">
        <v>23233815133</v>
      </c>
      <c r="R235" s="80">
        <v>23233815133</v>
      </c>
      <c r="S235" s="80">
        <v>0</v>
      </c>
      <c r="T235" s="80">
        <v>0</v>
      </c>
      <c r="U235" s="275"/>
      <c r="V235" s="272">
        <f t="shared" si="6"/>
        <v>1</v>
      </c>
      <c r="W235" s="93">
        <v>23233815132</v>
      </c>
      <c r="X235" s="93">
        <v>21104088105</v>
      </c>
      <c r="Y235" s="93">
        <v>21104088105</v>
      </c>
    </row>
    <row r="236" spans="1:25" ht="16.5" hidden="1" x14ac:dyDescent="0.3">
      <c r="A236" s="223">
        <f t="shared" si="8"/>
        <v>9</v>
      </c>
      <c r="B236" s="14"/>
      <c r="C236" s="308"/>
      <c r="D236" s="341"/>
      <c r="E236" s="16"/>
      <c r="F236" s="16"/>
      <c r="G236" s="17"/>
      <c r="H236" s="27"/>
      <c r="I236" s="34"/>
      <c r="J236" s="249"/>
      <c r="K236" s="274"/>
      <c r="L236" s="117"/>
      <c r="M236" s="27"/>
      <c r="N236" s="27"/>
      <c r="O236" s="27"/>
      <c r="P236" s="27"/>
      <c r="Q236" s="27"/>
      <c r="R236" s="27"/>
      <c r="S236" s="27"/>
      <c r="T236" s="27"/>
      <c r="U236" s="254"/>
      <c r="V236" s="272">
        <f t="shared" si="6"/>
        <v>0</v>
      </c>
    </row>
    <row r="237" spans="1:25" ht="16.5" hidden="1" x14ac:dyDescent="0.3">
      <c r="A237" s="223">
        <f t="shared" si="8"/>
        <v>10</v>
      </c>
      <c r="B237" s="14"/>
      <c r="C237" s="308" t="s">
        <v>54</v>
      </c>
      <c r="D237" s="341" t="s">
        <v>55</v>
      </c>
      <c r="E237" s="24"/>
      <c r="F237" s="24"/>
      <c r="G237" s="54" t="s">
        <v>25</v>
      </c>
      <c r="H237" s="27">
        <v>16500000000</v>
      </c>
      <c r="I237" s="46"/>
      <c r="J237" s="249"/>
      <c r="K237" s="250"/>
      <c r="L237" s="128">
        <v>1</v>
      </c>
      <c r="M237" s="27">
        <v>16500000000</v>
      </c>
      <c r="N237" s="27">
        <v>-541322736.9000001</v>
      </c>
      <c r="O237" s="27">
        <v>-541322736.9000001</v>
      </c>
      <c r="P237" s="27">
        <v>-541322736.9000001</v>
      </c>
      <c r="Q237" s="27">
        <v>-541322736.9000001</v>
      </c>
      <c r="R237" s="27">
        <v>16500000000</v>
      </c>
      <c r="S237" s="27">
        <v>0</v>
      </c>
      <c r="T237" s="27">
        <v>0</v>
      </c>
      <c r="U237" s="254" t="s">
        <v>99</v>
      </c>
      <c r="V237" s="272">
        <f t="shared" si="6"/>
        <v>0</v>
      </c>
      <c r="W237" s="93">
        <v>16500000000</v>
      </c>
      <c r="X237" s="93">
        <v>16500000000</v>
      </c>
      <c r="Y237" s="93">
        <v>15675000000</v>
      </c>
    </row>
    <row r="238" spans="1:25" ht="16.5" hidden="1" x14ac:dyDescent="0.3">
      <c r="A238" s="223">
        <f t="shared" si="8"/>
        <v>11</v>
      </c>
      <c r="B238" s="14"/>
      <c r="C238" s="308"/>
      <c r="D238" s="346" t="s">
        <v>80</v>
      </c>
      <c r="E238" s="79"/>
      <c r="F238" s="79"/>
      <c r="G238" s="91" t="s">
        <v>25</v>
      </c>
      <c r="H238" s="80">
        <v>2389383943.1000004</v>
      </c>
      <c r="I238" s="81"/>
      <c r="J238" s="270"/>
      <c r="K238" s="271"/>
      <c r="L238" s="131">
        <v>1</v>
      </c>
      <c r="M238" s="80">
        <v>2389383943</v>
      </c>
      <c r="N238" s="80">
        <v>-541322736.9000001</v>
      </c>
      <c r="O238" s="80">
        <v>-541322736.9000001</v>
      </c>
      <c r="P238" s="80">
        <v>-541322736.9000001</v>
      </c>
      <c r="Q238" s="80">
        <v>-541322736.9000001</v>
      </c>
      <c r="R238" s="80">
        <v>2389383943</v>
      </c>
      <c r="S238" s="80">
        <v>0</v>
      </c>
      <c r="T238" s="80">
        <v>0.10000038146972656</v>
      </c>
      <c r="U238" s="254"/>
      <c r="V238" s="272">
        <f t="shared" si="6"/>
        <v>-101443320</v>
      </c>
      <c r="W238" s="93">
        <v>2490827263.1000004</v>
      </c>
      <c r="X238" s="93">
        <v>2490827263</v>
      </c>
      <c r="Y238" s="93">
        <v>1439221300</v>
      </c>
    </row>
    <row r="239" spans="1:25" ht="16.5" hidden="1" x14ac:dyDescent="0.3">
      <c r="A239" s="223">
        <f t="shared" si="8"/>
        <v>12</v>
      </c>
      <c r="B239" s="14"/>
      <c r="C239" s="308"/>
      <c r="D239" s="341" t="s">
        <v>76</v>
      </c>
      <c r="E239" s="24"/>
      <c r="F239" s="24"/>
      <c r="G239" s="54" t="s">
        <v>25</v>
      </c>
      <c r="H239" s="27">
        <v>18889383943.099998</v>
      </c>
      <c r="I239" s="46"/>
      <c r="J239" s="249"/>
      <c r="K239" s="250"/>
      <c r="L239" s="128"/>
      <c r="M239" s="27">
        <v>18889383943</v>
      </c>
      <c r="N239" s="27"/>
      <c r="O239" s="27"/>
      <c r="P239" s="27"/>
      <c r="Q239" s="27"/>
      <c r="R239" s="27">
        <v>18889383943</v>
      </c>
      <c r="S239" s="27">
        <v>0</v>
      </c>
      <c r="T239" s="27">
        <v>0.10000038146972656</v>
      </c>
      <c r="U239" s="254"/>
      <c r="V239" s="272">
        <f t="shared" si="6"/>
        <v>-101443320</v>
      </c>
      <c r="W239" s="93">
        <v>18990827263.099998</v>
      </c>
      <c r="X239" s="93">
        <v>18990827263</v>
      </c>
      <c r="Y239" s="93">
        <v>17114221300</v>
      </c>
    </row>
    <row r="240" spans="1:25" ht="16.5" hidden="1" x14ac:dyDescent="0.3">
      <c r="A240" s="223">
        <f t="shared" si="8"/>
        <v>13</v>
      </c>
      <c r="B240" s="14"/>
      <c r="C240" s="308"/>
      <c r="D240" s="341"/>
      <c r="E240" s="24"/>
      <c r="F240" s="24"/>
      <c r="G240" s="54"/>
      <c r="H240" s="27"/>
      <c r="I240" s="46"/>
      <c r="J240" s="249"/>
      <c r="K240" s="250"/>
      <c r="L240" s="128"/>
      <c r="M240" s="27"/>
      <c r="N240" s="27"/>
      <c r="O240" s="27"/>
      <c r="P240" s="27"/>
      <c r="Q240" s="27"/>
      <c r="R240" s="27"/>
      <c r="S240" s="27"/>
      <c r="T240" s="27"/>
      <c r="U240" s="254"/>
      <c r="V240" s="272"/>
    </row>
    <row r="241" spans="1:22" ht="16.5" hidden="1" x14ac:dyDescent="0.3">
      <c r="A241" s="223">
        <f t="shared" si="8"/>
        <v>14</v>
      </c>
      <c r="B241" s="14"/>
      <c r="C241" s="308" t="s">
        <v>177</v>
      </c>
      <c r="D241" s="341" t="s">
        <v>178</v>
      </c>
      <c r="E241" s="24"/>
      <c r="F241" s="24"/>
      <c r="G241" s="54" t="s">
        <v>25</v>
      </c>
      <c r="H241" s="27">
        <v>2126648150</v>
      </c>
      <c r="I241" s="46"/>
      <c r="J241" s="249"/>
      <c r="K241" s="250"/>
      <c r="L241" s="128">
        <v>1</v>
      </c>
      <c r="M241" s="27">
        <v>2126648150</v>
      </c>
      <c r="N241" s="27"/>
      <c r="O241" s="27"/>
      <c r="P241" s="27"/>
      <c r="Q241" s="27"/>
      <c r="R241" s="27">
        <v>2126648150</v>
      </c>
      <c r="S241" s="27">
        <v>0</v>
      </c>
      <c r="T241" s="27">
        <v>0</v>
      </c>
      <c r="U241" s="254" t="s">
        <v>99</v>
      </c>
      <c r="V241" s="272"/>
    </row>
    <row r="242" spans="1:22" ht="16.5" hidden="1" x14ac:dyDescent="0.3">
      <c r="A242" s="223">
        <f t="shared" si="8"/>
        <v>15</v>
      </c>
      <c r="B242" s="14"/>
      <c r="C242" s="308"/>
      <c r="D242" s="342"/>
      <c r="E242" s="24"/>
      <c r="F242" s="24"/>
      <c r="G242" s="54" t="s">
        <v>26</v>
      </c>
      <c r="H242" s="34">
        <v>8206</v>
      </c>
      <c r="I242" s="46"/>
      <c r="J242" s="249"/>
      <c r="K242" s="250"/>
      <c r="L242" s="259">
        <v>1</v>
      </c>
      <c r="M242" s="34">
        <v>8206</v>
      </c>
      <c r="N242" s="89"/>
      <c r="O242" s="89"/>
      <c r="P242" s="89"/>
      <c r="Q242" s="89"/>
      <c r="R242" s="34">
        <v>8206</v>
      </c>
      <c r="S242" s="281"/>
      <c r="T242" s="281"/>
      <c r="U242" s="254" t="s">
        <v>99</v>
      </c>
      <c r="V242" s="272">
        <f t="shared" si="6"/>
        <v>8206</v>
      </c>
    </row>
    <row r="243" spans="1:22" ht="16.5" hidden="1" x14ac:dyDescent="0.3">
      <c r="A243" s="223"/>
      <c r="B243" s="14"/>
      <c r="C243" s="308" t="s">
        <v>14</v>
      </c>
      <c r="D243" s="341" t="s">
        <v>58</v>
      </c>
      <c r="E243" s="24"/>
      <c r="F243" s="24"/>
      <c r="G243" s="54"/>
      <c r="H243" s="27"/>
      <c r="I243" s="46"/>
      <c r="J243" s="249"/>
      <c r="K243" s="269"/>
      <c r="L243" s="251"/>
      <c r="M243" s="27"/>
      <c r="N243" s="27"/>
      <c r="O243" s="27"/>
      <c r="P243" s="27"/>
      <c r="Q243" s="27"/>
      <c r="R243" s="27"/>
      <c r="S243" s="27"/>
      <c r="T243" s="27"/>
      <c r="U243" s="254"/>
      <c r="V243" s="272"/>
    </row>
    <row r="244" spans="1:22" ht="16.5" hidden="1" x14ac:dyDescent="0.3">
      <c r="A244" s="223"/>
      <c r="B244" s="14"/>
      <c r="C244" s="308"/>
      <c r="D244" s="341" t="s">
        <v>124</v>
      </c>
      <c r="E244" s="24"/>
      <c r="F244" s="24"/>
      <c r="G244" s="54" t="s">
        <v>25</v>
      </c>
      <c r="H244" s="27">
        <v>81455880000</v>
      </c>
      <c r="I244" s="46"/>
      <c r="J244" s="249"/>
      <c r="K244" s="269"/>
      <c r="L244" s="117" t="s">
        <v>201</v>
      </c>
      <c r="M244" s="27">
        <v>79535663086</v>
      </c>
      <c r="N244" s="27"/>
      <c r="O244" s="27"/>
      <c r="P244" s="27"/>
      <c r="Q244" s="27"/>
      <c r="R244" s="27">
        <v>79535663086</v>
      </c>
      <c r="S244" s="27">
        <v>0</v>
      </c>
      <c r="T244" s="27">
        <v>0</v>
      </c>
      <c r="U244" s="27" t="s">
        <v>99</v>
      </c>
      <c r="V244" s="272"/>
    </row>
    <row r="245" spans="1:22" ht="16.5" hidden="1" x14ac:dyDescent="0.3">
      <c r="A245" s="223"/>
      <c r="B245" s="14"/>
      <c r="C245" s="308"/>
      <c r="D245" s="346" t="s">
        <v>96</v>
      </c>
      <c r="E245" s="79"/>
      <c r="F245" s="79"/>
      <c r="G245" s="91" t="s">
        <v>25</v>
      </c>
      <c r="H245" s="80">
        <v>-1920216898.5999999</v>
      </c>
      <c r="I245" s="81"/>
      <c r="J245" s="270"/>
      <c r="K245" s="282"/>
      <c r="L245" s="283"/>
      <c r="M245" s="80"/>
      <c r="N245" s="80"/>
      <c r="O245" s="80"/>
      <c r="P245" s="80"/>
      <c r="Q245" s="80"/>
      <c r="R245" s="80"/>
      <c r="S245" s="80"/>
      <c r="T245" s="80"/>
      <c r="U245" s="254"/>
      <c r="V245" s="272"/>
    </row>
    <row r="246" spans="1:22" ht="16.5" hidden="1" x14ac:dyDescent="0.3">
      <c r="A246" s="223"/>
      <c r="B246" s="14"/>
      <c r="C246" s="308"/>
      <c r="D246" s="341" t="s">
        <v>76</v>
      </c>
      <c r="E246" s="24"/>
      <c r="F246" s="24"/>
      <c r="G246" s="54" t="s">
        <v>25</v>
      </c>
      <c r="H246" s="27">
        <v>79535663101.399994</v>
      </c>
      <c r="I246" s="46"/>
      <c r="J246" s="249"/>
      <c r="K246" s="284"/>
      <c r="L246" s="251" t="s">
        <v>201</v>
      </c>
      <c r="M246" s="27">
        <v>79535663086</v>
      </c>
      <c r="N246" s="27"/>
      <c r="O246" s="27"/>
      <c r="P246" s="27"/>
      <c r="Q246" s="27"/>
      <c r="R246" s="27">
        <v>79535663086</v>
      </c>
      <c r="S246" s="27">
        <v>0</v>
      </c>
      <c r="T246" s="27">
        <f>+H246-M246</f>
        <v>15.399993896484375</v>
      </c>
      <c r="U246" s="27" t="s">
        <v>99</v>
      </c>
      <c r="V246" s="272"/>
    </row>
    <row r="247" spans="1:22" ht="16.5" hidden="1" x14ac:dyDescent="0.3">
      <c r="A247" s="223"/>
      <c r="B247" s="14"/>
      <c r="C247" s="308"/>
      <c r="D247" s="341"/>
      <c r="E247" s="24"/>
      <c r="F247" s="24"/>
      <c r="G247" s="54"/>
      <c r="H247" s="27"/>
      <c r="I247" s="46"/>
      <c r="J247" s="249"/>
      <c r="K247" s="284"/>
      <c r="L247" s="251"/>
      <c r="M247" s="27"/>
      <c r="N247" s="27"/>
      <c r="O247" s="27"/>
      <c r="P247" s="27"/>
      <c r="Q247" s="27"/>
      <c r="R247" s="27"/>
      <c r="S247" s="27"/>
      <c r="T247" s="27"/>
      <c r="U247" s="254"/>
      <c r="V247" s="272"/>
    </row>
    <row r="248" spans="1:22" ht="16.5" hidden="1" x14ac:dyDescent="0.3">
      <c r="A248" s="223"/>
      <c r="B248" s="14"/>
      <c r="C248" s="308"/>
      <c r="D248" s="341" t="s">
        <v>58</v>
      </c>
      <c r="E248" s="24"/>
      <c r="F248" s="24"/>
      <c r="G248" s="54"/>
      <c r="H248" s="34"/>
      <c r="I248" s="34"/>
      <c r="J248" s="268"/>
      <c r="K248" s="268"/>
      <c r="L248" s="251"/>
      <c r="M248" s="34"/>
      <c r="N248" s="34"/>
      <c r="O248" s="34"/>
      <c r="P248" s="34"/>
      <c r="Q248" s="34"/>
      <c r="R248" s="34"/>
      <c r="S248" s="34"/>
      <c r="T248" s="34"/>
      <c r="U248" s="254"/>
      <c r="V248" s="272"/>
    </row>
    <row r="249" spans="1:22" ht="16.5" hidden="1" x14ac:dyDescent="0.3">
      <c r="A249" s="223"/>
      <c r="B249" s="14"/>
      <c r="C249" s="308"/>
      <c r="D249" s="341" t="s">
        <v>124</v>
      </c>
      <c r="E249" s="24"/>
      <c r="F249" s="24"/>
      <c r="G249" s="54" t="s">
        <v>26</v>
      </c>
      <c r="H249" s="34">
        <v>2810896</v>
      </c>
      <c r="I249" s="34"/>
      <c r="J249" s="268"/>
      <c r="K249" s="268"/>
      <c r="L249" s="117" t="s">
        <v>201</v>
      </c>
      <c r="M249" s="34">
        <v>3276853.4000000004</v>
      </c>
      <c r="N249" s="34">
        <v>0</v>
      </c>
      <c r="O249" s="34">
        <v>0</v>
      </c>
      <c r="P249" s="34">
        <v>0</v>
      </c>
      <c r="Q249" s="34">
        <v>0</v>
      </c>
      <c r="R249" s="34">
        <v>3276853.4000000004</v>
      </c>
      <c r="S249" s="34">
        <v>0</v>
      </c>
      <c r="T249" s="27">
        <v>0</v>
      </c>
      <c r="U249" s="27" t="s">
        <v>99</v>
      </c>
      <c r="V249" s="272"/>
    </row>
    <row r="250" spans="1:22" ht="16.5" hidden="1" x14ac:dyDescent="0.3">
      <c r="A250" s="223"/>
      <c r="B250" s="14"/>
      <c r="C250" s="308"/>
      <c r="D250" s="346" t="s">
        <v>80</v>
      </c>
      <c r="E250" s="79"/>
      <c r="F250" s="79"/>
      <c r="G250" s="91" t="s">
        <v>26</v>
      </c>
      <c r="H250" s="97">
        <v>465958</v>
      </c>
      <c r="I250" s="97"/>
      <c r="J250" s="287"/>
      <c r="K250" s="287"/>
      <c r="L250" s="283"/>
      <c r="M250" s="97"/>
      <c r="N250" s="97"/>
      <c r="O250" s="97"/>
      <c r="P250" s="97"/>
      <c r="Q250" s="97"/>
      <c r="R250" s="97"/>
      <c r="S250" s="97"/>
      <c r="T250" s="97"/>
      <c r="U250" s="254"/>
      <c r="V250" s="272"/>
    </row>
    <row r="251" spans="1:22" ht="16.5" hidden="1" x14ac:dyDescent="0.3">
      <c r="A251" s="223"/>
      <c r="B251" s="14"/>
      <c r="C251" s="308"/>
      <c r="D251" s="341" t="s">
        <v>76</v>
      </c>
      <c r="E251" s="24"/>
      <c r="F251" s="24"/>
      <c r="G251" s="54" t="s">
        <v>26</v>
      </c>
      <c r="H251" s="34">
        <v>3276854</v>
      </c>
      <c r="I251" s="34"/>
      <c r="J251" s="268"/>
      <c r="K251" s="268"/>
      <c r="L251" s="251"/>
      <c r="M251" s="34">
        <v>3276853.4000000004</v>
      </c>
      <c r="N251" s="34"/>
      <c r="O251" s="34"/>
      <c r="P251" s="34"/>
      <c r="Q251" s="34"/>
      <c r="R251" s="34">
        <v>3276853.4000000004</v>
      </c>
      <c r="S251" s="34">
        <v>0</v>
      </c>
      <c r="T251" s="27">
        <f>+H251-M251</f>
        <v>0.59999999962747097</v>
      </c>
      <c r="U251" s="27" t="s">
        <v>99</v>
      </c>
      <c r="V251" s="272"/>
    </row>
    <row r="252" spans="1:22" ht="16.5" hidden="1" x14ac:dyDescent="0.3">
      <c r="A252" s="223"/>
      <c r="B252" s="14"/>
      <c r="C252" s="308"/>
      <c r="D252" s="346"/>
      <c r="E252" s="79"/>
      <c r="F252" s="79"/>
      <c r="G252" s="91"/>
      <c r="H252" s="97"/>
      <c r="I252" s="97"/>
      <c r="J252" s="287"/>
      <c r="K252" s="287"/>
      <c r="L252" s="283"/>
      <c r="M252" s="97"/>
      <c r="N252" s="97"/>
      <c r="O252" s="97"/>
      <c r="P252" s="97"/>
      <c r="Q252" s="97"/>
      <c r="R252" s="97"/>
      <c r="S252" s="97"/>
      <c r="T252" s="97"/>
      <c r="U252" s="275"/>
      <c r="V252" s="272"/>
    </row>
    <row r="253" spans="1:22" ht="16.5" hidden="1" x14ac:dyDescent="0.3">
      <c r="A253" s="223"/>
      <c r="B253" s="14"/>
      <c r="C253" s="308"/>
      <c r="D253" s="341"/>
      <c r="E253" s="24"/>
      <c r="F253" s="24"/>
      <c r="G253" s="54"/>
      <c r="H253" s="34"/>
      <c r="I253" s="34"/>
      <c r="J253" s="268"/>
      <c r="K253" s="268"/>
      <c r="L253" s="251"/>
      <c r="M253" s="34"/>
      <c r="N253" s="34"/>
      <c r="O253" s="34"/>
      <c r="P253" s="34"/>
      <c r="Q253" s="34"/>
      <c r="R253" s="34"/>
      <c r="S253" s="34"/>
      <c r="T253" s="34"/>
      <c r="U253" s="254"/>
      <c r="V253" s="272"/>
    </row>
    <row r="254" spans="1:22" ht="16.5" hidden="1" x14ac:dyDescent="0.3">
      <c r="A254" s="223"/>
      <c r="B254" s="14"/>
      <c r="C254" s="308"/>
      <c r="D254" s="341" t="s">
        <v>58</v>
      </c>
      <c r="E254" s="24"/>
      <c r="F254" s="24"/>
      <c r="G254" s="54"/>
      <c r="H254" s="46"/>
      <c r="I254" s="46"/>
      <c r="J254" s="249"/>
      <c r="K254" s="250"/>
      <c r="L254" s="251"/>
      <c r="M254" s="46"/>
      <c r="N254" s="46"/>
      <c r="O254" s="46"/>
      <c r="P254" s="46"/>
      <c r="Q254" s="46"/>
      <c r="R254" s="46"/>
      <c r="S254" s="46"/>
      <c r="T254" s="46"/>
      <c r="U254" s="254"/>
      <c r="V254" s="272"/>
    </row>
    <row r="255" spans="1:22" ht="16.5" hidden="1" x14ac:dyDescent="0.3">
      <c r="A255" s="223"/>
      <c r="B255" s="14"/>
      <c r="C255" s="308"/>
      <c r="D255" s="341" t="s">
        <v>124</v>
      </c>
      <c r="E255" s="24"/>
      <c r="F255" s="24"/>
      <c r="G255" s="54" t="s">
        <v>59</v>
      </c>
      <c r="H255" s="46">
        <v>9414867</v>
      </c>
      <c r="I255" s="46"/>
      <c r="J255" s="249"/>
      <c r="K255" s="250"/>
      <c r="L255" s="117" t="s">
        <v>201</v>
      </c>
      <c r="M255" s="46">
        <v>9480869.6500000041</v>
      </c>
      <c r="N255" s="46">
        <v>0</v>
      </c>
      <c r="O255" s="46">
        <v>0</v>
      </c>
      <c r="P255" s="46">
        <v>0</v>
      </c>
      <c r="Q255" s="46">
        <v>0</v>
      </c>
      <c r="R255" s="46">
        <v>9480869.6500000041</v>
      </c>
      <c r="S255" s="46">
        <v>0</v>
      </c>
      <c r="T255" s="27">
        <v>0</v>
      </c>
      <c r="U255" s="27" t="s">
        <v>99</v>
      </c>
      <c r="V255" s="272"/>
    </row>
    <row r="256" spans="1:22" ht="16.5" hidden="1" x14ac:dyDescent="0.3">
      <c r="A256" s="223"/>
      <c r="B256" s="14"/>
      <c r="C256" s="308"/>
      <c r="D256" s="346" t="s">
        <v>80</v>
      </c>
      <c r="E256" s="79"/>
      <c r="F256" s="79"/>
      <c r="G256" s="91" t="s">
        <v>59</v>
      </c>
      <c r="H256" s="81">
        <v>66003.600000000006</v>
      </c>
      <c r="I256" s="81"/>
      <c r="J256" s="270"/>
      <c r="K256" s="271"/>
      <c r="L256" s="283"/>
      <c r="M256" s="81"/>
      <c r="N256" s="81"/>
      <c r="O256" s="81"/>
      <c r="P256" s="81"/>
      <c r="Q256" s="81"/>
      <c r="R256" s="81"/>
      <c r="S256" s="81"/>
      <c r="T256" s="81"/>
      <c r="U256" s="254"/>
      <c r="V256" s="272"/>
    </row>
    <row r="257" spans="1:25" ht="16.5" hidden="1" x14ac:dyDescent="0.3">
      <c r="A257" s="223"/>
      <c r="B257" s="14"/>
      <c r="C257" s="308"/>
      <c r="D257" s="341" t="s">
        <v>76</v>
      </c>
      <c r="E257" s="24"/>
      <c r="F257" s="24"/>
      <c r="G257" s="54" t="s">
        <v>59</v>
      </c>
      <c r="H257" s="46">
        <v>9480870.5999999996</v>
      </c>
      <c r="I257" s="46"/>
      <c r="J257" s="249"/>
      <c r="K257" s="250"/>
      <c r="L257" s="251"/>
      <c r="M257" s="46">
        <v>9480869.6500000041</v>
      </c>
      <c r="N257" s="46">
        <v>0</v>
      </c>
      <c r="O257" s="46">
        <v>0</v>
      </c>
      <c r="P257" s="46">
        <v>0</v>
      </c>
      <c r="Q257" s="46">
        <v>0</v>
      </c>
      <c r="R257" s="46">
        <v>9480869.6500000041</v>
      </c>
      <c r="S257" s="46">
        <v>0</v>
      </c>
      <c r="T257" s="27">
        <f>+H257-M257</f>
        <v>0.94999999552965164</v>
      </c>
      <c r="U257" s="27" t="s">
        <v>99</v>
      </c>
      <c r="V257" s="272"/>
    </row>
    <row r="258" spans="1:25" ht="16.5" hidden="1" x14ac:dyDescent="0.3">
      <c r="A258" s="223"/>
      <c r="B258" s="14"/>
      <c r="C258" s="308"/>
      <c r="D258" s="341"/>
      <c r="E258" s="24"/>
      <c r="F258" s="24"/>
      <c r="G258" s="54"/>
      <c r="H258" s="46"/>
      <c r="I258" s="46"/>
      <c r="J258" s="249"/>
      <c r="K258" s="250"/>
      <c r="L258" s="251"/>
      <c r="M258" s="46"/>
      <c r="N258" s="46"/>
      <c r="O258" s="46"/>
      <c r="P258" s="46"/>
      <c r="Q258" s="46"/>
      <c r="R258" s="46"/>
      <c r="S258" s="46"/>
      <c r="T258" s="46"/>
      <c r="U258" s="254"/>
      <c r="V258" s="272"/>
    </row>
    <row r="259" spans="1:25" ht="16.5" hidden="1" x14ac:dyDescent="0.3">
      <c r="A259" s="223"/>
      <c r="B259" s="14"/>
      <c r="C259" s="308"/>
      <c r="D259" s="341" t="s">
        <v>185</v>
      </c>
      <c r="E259" s="24"/>
      <c r="F259" s="24"/>
      <c r="G259" s="54" t="s">
        <v>25</v>
      </c>
      <c r="H259" s="27">
        <v>1274468800.0000002</v>
      </c>
      <c r="I259" s="46"/>
      <c r="J259" s="249"/>
      <c r="K259" s="284"/>
      <c r="L259" s="117">
        <v>1</v>
      </c>
      <c r="M259" s="27">
        <v>1274468800.0000002</v>
      </c>
      <c r="N259" s="27"/>
      <c r="O259" s="27"/>
      <c r="P259" s="27"/>
      <c r="Q259" s="27"/>
      <c r="R259" s="27">
        <v>1274468800.0000002</v>
      </c>
      <c r="S259" s="27">
        <v>0</v>
      </c>
      <c r="T259" s="27">
        <v>0</v>
      </c>
      <c r="U259" s="27" t="s">
        <v>99</v>
      </c>
      <c r="V259" s="272"/>
    </row>
    <row r="260" spans="1:25" ht="16.5" hidden="1" x14ac:dyDescent="0.3">
      <c r="A260" s="223"/>
      <c r="B260" s="14"/>
      <c r="C260" s="308"/>
      <c r="D260" s="341"/>
      <c r="E260" s="24"/>
      <c r="F260" s="24"/>
      <c r="G260" s="54"/>
      <c r="H260" s="27"/>
      <c r="I260" s="46"/>
      <c r="J260" s="249"/>
      <c r="K260" s="250"/>
      <c r="L260" s="117"/>
      <c r="M260" s="27"/>
      <c r="N260" s="27"/>
      <c r="O260" s="27"/>
      <c r="P260" s="27"/>
      <c r="Q260" s="27"/>
      <c r="R260" s="27"/>
      <c r="S260" s="27"/>
      <c r="T260" s="27"/>
      <c r="U260" s="254"/>
      <c r="V260" s="272"/>
    </row>
    <row r="261" spans="1:25" ht="16.5" hidden="1" x14ac:dyDescent="0.3">
      <c r="A261" s="223">
        <f>+A242+1</f>
        <v>16</v>
      </c>
      <c r="B261" s="14"/>
      <c r="C261" s="308" t="s">
        <v>56</v>
      </c>
      <c r="D261" s="341" t="s">
        <v>57</v>
      </c>
      <c r="E261" s="24"/>
      <c r="F261" s="24"/>
      <c r="G261" s="54"/>
      <c r="H261" s="27"/>
      <c r="I261" s="46"/>
      <c r="J261" s="249"/>
      <c r="K261" s="269"/>
      <c r="L261" s="251"/>
      <c r="M261" s="27"/>
      <c r="N261" s="27"/>
      <c r="O261" s="27"/>
      <c r="P261" s="27"/>
      <c r="Q261" s="27"/>
      <c r="R261" s="27"/>
      <c r="S261" s="27"/>
      <c r="T261" s="27"/>
      <c r="U261" s="254" t="s">
        <v>135</v>
      </c>
      <c r="V261" s="272">
        <f t="shared" si="6"/>
        <v>0</v>
      </c>
    </row>
    <row r="262" spans="1:25" ht="16.5" hidden="1" x14ac:dyDescent="0.3">
      <c r="A262" s="223">
        <f t="shared" si="8"/>
        <v>17</v>
      </c>
      <c r="B262" s="14"/>
      <c r="C262" s="308"/>
      <c r="D262" s="341" t="s">
        <v>123</v>
      </c>
      <c r="E262" s="24"/>
      <c r="F262" s="24"/>
      <c r="G262" s="54" t="s">
        <v>25</v>
      </c>
      <c r="H262" s="27">
        <f>+[52]Sheet1!$F$9</f>
        <v>53987036000</v>
      </c>
      <c r="I262" s="46"/>
      <c r="J262" s="249"/>
      <c r="K262" s="269"/>
      <c r="L262" s="117">
        <f>+[52]Sheet1!$J$63</f>
        <v>0.99129999999999996</v>
      </c>
      <c r="M262" s="146">
        <f>+[52]Sheet1!$K$63</f>
        <v>56060205130</v>
      </c>
      <c r="N262" s="27">
        <f>+[52]Sheet1!$G$35</f>
        <v>419970000</v>
      </c>
      <c r="O262" s="27">
        <f>+[52]Sheet1!$G$35</f>
        <v>419970000</v>
      </c>
      <c r="P262" s="27">
        <f>+[52]Sheet1!$G$35</f>
        <v>419970000</v>
      </c>
      <c r="Q262" s="27">
        <f>+[52]Sheet1!$G$35</f>
        <v>419970000</v>
      </c>
      <c r="R262" s="27">
        <f>+[52]Sheet1!$P$63</f>
        <v>55677405130</v>
      </c>
      <c r="S262" s="27">
        <f>+[52]Sheet1!$Q$63</f>
        <v>382800000</v>
      </c>
      <c r="T262" s="27">
        <f>+[52]Sheet1!$R$63</f>
        <v>1</v>
      </c>
      <c r="U262" s="254"/>
      <c r="V262" s="272">
        <f t="shared" si="6"/>
        <v>0</v>
      </c>
      <c r="W262" s="93">
        <v>53987036000</v>
      </c>
      <c r="X262" s="93">
        <v>52839046393</v>
      </c>
      <c r="Y262" s="93">
        <v>52362253773</v>
      </c>
    </row>
    <row r="263" spans="1:25" ht="16.5" hidden="1" x14ac:dyDescent="0.3">
      <c r="A263" s="223">
        <f t="shared" si="8"/>
        <v>18</v>
      </c>
      <c r="B263" s="14"/>
      <c r="C263" s="308"/>
      <c r="D263" s="346" t="s">
        <v>94</v>
      </c>
      <c r="E263" s="79"/>
      <c r="F263" s="79"/>
      <c r="G263" s="91" t="s">
        <v>25</v>
      </c>
      <c r="H263" s="80">
        <f>+[52]Sheet1!$F$57</f>
        <v>2073169131</v>
      </c>
      <c r="I263" s="81"/>
      <c r="J263" s="270"/>
      <c r="K263" s="282"/>
      <c r="L263" s="283"/>
      <c r="M263" s="80"/>
      <c r="N263" s="80"/>
      <c r="O263" s="80"/>
      <c r="P263" s="80"/>
      <c r="Q263" s="80"/>
      <c r="R263" s="80"/>
      <c r="S263" s="80"/>
      <c r="T263" s="80" t="s">
        <v>135</v>
      </c>
      <c r="U263" s="254"/>
      <c r="V263" s="272">
        <f t="shared" si="6"/>
        <v>0</v>
      </c>
      <c r="W263" s="93">
        <v>2073169131</v>
      </c>
    </row>
    <row r="264" spans="1:25" ht="16.5" hidden="1" x14ac:dyDescent="0.3">
      <c r="A264" s="223">
        <f t="shared" si="8"/>
        <v>19</v>
      </c>
      <c r="B264" s="14"/>
      <c r="C264" s="308"/>
      <c r="D264" s="341" t="s">
        <v>76</v>
      </c>
      <c r="E264" s="24"/>
      <c r="F264" s="24"/>
      <c r="G264" s="54" t="s">
        <v>25</v>
      </c>
      <c r="H264" s="27">
        <f>SUBTOTAL(9,H262:H263)</f>
        <v>56060205131</v>
      </c>
      <c r="I264" s="46"/>
      <c r="J264" s="249"/>
      <c r="K264" s="269"/>
      <c r="L264" s="251"/>
      <c r="M264" s="27">
        <f>SUBTOTAL(9,M262:M263)</f>
        <v>56060205130</v>
      </c>
      <c r="N264" s="27"/>
      <c r="O264" s="27"/>
      <c r="P264" s="27"/>
      <c r="Q264" s="27"/>
      <c r="R264" s="27">
        <f>SUBTOTAL(9,R262:R263)</f>
        <v>55677405130</v>
      </c>
      <c r="S264" s="27">
        <f>SUBTOTAL(9,S262:S263)</f>
        <v>382800000</v>
      </c>
      <c r="T264" s="27">
        <f>SUBTOTAL(9,T262:T263)</f>
        <v>1</v>
      </c>
      <c r="U264" s="254"/>
      <c r="V264" s="272">
        <f t="shared" si="6"/>
        <v>0</v>
      </c>
      <c r="W264" s="93">
        <v>56060205131</v>
      </c>
      <c r="X264" s="93">
        <v>52839046393</v>
      </c>
      <c r="Y264" s="93">
        <v>52362253773</v>
      </c>
    </row>
    <row r="265" spans="1:25" ht="16.5" hidden="1" x14ac:dyDescent="0.3">
      <c r="A265" s="223">
        <f t="shared" si="8"/>
        <v>20</v>
      </c>
      <c r="B265" s="14"/>
      <c r="C265" s="308"/>
      <c r="D265" s="341" t="s">
        <v>94</v>
      </c>
      <c r="E265" s="24"/>
      <c r="F265" s="24"/>
      <c r="G265" s="54"/>
      <c r="H265" s="27"/>
      <c r="I265" s="46"/>
      <c r="J265" s="249"/>
      <c r="K265" s="269"/>
      <c r="L265" s="251"/>
      <c r="M265" s="27"/>
      <c r="N265" s="27"/>
      <c r="O265" s="27"/>
      <c r="P265" s="27"/>
      <c r="Q265" s="27"/>
      <c r="R265" s="27"/>
      <c r="S265" s="27"/>
      <c r="T265" s="27"/>
      <c r="U265" s="254"/>
      <c r="V265" s="272">
        <f t="shared" si="6"/>
        <v>0</v>
      </c>
    </row>
    <row r="266" spans="1:25" ht="16.5" hidden="1" x14ac:dyDescent="0.3">
      <c r="A266" s="223">
        <f t="shared" si="8"/>
        <v>21</v>
      </c>
      <c r="B266" s="14"/>
      <c r="C266" s="308"/>
      <c r="D266" s="341" t="s">
        <v>102</v>
      </c>
      <c r="E266" s="24"/>
      <c r="F266" s="24"/>
      <c r="G266" s="54" t="s">
        <v>25</v>
      </c>
      <c r="H266" s="27">
        <f>+[52]Sheet1!$F$72</f>
        <v>526240000.00000006</v>
      </c>
      <c r="I266" s="46"/>
      <c r="J266" s="249"/>
      <c r="K266" s="269"/>
      <c r="L266" s="128">
        <f>+[52]Sheet1!$J$72</f>
        <v>1</v>
      </c>
      <c r="M266" s="27">
        <f>+[52]Sheet1!$K$72</f>
        <v>526240000</v>
      </c>
      <c r="N266" s="27">
        <f>+[52]Sheet1!$G$48</f>
        <v>-569540000</v>
      </c>
      <c r="O266" s="27">
        <f>+[52]Sheet1!$G$48</f>
        <v>-569540000</v>
      </c>
      <c r="P266" s="27">
        <f>+[52]Sheet1!$G$48</f>
        <v>-569540000</v>
      </c>
      <c r="Q266" s="27">
        <f>+[52]Sheet1!$G$48</f>
        <v>-569540000</v>
      </c>
      <c r="R266" s="27">
        <f>+[52]Sheet1!$P$72</f>
        <v>526240000</v>
      </c>
      <c r="S266" s="27">
        <f>+[52]Sheet1!$Q$72</f>
        <v>0</v>
      </c>
      <c r="T266" s="27">
        <f>+[52]Sheet1!$R$72</f>
        <v>0</v>
      </c>
      <c r="U266" s="254"/>
      <c r="V266" s="272">
        <f t="shared" si="6"/>
        <v>0</v>
      </c>
      <c r="W266" s="93">
        <v>526240000.00000006</v>
      </c>
      <c r="X266" s="93">
        <v>526240000</v>
      </c>
      <c r="Y266" s="93">
        <v>526240000</v>
      </c>
    </row>
    <row r="267" spans="1:25" ht="16.5" hidden="1" x14ac:dyDescent="0.3">
      <c r="A267" s="223">
        <f t="shared" si="8"/>
        <v>22</v>
      </c>
      <c r="B267" s="14"/>
      <c r="C267" s="308"/>
      <c r="D267" s="341" t="s">
        <v>149</v>
      </c>
      <c r="E267" s="24"/>
      <c r="F267" s="24"/>
      <c r="G267" s="54" t="s">
        <v>25</v>
      </c>
      <c r="H267" s="27">
        <f>+[52]Sheet1!$F$79</f>
        <v>269500000</v>
      </c>
      <c r="I267" s="46"/>
      <c r="J267" s="249"/>
      <c r="K267" s="269"/>
      <c r="L267" s="128">
        <f>+[52]Sheet1!$J$79</f>
        <v>1</v>
      </c>
      <c r="M267" s="27">
        <f>+[52]Sheet1!$K$79</f>
        <v>269500000</v>
      </c>
      <c r="N267" s="27" t="e">
        <f>+[52]Sheet1!#REF!</f>
        <v>#REF!</v>
      </c>
      <c r="O267" s="27" t="e">
        <f>+[52]Sheet1!#REF!</f>
        <v>#REF!</v>
      </c>
      <c r="P267" s="27" t="e">
        <f>+[52]Sheet1!#REF!</f>
        <v>#REF!</v>
      </c>
      <c r="Q267" s="27" t="e">
        <f>+[52]Sheet1!#REF!</f>
        <v>#REF!</v>
      </c>
      <c r="R267" s="27">
        <f>+[52]Sheet1!$P$79</f>
        <v>269500000</v>
      </c>
      <c r="S267" s="27">
        <f>+[52]Sheet1!$Q$79</f>
        <v>0</v>
      </c>
      <c r="T267" s="27">
        <f>+[52]Sheet1!$R$79</f>
        <v>0</v>
      </c>
      <c r="U267" s="254"/>
      <c r="V267" s="272">
        <f t="shared" si="6"/>
        <v>0</v>
      </c>
      <c r="W267" s="93">
        <v>269500000</v>
      </c>
      <c r="X267" s="93">
        <v>269500000</v>
      </c>
      <c r="Y267" s="93">
        <v>269500000</v>
      </c>
    </row>
    <row r="268" spans="1:25" ht="16.5" hidden="1" x14ac:dyDescent="0.3">
      <c r="A268" s="223">
        <f t="shared" si="8"/>
        <v>23</v>
      </c>
      <c r="B268" s="14"/>
      <c r="C268" s="308"/>
      <c r="D268" s="341" t="s">
        <v>150</v>
      </c>
      <c r="E268" s="24"/>
      <c r="F268" s="24"/>
      <c r="G268" s="54" t="s">
        <v>25</v>
      </c>
      <c r="H268" s="27">
        <f>+[52]Sheet1!$F$86</f>
        <v>26334000.000000004</v>
      </c>
      <c r="I268" s="46"/>
      <c r="J268" s="249"/>
      <c r="K268" s="269"/>
      <c r="L268" s="128">
        <f>+[52]Sheet1!$J$86</f>
        <v>1</v>
      </c>
      <c r="M268" s="27">
        <f>+[52]Sheet1!$K$86</f>
        <v>26334000</v>
      </c>
      <c r="N268" s="27" t="e">
        <f>+[52]Sheet1!#REF!</f>
        <v>#REF!</v>
      </c>
      <c r="O268" s="27" t="e">
        <f>+[52]Sheet1!#REF!</f>
        <v>#REF!</v>
      </c>
      <c r="P268" s="27" t="e">
        <f>+[52]Sheet1!#REF!</f>
        <v>#REF!</v>
      </c>
      <c r="Q268" s="27" t="e">
        <f>+[52]Sheet1!#REF!</f>
        <v>#REF!</v>
      </c>
      <c r="R268" s="27">
        <f>+[52]Sheet1!$P$86</f>
        <v>26334000</v>
      </c>
      <c r="S268" s="27">
        <f>+[52]Sheet1!$Q$86</f>
        <v>0</v>
      </c>
      <c r="T268" s="27">
        <f>+[52]Sheet1!$R$86</f>
        <v>0</v>
      </c>
      <c r="U268" s="254"/>
      <c r="V268" s="272">
        <f t="shared" si="6"/>
        <v>0</v>
      </c>
      <c r="W268" s="93">
        <v>26334000.000000004</v>
      </c>
      <c r="X268" s="93">
        <v>26334000</v>
      </c>
      <c r="Y268" s="93">
        <v>26334000</v>
      </c>
    </row>
    <row r="269" spans="1:25" ht="16.5" hidden="1" x14ac:dyDescent="0.3">
      <c r="A269" s="223">
        <f t="shared" si="8"/>
        <v>24</v>
      </c>
      <c r="B269" s="14"/>
      <c r="C269" s="308"/>
      <c r="D269" s="341" t="s">
        <v>151</v>
      </c>
      <c r="E269" s="24"/>
      <c r="F269" s="24"/>
      <c r="G269" s="54" t="s">
        <v>25</v>
      </c>
      <c r="H269" s="27">
        <f>+[52]Sheet1!$F$92</f>
        <v>219857000.00000003</v>
      </c>
      <c r="I269" s="46"/>
      <c r="J269" s="249"/>
      <c r="K269" s="269"/>
      <c r="L269" s="128">
        <f>+[52]Sheet1!$J$90</f>
        <v>1</v>
      </c>
      <c r="M269" s="27">
        <f>+[52]Sheet1!$K$92</f>
        <v>219857000</v>
      </c>
      <c r="N269" s="27" t="e">
        <f>+[52]Sheet1!#REF!</f>
        <v>#REF!</v>
      </c>
      <c r="O269" s="27" t="e">
        <f>+[52]Sheet1!#REF!</f>
        <v>#REF!</v>
      </c>
      <c r="P269" s="27" t="e">
        <f>+[52]Sheet1!#REF!</f>
        <v>#REF!</v>
      </c>
      <c r="Q269" s="27" t="e">
        <f>+[52]Sheet1!#REF!</f>
        <v>#REF!</v>
      </c>
      <c r="R269" s="27">
        <f>+[52]Sheet1!$P$92</f>
        <v>219857000</v>
      </c>
      <c r="S269" s="27">
        <f>+[52]Sheet1!$Q$92</f>
        <v>0</v>
      </c>
      <c r="T269" s="27">
        <f>+[52]Sheet1!$R$92</f>
        <v>0</v>
      </c>
      <c r="U269" s="254"/>
      <c r="V269" s="272">
        <f t="shared" si="6"/>
        <v>0</v>
      </c>
      <c r="W269" s="93">
        <v>219857000.00000003</v>
      </c>
      <c r="X269" s="93">
        <v>219857000</v>
      </c>
      <c r="Y269" s="93">
        <v>219857000</v>
      </c>
    </row>
    <row r="270" spans="1:25" ht="16.5" hidden="1" x14ac:dyDescent="0.3">
      <c r="A270" s="223">
        <f t="shared" si="8"/>
        <v>25</v>
      </c>
      <c r="B270" s="14"/>
      <c r="C270" s="308"/>
      <c r="D270" s="341" t="s">
        <v>152</v>
      </c>
      <c r="E270" s="24"/>
      <c r="F270" s="24"/>
      <c r="G270" s="54" t="s">
        <v>25</v>
      </c>
      <c r="H270" s="27">
        <f>+[52]Sheet1!$F$98</f>
        <v>197175000.00000003</v>
      </c>
      <c r="I270" s="46"/>
      <c r="J270" s="249"/>
      <c r="K270" s="269"/>
      <c r="L270" s="128">
        <f>+[52]Sheet1!$J$98</f>
        <v>1</v>
      </c>
      <c r="M270" s="27">
        <f>+[52]Sheet1!$K$98</f>
        <v>197175000</v>
      </c>
      <c r="N270" s="27" t="e">
        <f>+[52]Sheet1!#REF!</f>
        <v>#REF!</v>
      </c>
      <c r="O270" s="27" t="e">
        <f>+[52]Sheet1!#REF!</f>
        <v>#REF!</v>
      </c>
      <c r="P270" s="27" t="e">
        <f>+[52]Sheet1!#REF!</f>
        <v>#REF!</v>
      </c>
      <c r="Q270" s="27" t="e">
        <f>+[52]Sheet1!#REF!</f>
        <v>#REF!</v>
      </c>
      <c r="R270" s="27">
        <f>+[52]Sheet1!$P$98</f>
        <v>197175000</v>
      </c>
      <c r="S270" s="27">
        <f>+[52]Sheet1!$Q$98</f>
        <v>0</v>
      </c>
      <c r="T270" s="27">
        <f>+[52]Sheet1!$R$98</f>
        <v>0</v>
      </c>
      <c r="U270" s="254"/>
      <c r="V270" s="272">
        <f t="shared" si="6"/>
        <v>0</v>
      </c>
      <c r="W270" s="93">
        <v>197175000.00000003</v>
      </c>
      <c r="X270" s="93">
        <v>197175000</v>
      </c>
      <c r="Y270" s="93">
        <v>197175000</v>
      </c>
    </row>
    <row r="271" spans="1:25" ht="16.5" hidden="1" x14ac:dyDescent="0.3">
      <c r="A271" s="223">
        <f t="shared" si="8"/>
        <v>26</v>
      </c>
      <c r="B271" s="14"/>
      <c r="C271" s="308"/>
      <c r="D271" s="341" t="s">
        <v>103</v>
      </c>
      <c r="E271" s="24"/>
      <c r="F271" s="24"/>
      <c r="G271" s="54" t="s">
        <v>25</v>
      </c>
      <c r="H271" s="27">
        <f>+[52]Sheet1!$F$105</f>
        <v>154660000</v>
      </c>
      <c r="I271" s="46"/>
      <c r="J271" s="249"/>
      <c r="K271" s="269"/>
      <c r="L271" s="128">
        <f>+[52]Sheet1!$J$105</f>
        <v>0.95</v>
      </c>
      <c r="M271" s="27">
        <f>+[52]Sheet1!$K$105</f>
        <v>154660000</v>
      </c>
      <c r="N271" s="27" t="e">
        <f>+[52]Sheet1!#REF!</f>
        <v>#REF!</v>
      </c>
      <c r="O271" s="27" t="e">
        <f>+[52]Sheet1!#REF!</f>
        <v>#REF!</v>
      </c>
      <c r="P271" s="27" t="e">
        <f>+[52]Sheet1!#REF!</f>
        <v>#REF!</v>
      </c>
      <c r="Q271" s="27" t="e">
        <f>+[52]Sheet1!#REF!</f>
        <v>#REF!</v>
      </c>
      <c r="R271" s="27">
        <f>+[52]Sheet1!$P$105</f>
        <v>154660000</v>
      </c>
      <c r="S271" s="27">
        <f>+[52]Sheet1!$Q$105</f>
        <v>0</v>
      </c>
      <c r="T271" s="27">
        <f>+[52]Sheet1!$R$105</f>
        <v>0</v>
      </c>
      <c r="U271" s="254"/>
      <c r="V271" s="272">
        <f t="shared" si="6"/>
        <v>-8140000</v>
      </c>
      <c r="W271" s="93">
        <v>162800000</v>
      </c>
      <c r="X271" s="93">
        <v>154660000</v>
      </c>
      <c r="Y271" s="93">
        <v>154660000</v>
      </c>
    </row>
    <row r="272" spans="1:25" ht="16.5" hidden="1" x14ac:dyDescent="0.3">
      <c r="A272" s="223">
        <f t="shared" si="8"/>
        <v>27</v>
      </c>
      <c r="B272" s="14"/>
      <c r="C272" s="308"/>
      <c r="D272" s="341" t="s">
        <v>155</v>
      </c>
      <c r="E272" s="24"/>
      <c r="F272" s="24"/>
      <c r="G272" s="54" t="s">
        <v>25</v>
      </c>
      <c r="H272" s="27">
        <f>+[52]Sheet1!$F$111</f>
        <v>19382000</v>
      </c>
      <c r="I272" s="46"/>
      <c r="J272" s="249"/>
      <c r="K272" s="269"/>
      <c r="L272" s="128">
        <f>+[52]Sheet1!$J$111</f>
        <v>1</v>
      </c>
      <c r="M272" s="27">
        <f>+[52]Sheet1!$K$111</f>
        <v>19382000</v>
      </c>
      <c r="N272" s="27" t="e">
        <f>+[52]Sheet1!#REF!</f>
        <v>#REF!</v>
      </c>
      <c r="O272" s="27" t="e">
        <f>+[52]Sheet1!#REF!</f>
        <v>#REF!</v>
      </c>
      <c r="P272" s="27" t="e">
        <f>+[52]Sheet1!#REF!</f>
        <v>#REF!</v>
      </c>
      <c r="Q272" s="27" t="e">
        <f>+[52]Sheet1!#REF!</f>
        <v>#REF!</v>
      </c>
      <c r="R272" s="27">
        <f>+[52]Sheet1!$P$111</f>
        <v>19382000</v>
      </c>
      <c r="S272" s="27">
        <f>+[52]Sheet1!$Q$111</f>
        <v>0</v>
      </c>
      <c r="T272" s="27">
        <f>+[52]Sheet1!$R$111</f>
        <v>0</v>
      </c>
      <c r="U272" s="254"/>
      <c r="V272" s="272">
        <f t="shared" si="6"/>
        <v>0</v>
      </c>
      <c r="W272" s="93">
        <v>19382000</v>
      </c>
      <c r="X272" s="93">
        <v>19382000</v>
      </c>
      <c r="Y272" s="93">
        <v>19382000</v>
      </c>
    </row>
    <row r="273" spans="1:25" ht="16.5" hidden="1" x14ac:dyDescent="0.3">
      <c r="A273" s="223">
        <f t="shared" si="8"/>
        <v>28</v>
      </c>
      <c r="B273" s="14"/>
      <c r="C273" s="308"/>
      <c r="D273" s="341" t="str">
        <f>+[52]Sheet1!$B$113</f>
        <v>PO : US/170108 Tanggal 09/02/2017</v>
      </c>
      <c r="E273" s="24"/>
      <c r="F273" s="24"/>
      <c r="G273" s="54" t="s">
        <v>25</v>
      </c>
      <c r="H273" s="27">
        <f>+[52]Sheet1!$F$118</f>
        <v>33814000</v>
      </c>
      <c r="I273" s="46"/>
      <c r="J273" s="249"/>
      <c r="K273" s="269"/>
      <c r="L273" s="128">
        <f>+[52]Sheet1!$J$118</f>
        <v>1</v>
      </c>
      <c r="M273" s="27">
        <f>+[52]Sheet1!$K$118</f>
        <v>33814000</v>
      </c>
      <c r="N273" s="27"/>
      <c r="O273" s="27"/>
      <c r="P273" s="27"/>
      <c r="Q273" s="27"/>
      <c r="R273" s="27">
        <f>+[52]Sheet1!$P$118</f>
        <v>33814000</v>
      </c>
      <c r="S273" s="27">
        <f>+[52]Sheet1!$Q$118</f>
        <v>0</v>
      </c>
      <c r="T273" s="27">
        <f>+[52]Sheet1!$R$118</f>
        <v>0</v>
      </c>
      <c r="U273" s="254"/>
      <c r="V273" s="272">
        <f t="shared" si="6"/>
        <v>33814000</v>
      </c>
    </row>
    <row r="274" spans="1:25" ht="16.5" hidden="1" x14ac:dyDescent="0.3">
      <c r="A274" s="223">
        <f t="shared" si="8"/>
        <v>29</v>
      </c>
      <c r="B274" s="14"/>
      <c r="C274" s="308"/>
      <c r="D274" s="341" t="str">
        <f>+[52]Sheet1!$B$120</f>
        <v>WO : 0093/ABP-WO/APJ/V/2017</v>
      </c>
      <c r="E274" s="24"/>
      <c r="F274" s="24"/>
      <c r="G274" s="54" t="s">
        <v>25</v>
      </c>
      <c r="H274" s="206">
        <f>+[52]Sheet1!$F$124</f>
        <v>13200000.000000002</v>
      </c>
      <c r="I274" s="46"/>
      <c r="J274" s="249"/>
      <c r="K274" s="269"/>
      <c r="L274" s="128">
        <f>+[52]Sheet1!$J$124</f>
        <v>1</v>
      </c>
      <c r="M274" s="27">
        <f>+[52]Sheet1!$K$124</f>
        <v>13200000</v>
      </c>
      <c r="N274" s="27"/>
      <c r="O274" s="27"/>
      <c r="P274" s="27"/>
      <c r="Q274" s="27"/>
      <c r="R274" s="27">
        <f>+[52]Sheet1!$P$124</f>
        <v>13200000</v>
      </c>
      <c r="S274" s="27">
        <f>+[52]Sheet1!$Q$124</f>
        <v>0</v>
      </c>
      <c r="T274" s="27">
        <f>+[52]Sheet1!$R$124</f>
        <v>0</v>
      </c>
      <c r="U274" s="254"/>
      <c r="V274" s="272"/>
    </row>
    <row r="275" spans="1:25" ht="16.5" hidden="1" x14ac:dyDescent="0.3">
      <c r="A275" s="223">
        <f t="shared" si="8"/>
        <v>30</v>
      </c>
      <c r="B275" s="14"/>
      <c r="C275" s="308"/>
      <c r="D275" s="341" t="s">
        <v>181</v>
      </c>
      <c r="E275" s="24"/>
      <c r="F275" s="24"/>
      <c r="G275" s="54" t="s">
        <v>25</v>
      </c>
      <c r="H275" s="206">
        <f>+[52]Sheet1!$F$126</f>
        <v>110000000.00000001</v>
      </c>
      <c r="I275" s="46"/>
      <c r="J275" s="249"/>
      <c r="K275" s="269"/>
      <c r="L275" s="128">
        <f>+[52]Sheet1!$J$126</f>
        <v>1</v>
      </c>
      <c r="M275" s="27">
        <f>+[52]Sheet1!$K$126</f>
        <v>110000000</v>
      </c>
      <c r="N275" s="27"/>
      <c r="O275" s="27"/>
      <c r="P275" s="27"/>
      <c r="Q275" s="27"/>
      <c r="R275" s="27">
        <f>+[52]Sheet1!$P$126</f>
        <v>110000000</v>
      </c>
      <c r="S275" s="27">
        <f>+[52]Sheet1!$Q$126</f>
        <v>0</v>
      </c>
      <c r="T275" s="27">
        <f>+[52]Sheet1!$R$126</f>
        <v>0</v>
      </c>
      <c r="U275" s="254"/>
      <c r="V275" s="272"/>
    </row>
    <row r="276" spans="1:25" ht="16.5" hidden="1" x14ac:dyDescent="0.3">
      <c r="A276" s="223"/>
      <c r="B276" s="14"/>
      <c r="C276" s="308"/>
      <c r="D276" s="341" t="s">
        <v>104</v>
      </c>
      <c r="E276" s="24"/>
      <c r="F276" s="24"/>
      <c r="G276" s="54" t="s">
        <v>25</v>
      </c>
      <c r="H276" s="207">
        <f>+[52]Sheet1!$F$137</f>
        <v>369527054</v>
      </c>
      <c r="I276" s="46"/>
      <c r="J276" s="249"/>
      <c r="K276" s="284"/>
      <c r="L276" s="128">
        <f>+[52]Sheet1!$J$137</f>
        <v>1</v>
      </c>
      <c r="M276" s="27">
        <f>+[52]Sheet1!$K$137</f>
        <v>369527054</v>
      </c>
      <c r="N276" s="27" t="e">
        <f>+[52]Sheet1!#REF!</f>
        <v>#REF!</v>
      </c>
      <c r="O276" s="27" t="e">
        <f>+[52]Sheet1!#REF!</f>
        <v>#REF!</v>
      </c>
      <c r="P276" s="27" t="e">
        <f>+[52]Sheet1!#REF!</f>
        <v>#REF!</v>
      </c>
      <c r="Q276" s="27" t="e">
        <f>+[52]Sheet1!#REF!</f>
        <v>#REF!</v>
      </c>
      <c r="R276" s="27">
        <f>+[52]Sheet1!$P$137</f>
        <v>369527054</v>
      </c>
      <c r="S276" s="27" t="s">
        <v>135</v>
      </c>
      <c r="T276" s="27"/>
      <c r="U276" s="254"/>
      <c r="V276" s="272"/>
    </row>
    <row r="277" spans="1:25" ht="16.5" hidden="1" x14ac:dyDescent="0.3">
      <c r="A277" s="223"/>
      <c r="B277" s="14"/>
      <c r="C277" s="324"/>
      <c r="D277" s="341" t="s">
        <v>98</v>
      </c>
      <c r="E277" s="24"/>
      <c r="F277" s="24"/>
      <c r="G277" s="54" t="s">
        <v>25</v>
      </c>
      <c r="H277" s="27">
        <f>+[52]Sheet1!$F$142</f>
        <v>77000000</v>
      </c>
      <c r="I277" s="46"/>
      <c r="J277" s="249"/>
      <c r="K277" s="325"/>
      <c r="L277" s="128">
        <f>+[52]Sheet1!$J$142</f>
        <v>1</v>
      </c>
      <c r="M277" s="27">
        <f>+[52]Sheet1!$K$142</f>
        <v>77000000</v>
      </c>
      <c r="N277" s="27" t="e">
        <f>+[52]Sheet1!#REF!</f>
        <v>#REF!</v>
      </c>
      <c r="O277" s="27" t="e">
        <f>+[52]Sheet1!#REF!</f>
        <v>#REF!</v>
      </c>
      <c r="P277" s="27" t="e">
        <f>+[52]Sheet1!#REF!</f>
        <v>#REF!</v>
      </c>
      <c r="Q277" s="27" t="e">
        <f>+[52]Sheet1!#REF!</f>
        <v>#REF!</v>
      </c>
      <c r="R277" s="27">
        <f>+[52]Sheet1!$P$142</f>
        <v>77000000</v>
      </c>
      <c r="S277" s="27"/>
      <c r="T277" s="27"/>
      <c r="U277" s="254"/>
      <c r="V277" s="272"/>
    </row>
    <row r="278" spans="1:25" ht="16.5" hidden="1" x14ac:dyDescent="0.3">
      <c r="A278" s="223"/>
      <c r="B278" s="14"/>
      <c r="C278" s="324"/>
      <c r="D278" s="341" t="s">
        <v>216</v>
      </c>
      <c r="E278" s="24"/>
      <c r="F278" s="24"/>
      <c r="G278" s="54" t="s">
        <v>25</v>
      </c>
      <c r="H278" s="27">
        <f>+[52]Sheet1!$F$147</f>
        <v>175010000</v>
      </c>
      <c r="I278" s="46"/>
      <c r="J278" s="249"/>
      <c r="K278" s="325"/>
      <c r="L278" s="128">
        <f>+[52]Sheet1!$J$147</f>
        <v>1</v>
      </c>
      <c r="M278" s="27">
        <f>+[52]Sheet1!$K$147</f>
        <v>175010000</v>
      </c>
      <c r="N278" s="27"/>
      <c r="O278" s="27"/>
      <c r="P278" s="27"/>
      <c r="Q278" s="27"/>
      <c r="R278" s="27">
        <f>+[52]Sheet1!$P$147</f>
        <v>175010000</v>
      </c>
      <c r="S278" s="27"/>
      <c r="T278" s="27"/>
      <c r="U278" s="254"/>
      <c r="V278" s="272"/>
    </row>
    <row r="279" spans="1:25" ht="16.5" hidden="1" x14ac:dyDescent="0.3">
      <c r="A279" s="223"/>
      <c r="B279" s="14"/>
      <c r="C279" s="324"/>
      <c r="D279" s="341" t="s">
        <v>217</v>
      </c>
      <c r="E279" s="24"/>
      <c r="F279" s="24"/>
      <c r="G279" s="54"/>
      <c r="H279" s="27">
        <f>+[52]Sheet1!$F$151</f>
        <v>16500000.000000002</v>
      </c>
      <c r="I279" s="46"/>
      <c r="J279" s="249"/>
      <c r="K279" s="325"/>
      <c r="L279" s="128">
        <f>+[52]Sheet1!$J$151</f>
        <v>1</v>
      </c>
      <c r="M279" s="27">
        <f>+[52]Sheet1!$K$151</f>
        <v>16500000.000000002</v>
      </c>
      <c r="N279" s="27"/>
      <c r="O279" s="27"/>
      <c r="P279" s="27"/>
      <c r="Q279" s="27"/>
      <c r="R279" s="27">
        <f>+[52]Sheet1!$P$151</f>
        <v>16500000.000000002</v>
      </c>
      <c r="S279" s="27">
        <f>+[52]Sheet1!$Q$151</f>
        <v>0</v>
      </c>
      <c r="T279" s="27"/>
      <c r="U279" s="254"/>
      <c r="V279" s="272"/>
    </row>
    <row r="280" spans="1:25" ht="16.5" hidden="1" x14ac:dyDescent="0.3">
      <c r="A280" s="223">
        <f>+A275+1</f>
        <v>31</v>
      </c>
      <c r="B280" s="14"/>
      <c r="C280" s="324"/>
      <c r="D280" s="351" t="s">
        <v>218</v>
      </c>
      <c r="E280" s="329"/>
      <c r="F280" s="329"/>
      <c r="G280" s="330"/>
      <c r="H280" s="333">
        <f>+[52]Sheet1!$F$156</f>
        <v>59774000.000000007</v>
      </c>
      <c r="I280" s="326"/>
      <c r="J280" s="326"/>
      <c r="K280" s="326"/>
      <c r="L280" s="128">
        <f>+[52]Sheet1!$J$156</f>
        <v>1</v>
      </c>
      <c r="M280" s="27">
        <f>+[52]Sheet1!$K$156</f>
        <v>59774000.000000007</v>
      </c>
      <c r="N280" s="27"/>
      <c r="O280" s="27"/>
      <c r="P280" s="27"/>
      <c r="Q280" s="27"/>
      <c r="R280" s="27">
        <f>+[52]Sheet1!$P$156</f>
        <v>59774000.000000007</v>
      </c>
      <c r="S280" s="27">
        <f>+[52]Sheet1!$Q$156</f>
        <v>0</v>
      </c>
      <c r="T280" s="27">
        <f>+[52]Sheet1!$R$131</f>
        <v>0</v>
      </c>
      <c r="U280" s="254"/>
      <c r="V280" s="272">
        <f>+H276-W280</f>
        <v>0</v>
      </c>
      <c r="W280" s="93">
        <v>369527054</v>
      </c>
      <c r="X280" s="93">
        <v>369527054</v>
      </c>
      <c r="Y280" s="93">
        <v>369527054</v>
      </c>
    </row>
    <row r="281" spans="1:25" ht="16.5" hidden="1" x14ac:dyDescent="0.3">
      <c r="A281" s="223">
        <f t="shared" si="8"/>
        <v>32</v>
      </c>
      <c r="B281" s="14"/>
      <c r="C281" s="327"/>
      <c r="D281" s="352"/>
      <c r="E281" s="331"/>
      <c r="F281" s="331"/>
      <c r="G281" s="332"/>
      <c r="H281" s="328"/>
      <c r="I281" s="328"/>
      <c r="J281" s="328"/>
      <c r="K281" s="328"/>
      <c r="L281" s="328"/>
      <c r="M281" s="328"/>
      <c r="N281" s="328"/>
      <c r="O281" s="328"/>
      <c r="P281" s="328"/>
      <c r="Q281" s="328"/>
      <c r="R281" s="328"/>
      <c r="S281" s="80">
        <f>+[52]Sheet1!$Q$137</f>
        <v>0</v>
      </c>
      <c r="T281" s="80">
        <f>+[52]Sheet1!$R$142</f>
        <v>0</v>
      </c>
      <c r="U281" s="275"/>
      <c r="V281" s="272">
        <f>+H277-W281</f>
        <v>0</v>
      </c>
      <c r="W281" s="93">
        <v>77000000</v>
      </c>
      <c r="X281" s="93">
        <v>77000000</v>
      </c>
      <c r="Y281" s="93">
        <v>77000000</v>
      </c>
    </row>
    <row r="282" spans="1:25" ht="16.5" hidden="1" x14ac:dyDescent="0.3">
      <c r="A282" s="223">
        <f>+A281+1</f>
        <v>33</v>
      </c>
      <c r="B282" s="14"/>
      <c r="C282" s="308"/>
      <c r="D282" s="341" t="s">
        <v>73</v>
      </c>
      <c r="E282" s="24"/>
      <c r="F282" s="24"/>
      <c r="G282" s="54" t="s">
        <v>25</v>
      </c>
      <c r="H282" s="27">
        <f>SUBTOTAL(9,H262:K280)</f>
        <v>58328178185</v>
      </c>
      <c r="I282" s="46"/>
      <c r="J282" s="249"/>
      <c r="K282" s="269"/>
      <c r="L282" s="251"/>
      <c r="M282" s="27">
        <f>SUBTOTAL(9,M262:M280)</f>
        <v>58328178184</v>
      </c>
      <c r="N282" s="27" t="e">
        <f>SUBTOTAL(9,N262:N276)</f>
        <v>#REF!</v>
      </c>
      <c r="O282" s="27" t="e">
        <f>SUBTOTAL(9,O262:O276)</f>
        <v>#REF!</v>
      </c>
      <c r="P282" s="27" t="e">
        <f>SUBTOTAL(9,P262:P276)</f>
        <v>#REF!</v>
      </c>
      <c r="Q282" s="27" t="e">
        <f>SUBTOTAL(9,Q262:Q276)</f>
        <v>#REF!</v>
      </c>
      <c r="R282" s="27">
        <f>SUBTOTAL(9,R262:R280)</f>
        <v>57945378184</v>
      </c>
      <c r="S282" s="27">
        <f>SUBTOTAL(9,S262:S280)</f>
        <v>382800000</v>
      </c>
      <c r="T282" s="27">
        <f>SUBTOTAL(9,T262:T281)</f>
        <v>1</v>
      </c>
      <c r="U282" s="254"/>
      <c r="V282" s="272">
        <f t="shared" si="6"/>
        <v>400158000</v>
      </c>
      <c r="W282" s="93">
        <v>57928020185</v>
      </c>
      <c r="X282" s="93">
        <v>54698721447</v>
      </c>
      <c r="Y282" s="93">
        <v>54221928827</v>
      </c>
    </row>
    <row r="283" spans="1:25" ht="0.75" customHeight="1" x14ac:dyDescent="0.3">
      <c r="A283" s="223">
        <f t="shared" si="8"/>
        <v>34</v>
      </c>
      <c r="B283" s="76"/>
      <c r="C283" s="310"/>
      <c r="D283" s="348"/>
      <c r="E283" s="79"/>
      <c r="F283" s="79"/>
      <c r="G283" s="147"/>
      <c r="H283" s="81"/>
      <c r="I283" s="81"/>
      <c r="J283" s="270"/>
      <c r="K283" s="271"/>
      <c r="L283" s="283"/>
      <c r="M283" s="285"/>
      <c r="N283" s="285"/>
      <c r="O283" s="285"/>
      <c r="P283" s="285"/>
      <c r="Q283" s="285"/>
      <c r="R283" s="81"/>
      <c r="S283" s="286"/>
      <c r="T283" s="286"/>
      <c r="U283" s="275"/>
      <c r="V283" s="272">
        <f t="shared" si="6"/>
        <v>0</v>
      </c>
    </row>
    <row r="284" spans="1:25" ht="16.5" x14ac:dyDescent="0.3">
      <c r="A284" s="223"/>
      <c r="B284" s="14"/>
      <c r="C284" s="308"/>
      <c r="D284" s="342"/>
      <c r="E284" s="24"/>
      <c r="F284" s="24"/>
      <c r="G284" s="23"/>
      <c r="H284" s="46"/>
      <c r="I284" s="46"/>
      <c r="J284" s="249"/>
      <c r="K284" s="274"/>
      <c r="L284" s="251"/>
      <c r="M284" s="89"/>
      <c r="N284" s="89"/>
      <c r="O284" s="89"/>
      <c r="P284" s="89"/>
      <c r="Q284" s="89"/>
      <c r="R284" s="46"/>
      <c r="S284" s="281"/>
      <c r="T284" s="281"/>
      <c r="U284" s="254"/>
      <c r="V284" s="272"/>
    </row>
    <row r="285" spans="1:25" ht="16.5" x14ac:dyDescent="0.3">
      <c r="A285" s="223">
        <v>1</v>
      </c>
      <c r="B285" s="14"/>
      <c r="C285" s="308" t="s">
        <v>175</v>
      </c>
      <c r="D285" s="341" t="s">
        <v>176</v>
      </c>
      <c r="E285" s="24"/>
      <c r="F285" s="24"/>
      <c r="G285" s="54" t="s">
        <v>25</v>
      </c>
      <c r="H285" s="27">
        <v>4117262600</v>
      </c>
      <c r="I285" s="46"/>
      <c r="J285" s="249"/>
      <c r="K285" s="274"/>
      <c r="L285" s="259">
        <v>1</v>
      </c>
      <c r="M285" s="88">
        <f>+H285</f>
        <v>4117262600</v>
      </c>
      <c r="N285" s="89"/>
      <c r="O285" s="89"/>
      <c r="P285" s="89"/>
      <c r="Q285" s="89"/>
      <c r="R285" s="27">
        <v>374296600</v>
      </c>
      <c r="S285" s="88">
        <f>+H285-R285</f>
        <v>3742966000</v>
      </c>
      <c r="T285" s="281"/>
      <c r="U285" s="254"/>
      <c r="V285" s="272">
        <f t="shared" si="6"/>
        <v>4117262600</v>
      </c>
    </row>
    <row r="286" spans="1:25" ht="16.5" x14ac:dyDescent="0.3">
      <c r="A286" s="223">
        <f>+A285+1</f>
        <v>2</v>
      </c>
      <c r="B286" s="14"/>
      <c r="C286" s="308"/>
      <c r="D286" s="342"/>
      <c r="E286" s="24"/>
      <c r="F286" s="24"/>
      <c r="G286" s="23"/>
      <c r="H286" s="46"/>
      <c r="I286" s="46"/>
      <c r="J286" s="249"/>
      <c r="K286" s="274"/>
      <c r="L286" s="251"/>
      <c r="M286" s="89"/>
      <c r="N286" s="89"/>
      <c r="O286" s="89"/>
      <c r="P286" s="89"/>
      <c r="Q286" s="89"/>
      <c r="R286" s="46"/>
      <c r="S286" s="281"/>
      <c r="T286" s="281"/>
      <c r="U286" s="254"/>
      <c r="V286" s="272">
        <f t="shared" si="6"/>
        <v>0</v>
      </c>
    </row>
    <row r="287" spans="1:25" ht="16.5" x14ac:dyDescent="0.3">
      <c r="A287" s="223" t="e">
        <f>+#REF!+1</f>
        <v>#REF!</v>
      </c>
      <c r="B287" s="14"/>
      <c r="C287" s="381"/>
      <c r="D287" s="382" t="s">
        <v>76</v>
      </c>
      <c r="E287" s="383"/>
      <c r="F287" s="383"/>
      <c r="G287" s="384" t="s">
        <v>25</v>
      </c>
      <c r="H287" s="385">
        <f>+H285</f>
        <v>4117262600</v>
      </c>
      <c r="I287" s="386"/>
      <c r="J287" s="387"/>
      <c r="K287" s="388"/>
      <c r="L287" s="389"/>
      <c r="M287" s="385">
        <f>+M285</f>
        <v>4117262600</v>
      </c>
      <c r="N287" s="385"/>
      <c r="O287" s="385"/>
      <c r="P287" s="385"/>
      <c r="Q287" s="385"/>
      <c r="R287" s="385">
        <f>+R285</f>
        <v>374296600</v>
      </c>
      <c r="S287" s="385">
        <f>SUBTOTAL(9,S285:S286)</f>
        <v>3742966000</v>
      </c>
      <c r="T287" s="385">
        <f>+H287-M287</f>
        <v>0</v>
      </c>
      <c r="U287" s="390"/>
      <c r="V287" s="272">
        <f t="shared" ref="V287" si="9">+H287-W287</f>
        <v>4117262600</v>
      </c>
    </row>
    <row r="288" spans="1:25" ht="16.5" x14ac:dyDescent="0.3">
      <c r="A288" s="223" t="e">
        <f>+#REF!+1</f>
        <v>#REF!</v>
      </c>
      <c r="B288" s="14"/>
      <c r="C288" s="310"/>
      <c r="D288" s="346"/>
      <c r="E288" s="79"/>
      <c r="F288" s="79"/>
      <c r="G288" s="96"/>
      <c r="H288" s="80"/>
      <c r="I288" s="97"/>
      <c r="J288" s="270"/>
      <c r="K288" s="271"/>
      <c r="L288" s="118"/>
      <c r="M288" s="80"/>
      <c r="N288" s="80"/>
      <c r="O288" s="80"/>
      <c r="P288" s="80"/>
      <c r="Q288" s="80"/>
      <c r="R288" s="80"/>
      <c r="S288" s="80"/>
      <c r="T288" s="80"/>
      <c r="U288" s="275"/>
    </row>
    <row r="289" spans="1:25" ht="16.5" hidden="1" x14ac:dyDescent="0.3">
      <c r="A289" s="223" t="e">
        <f t="shared" si="8"/>
        <v>#REF!</v>
      </c>
      <c r="B289" s="14"/>
      <c r="C289" s="309"/>
      <c r="D289" s="417" t="s">
        <v>60</v>
      </c>
      <c r="E289" s="418"/>
      <c r="F289" s="418"/>
      <c r="G289" s="419"/>
      <c r="H289" s="56">
        <f>+H259+H246+H282+H239+H235+H230+H216+H260+H285+H241</f>
        <v>360610942045.5</v>
      </c>
      <c r="I289" s="56"/>
      <c r="J289" s="224"/>
      <c r="K289" s="237"/>
      <c r="L289" s="238"/>
      <c r="M289" s="56">
        <f>+M259+M246+M282+M239+M235+M230+M216+M260+M285+M241</f>
        <v>360610942029.29999</v>
      </c>
      <c r="N289" s="56" t="e">
        <f>SUM(N159:N257)-N291</f>
        <v>#REF!</v>
      </c>
      <c r="O289" s="56" t="e">
        <f>SUM(O159:O257)-O291</f>
        <v>#REF!</v>
      </c>
      <c r="P289" s="56" t="e">
        <f>SUM(P159:P257)-P291</f>
        <v>#REF!</v>
      </c>
      <c r="Q289" s="56" t="e">
        <f>SUM(Q159:Q257)-Q291</f>
        <v>#REF!</v>
      </c>
      <c r="R289" s="56">
        <f>+R259+R246+R282+R239+R235+R230+R216+R260+R285+R241</f>
        <v>356485176029.29999</v>
      </c>
      <c r="S289" s="56">
        <f>+S259+S246+S282+S239+S235+S230+S216+S260+S285+S241</f>
        <v>4125766000</v>
      </c>
      <c r="T289" s="56">
        <f>+T259+T246+T282+T239+T235+T230+T216+T260+T285</f>
        <v>16.499994277954102</v>
      </c>
      <c r="U289" s="240"/>
      <c r="W289" s="93">
        <v>353418944811.10004</v>
      </c>
      <c r="X289" s="93">
        <v>338594735423.65002</v>
      </c>
      <c r="Y289" s="93">
        <v>330278717072</v>
      </c>
    </row>
    <row r="290" spans="1:25" ht="16.5" hidden="1" x14ac:dyDescent="0.3">
      <c r="A290" s="223" t="e">
        <f t="shared" si="8"/>
        <v>#REF!</v>
      </c>
      <c r="B290" s="14"/>
      <c r="C290" s="311"/>
      <c r="D290" s="433"/>
      <c r="E290" s="434"/>
      <c r="F290" s="434"/>
      <c r="G290" s="435"/>
      <c r="H290" s="74">
        <f>+H251+H242</f>
        <v>3285060</v>
      </c>
      <c r="I290" s="74"/>
      <c r="J290" s="288"/>
      <c r="K290" s="288"/>
      <c r="L290" s="289"/>
      <c r="M290" s="74">
        <f>+M251+M242</f>
        <v>3285059.4000000004</v>
      </c>
      <c r="N290" s="74"/>
      <c r="O290" s="74"/>
      <c r="P290" s="74"/>
      <c r="Q290" s="74"/>
      <c r="R290" s="74">
        <f>+R251+R242</f>
        <v>3285059.4000000004</v>
      </c>
      <c r="S290" s="74">
        <f>+S251+S242</f>
        <v>0</v>
      </c>
      <c r="T290" s="74">
        <f>+T251+T242</f>
        <v>0.59999999962747097</v>
      </c>
      <c r="U290" s="290"/>
      <c r="W290" s="93">
        <v>3276863.9</v>
      </c>
      <c r="X290" s="93">
        <v>3194901.8800000004</v>
      </c>
      <c r="Y290" s="93">
        <v>3194901.8800000004</v>
      </c>
    </row>
    <row r="291" spans="1:25" ht="16.5" hidden="1" x14ac:dyDescent="0.3">
      <c r="A291" s="223" t="e">
        <f t="shared" si="8"/>
        <v>#REF!</v>
      </c>
      <c r="B291" s="76"/>
      <c r="C291" s="312"/>
      <c r="D291" s="420"/>
      <c r="E291" s="421"/>
      <c r="F291" s="421"/>
      <c r="G291" s="422"/>
      <c r="H291" s="291">
        <f>+H257</f>
        <v>9480870.5999999996</v>
      </c>
      <c r="I291" s="75"/>
      <c r="J291" s="292"/>
      <c r="K291" s="292"/>
      <c r="L291" s="244"/>
      <c r="M291" s="291">
        <f>+M257</f>
        <v>9480869.6500000041</v>
      </c>
      <c r="N291" s="291" t="e">
        <f>+N254+N243+#REF!+N204+#REF!+#REF!</f>
        <v>#REF!</v>
      </c>
      <c r="O291" s="291" t="e">
        <f>+O254+O243+#REF!+O204+#REF!+#REF!</f>
        <v>#REF!</v>
      </c>
      <c r="P291" s="291" t="e">
        <f>+P254+P243+#REF!+P204+#REF!+#REF!</f>
        <v>#REF!</v>
      </c>
      <c r="Q291" s="291" t="e">
        <f>+Q254+Q243+#REF!+Q204+#REF!+#REF!</f>
        <v>#REF!</v>
      </c>
      <c r="R291" s="291">
        <f>+R257</f>
        <v>9480869.6500000041</v>
      </c>
      <c r="S291" s="291">
        <f>+S257</f>
        <v>0</v>
      </c>
      <c r="T291" s="291">
        <f>+T257</f>
        <v>0.94999999552965164</v>
      </c>
      <c r="U291" s="246"/>
      <c r="W291" s="93">
        <v>9480870.5999999996</v>
      </c>
      <c r="X291" s="93">
        <v>9243790.5200000033</v>
      </c>
      <c r="Y291" s="93">
        <v>9243790.5200000033</v>
      </c>
    </row>
    <row r="292" spans="1:25" ht="17.25" hidden="1" customHeight="1" x14ac:dyDescent="0.3">
      <c r="B292" s="14"/>
      <c r="C292" s="308"/>
      <c r="D292" s="342"/>
      <c r="E292" s="24"/>
      <c r="F292" s="24"/>
      <c r="G292" s="23"/>
      <c r="H292" s="27"/>
      <c r="I292" s="46"/>
      <c r="J292" s="249"/>
      <c r="K292" s="250"/>
      <c r="L292" s="251"/>
      <c r="M292" s="27"/>
      <c r="N292" s="27"/>
      <c r="O292" s="27"/>
      <c r="P292" s="27"/>
      <c r="Q292" s="27"/>
      <c r="R292" s="27"/>
      <c r="S292" s="27"/>
      <c r="T292" s="27"/>
      <c r="U292" s="254"/>
    </row>
    <row r="293" spans="1:25" ht="17.25" hidden="1" customHeight="1" x14ac:dyDescent="0.3">
      <c r="B293" s="14"/>
      <c r="C293" s="308"/>
      <c r="D293" s="342" t="s">
        <v>60</v>
      </c>
      <c r="E293" s="24"/>
      <c r="F293" s="24"/>
      <c r="G293" s="23"/>
      <c r="H293" s="27">
        <v>360367798045.5</v>
      </c>
      <c r="I293" s="46"/>
      <c r="J293" s="249"/>
      <c r="K293" s="250"/>
      <c r="L293" s="251"/>
      <c r="M293" s="27">
        <v>359943845929.29999</v>
      </c>
      <c r="N293" s="27" t="e">
        <v>#REF!</v>
      </c>
      <c r="O293" s="27" t="e">
        <v>#REF!</v>
      </c>
      <c r="P293" s="27" t="e">
        <v>#REF!</v>
      </c>
      <c r="Q293" s="27" t="e">
        <v>#REF!</v>
      </c>
      <c r="R293" s="27">
        <v>355355337414.29999</v>
      </c>
      <c r="S293" s="27">
        <v>4588508515</v>
      </c>
      <c r="T293" s="27">
        <v>423952101.10000038</v>
      </c>
      <c r="U293" s="254"/>
    </row>
    <row r="294" spans="1:25" ht="17.25" hidden="1" customHeight="1" x14ac:dyDescent="0.3">
      <c r="B294" s="14"/>
      <c r="C294" s="308"/>
      <c r="D294" s="342"/>
      <c r="E294" s="24"/>
      <c r="F294" s="24"/>
      <c r="G294" s="23"/>
      <c r="H294" s="27">
        <v>3285060</v>
      </c>
      <c r="I294" s="46"/>
      <c r="J294" s="249"/>
      <c r="K294" s="250"/>
      <c r="L294" s="251"/>
      <c r="M294" s="27">
        <v>3285059.4000000004</v>
      </c>
      <c r="N294" s="27"/>
      <c r="O294" s="27"/>
      <c r="P294" s="27"/>
      <c r="Q294" s="27"/>
      <c r="R294" s="27">
        <v>3285059.4000000004</v>
      </c>
      <c r="S294" s="27">
        <v>0</v>
      </c>
      <c r="T294" s="27">
        <v>0</v>
      </c>
      <c r="U294" s="254"/>
    </row>
    <row r="295" spans="1:25" ht="17.25" hidden="1" customHeight="1" x14ac:dyDescent="0.3">
      <c r="B295" s="14"/>
      <c r="C295" s="308"/>
      <c r="D295" s="342"/>
      <c r="E295" s="24"/>
      <c r="F295" s="24"/>
      <c r="G295" s="23"/>
      <c r="H295" s="27">
        <v>9480870.5999999996</v>
      </c>
      <c r="I295" s="46"/>
      <c r="J295" s="249"/>
      <c r="K295" s="250"/>
      <c r="L295" s="251"/>
      <c r="M295" s="27">
        <v>9480869.6500000041</v>
      </c>
      <c r="N295" s="27" t="e">
        <v>#REF!</v>
      </c>
      <c r="O295" s="27" t="e">
        <v>#REF!</v>
      </c>
      <c r="P295" s="27" t="e">
        <v>#REF!</v>
      </c>
      <c r="Q295" s="27" t="e">
        <v>#REF!</v>
      </c>
      <c r="R295" s="27">
        <v>9480869.6500000041</v>
      </c>
      <c r="S295" s="27">
        <v>0</v>
      </c>
      <c r="T295" s="27">
        <v>0</v>
      </c>
      <c r="U295" s="254"/>
    </row>
    <row r="296" spans="1:25" ht="17.25" hidden="1" customHeight="1" x14ac:dyDescent="0.3">
      <c r="B296" s="14"/>
      <c r="C296" s="308"/>
      <c r="D296" s="342"/>
      <c r="E296" s="24"/>
      <c r="F296" s="24"/>
      <c r="G296" s="23"/>
      <c r="H296" s="27"/>
      <c r="I296" s="46"/>
      <c r="J296" s="249"/>
      <c r="K296" s="250"/>
      <c r="L296" s="251"/>
      <c r="M296" s="27"/>
      <c r="N296" s="27"/>
      <c r="O296" s="27"/>
      <c r="P296" s="27"/>
      <c r="Q296" s="27"/>
      <c r="R296" s="27"/>
      <c r="S296" s="27"/>
      <c r="T296" s="27"/>
      <c r="U296" s="254"/>
    </row>
    <row r="297" spans="1:25" ht="16.5" hidden="1" x14ac:dyDescent="0.3">
      <c r="B297" s="426">
        <f>+B201+1</f>
        <v>8</v>
      </c>
      <c r="C297" s="308"/>
      <c r="D297" s="423" t="s">
        <v>131</v>
      </c>
      <c r="E297" s="424"/>
      <c r="F297" s="424"/>
      <c r="G297" s="425"/>
      <c r="H297" s="27"/>
      <c r="I297" s="46"/>
      <c r="J297" s="249"/>
      <c r="K297" s="250"/>
      <c r="L297" s="251"/>
      <c r="M297" s="27"/>
      <c r="N297" s="27"/>
      <c r="O297" s="27"/>
      <c r="P297" s="27"/>
      <c r="Q297" s="27"/>
      <c r="R297" s="27"/>
      <c r="S297" s="27"/>
      <c r="T297" s="27"/>
      <c r="U297" s="254"/>
    </row>
    <row r="298" spans="1:25" ht="16.5" hidden="1" x14ac:dyDescent="0.3">
      <c r="B298" s="426"/>
      <c r="C298" s="308"/>
      <c r="D298" s="423"/>
      <c r="E298" s="424"/>
      <c r="F298" s="424"/>
      <c r="G298" s="425"/>
      <c r="H298" s="27"/>
      <c r="I298" s="46"/>
      <c r="J298" s="249"/>
      <c r="K298" s="250"/>
      <c r="L298" s="251"/>
      <c r="M298" s="27"/>
      <c r="N298" s="27"/>
      <c r="O298" s="27"/>
      <c r="P298" s="27"/>
      <c r="Q298" s="27"/>
      <c r="R298" s="27"/>
      <c r="S298" s="27"/>
      <c r="T298" s="27"/>
      <c r="U298" s="254"/>
    </row>
    <row r="299" spans="1:25" ht="49.5" hidden="1" x14ac:dyDescent="0.3">
      <c r="B299" s="14"/>
      <c r="C299" s="308" t="s">
        <v>61</v>
      </c>
      <c r="D299" s="341" t="s">
        <v>79</v>
      </c>
      <c r="E299" s="24"/>
      <c r="F299" s="24"/>
      <c r="G299" s="54" t="s">
        <v>25</v>
      </c>
      <c r="H299" s="27">
        <f>+[53]Sheet1!$G$10</f>
        <v>17517500000</v>
      </c>
      <c r="I299" s="46"/>
      <c r="J299" s="249"/>
      <c r="K299" s="250"/>
      <c r="L299" s="128" t="str">
        <f>+[53]Sheet1!$K$27</f>
        <v>RET-5%</v>
      </c>
      <c r="M299" s="27">
        <f>+[53]Sheet1!$L$27</f>
        <v>23871016400</v>
      </c>
      <c r="N299" s="27">
        <f>+[53]Sheet1!$G$34</f>
        <v>0</v>
      </c>
      <c r="O299" s="27">
        <f>+[53]Sheet1!$G$34</f>
        <v>0</v>
      </c>
      <c r="P299" s="27">
        <f>+[53]Sheet1!$G$34</f>
        <v>0</v>
      </c>
      <c r="Q299" s="27">
        <f>+[53]Sheet1!$G$34</f>
        <v>0</v>
      </c>
      <c r="R299" s="27">
        <f>+[53]Sheet1!$Q$27</f>
        <v>23871016400</v>
      </c>
      <c r="S299" s="27">
        <f>+[53]Sheet1!$R$27</f>
        <v>0</v>
      </c>
      <c r="T299" s="27">
        <f>+[53]Sheet1!$S$27</f>
        <v>0</v>
      </c>
      <c r="U299" s="129" t="s">
        <v>99</v>
      </c>
      <c r="W299" s="93">
        <v>17517500000</v>
      </c>
      <c r="X299" s="93">
        <v>23871016400</v>
      </c>
      <c r="Y299" s="93">
        <v>23871016400</v>
      </c>
    </row>
    <row r="300" spans="1:25" ht="16.5" hidden="1" x14ac:dyDescent="0.3">
      <c r="B300" s="14"/>
      <c r="C300" s="308"/>
      <c r="D300" s="341" t="s">
        <v>75</v>
      </c>
      <c r="E300" s="24"/>
      <c r="F300" s="24"/>
      <c r="G300" s="54" t="s">
        <v>25</v>
      </c>
      <c r="H300" s="27">
        <f>+[53]Sheet1!$G$22</f>
        <v>6353516400</v>
      </c>
      <c r="I300" s="46"/>
      <c r="J300" s="249"/>
      <c r="K300" s="250"/>
      <c r="L300" s="259"/>
      <c r="M300" s="27"/>
      <c r="N300" s="27"/>
      <c r="O300" s="27"/>
      <c r="P300" s="27"/>
      <c r="Q300" s="27"/>
      <c r="R300" s="27"/>
      <c r="S300" s="27"/>
      <c r="T300" s="27"/>
      <c r="U300" s="254"/>
      <c r="W300" s="93">
        <v>6353516400</v>
      </c>
    </row>
    <row r="301" spans="1:25" ht="49.5" hidden="1" x14ac:dyDescent="0.3">
      <c r="B301" s="14"/>
      <c r="C301" s="308"/>
      <c r="D301" s="346" t="s">
        <v>78</v>
      </c>
      <c r="E301" s="79"/>
      <c r="F301" s="79"/>
      <c r="G301" s="91" t="s">
        <v>25</v>
      </c>
      <c r="H301" s="80">
        <f>+[53]Sheet1!$G$37</f>
        <v>4757500000</v>
      </c>
      <c r="I301" s="81"/>
      <c r="J301" s="270"/>
      <c r="K301" s="271"/>
      <c r="L301" s="131" t="str">
        <f>+[53]Sheet1!$K$37</f>
        <v>RET-5%</v>
      </c>
      <c r="M301" s="80">
        <f>+[53]Sheet1!$L$37</f>
        <v>4757500000</v>
      </c>
      <c r="N301" s="80"/>
      <c r="O301" s="80"/>
      <c r="P301" s="80"/>
      <c r="Q301" s="80"/>
      <c r="R301" s="80">
        <f>+[53]Sheet1!$Q$37</f>
        <v>4757500000</v>
      </c>
      <c r="S301" s="80">
        <f>+[53]Sheet1!$R$37</f>
        <v>0</v>
      </c>
      <c r="T301" s="80">
        <f>+[53]Sheet1!$S$33</f>
        <v>0</v>
      </c>
      <c r="U301" s="129" t="s">
        <v>99</v>
      </c>
      <c r="W301" s="93">
        <v>4757500000</v>
      </c>
      <c r="X301" s="93">
        <v>4757500000</v>
      </c>
      <c r="Y301" s="93">
        <v>4757500000</v>
      </c>
    </row>
    <row r="302" spans="1:25" ht="16.5" hidden="1" x14ac:dyDescent="0.3">
      <c r="B302" s="14"/>
      <c r="C302" s="308"/>
      <c r="D302" s="341" t="s">
        <v>76</v>
      </c>
      <c r="E302" s="24"/>
      <c r="F302" s="24"/>
      <c r="G302" s="54" t="s">
        <v>25</v>
      </c>
      <c r="H302" s="27">
        <f>SUBTOTAL(9,H299:H301)</f>
        <v>28628516400</v>
      </c>
      <c r="I302" s="46"/>
      <c r="J302" s="249"/>
      <c r="K302" s="250"/>
      <c r="L302" s="251"/>
      <c r="M302" s="27">
        <f t="shared" ref="M302:T302" si="10">SUBTOTAL(9,M299:M301)</f>
        <v>28628516400</v>
      </c>
      <c r="N302" s="27">
        <f t="shared" si="10"/>
        <v>0</v>
      </c>
      <c r="O302" s="27">
        <f t="shared" si="10"/>
        <v>0</v>
      </c>
      <c r="P302" s="27">
        <f t="shared" si="10"/>
        <v>0</v>
      </c>
      <c r="Q302" s="27">
        <f t="shared" si="10"/>
        <v>0</v>
      </c>
      <c r="R302" s="27">
        <f t="shared" si="10"/>
        <v>28628516400</v>
      </c>
      <c r="S302" s="27">
        <f t="shared" si="10"/>
        <v>0</v>
      </c>
      <c r="T302" s="27">
        <f t="shared" si="10"/>
        <v>0</v>
      </c>
      <c r="U302" s="254"/>
      <c r="W302" s="93">
        <v>28628516400</v>
      </c>
      <c r="X302" s="93">
        <v>28628516400</v>
      </c>
      <c r="Y302" s="93">
        <v>28628516400</v>
      </c>
    </row>
    <row r="303" spans="1:25" ht="16.5" hidden="1" x14ac:dyDescent="0.3">
      <c r="B303" s="14"/>
      <c r="C303" s="308"/>
      <c r="D303" s="341"/>
      <c r="E303" s="24"/>
      <c r="F303" s="24"/>
      <c r="G303" s="54"/>
      <c r="H303" s="27"/>
      <c r="I303" s="46"/>
      <c r="J303" s="249"/>
      <c r="K303" s="250"/>
      <c r="L303" s="251"/>
      <c r="M303" s="27"/>
      <c r="N303" s="27"/>
      <c r="O303" s="27"/>
      <c r="P303" s="27"/>
      <c r="Q303" s="27"/>
      <c r="R303" s="27"/>
      <c r="S303" s="27"/>
      <c r="T303" s="27"/>
      <c r="U303" s="254"/>
    </row>
    <row r="304" spans="1:25" ht="16.5" hidden="1" x14ac:dyDescent="0.3">
      <c r="B304" s="14"/>
      <c r="C304" s="308" t="s">
        <v>74</v>
      </c>
      <c r="D304" s="341" t="s">
        <v>77</v>
      </c>
      <c r="E304" s="24"/>
      <c r="F304" s="24"/>
      <c r="G304" s="23"/>
      <c r="H304" s="46"/>
      <c r="I304" s="46"/>
      <c r="J304" s="249"/>
      <c r="K304" s="250"/>
      <c r="L304" s="251" t="s">
        <v>187</v>
      </c>
      <c r="M304" s="89"/>
      <c r="N304" s="89"/>
      <c r="O304" s="89"/>
      <c r="P304" s="89"/>
      <c r="Q304" s="89"/>
      <c r="R304" s="46"/>
      <c r="S304" s="281"/>
      <c r="T304" s="281"/>
      <c r="U304" s="254"/>
    </row>
    <row r="305" spans="2:25" ht="49.5" hidden="1" x14ac:dyDescent="0.3">
      <c r="B305" s="14"/>
      <c r="C305" s="308"/>
      <c r="D305" s="341" t="s">
        <v>89</v>
      </c>
      <c r="E305" s="16"/>
      <c r="F305" s="16"/>
      <c r="G305" s="54" t="s">
        <v>25</v>
      </c>
      <c r="H305" s="27">
        <v>55550000000.000008</v>
      </c>
      <c r="I305" s="46"/>
      <c r="J305" s="249"/>
      <c r="K305" s="250"/>
      <c r="L305" s="251" t="s">
        <v>105</v>
      </c>
      <c r="M305" s="88">
        <f>+[54]Sheet1!$L$27</f>
        <v>58336890777</v>
      </c>
      <c r="N305" s="89"/>
      <c r="O305" s="89"/>
      <c r="P305" s="89"/>
      <c r="Q305" s="89"/>
      <c r="R305" s="88">
        <f>+[54]Sheet1!$Q$27</f>
        <v>58336890777</v>
      </c>
      <c r="S305" s="129"/>
      <c r="T305" s="88">
        <f>+[54]Sheet1!$S$27</f>
        <v>0</v>
      </c>
      <c r="U305" s="129" t="s">
        <v>99</v>
      </c>
      <c r="W305" s="93">
        <v>55550000000.000008</v>
      </c>
      <c r="X305" s="93">
        <v>58336890777</v>
      </c>
      <c r="Y305" s="93">
        <v>58336890777</v>
      </c>
    </row>
    <row r="306" spans="2:25" ht="16.5" hidden="1" x14ac:dyDescent="0.3">
      <c r="B306" s="14"/>
      <c r="C306" s="308"/>
      <c r="D306" s="341" t="s">
        <v>75</v>
      </c>
      <c r="E306" s="16"/>
      <c r="F306" s="16"/>
      <c r="G306" s="54" t="s">
        <v>25</v>
      </c>
      <c r="H306" s="27">
        <v>2786890777</v>
      </c>
      <c r="I306" s="46"/>
      <c r="J306" s="249"/>
      <c r="K306" s="250"/>
      <c r="L306" s="251"/>
      <c r="M306" s="89"/>
      <c r="N306" s="89"/>
      <c r="O306" s="89"/>
      <c r="P306" s="89"/>
      <c r="Q306" s="89"/>
      <c r="R306" s="46"/>
      <c r="S306" s="293"/>
      <c r="T306" s="281"/>
      <c r="U306" s="293"/>
      <c r="W306" s="93">
        <v>2786890777</v>
      </c>
    </row>
    <row r="307" spans="2:25" ht="49.5" hidden="1" x14ac:dyDescent="0.3">
      <c r="B307" s="14"/>
      <c r="C307" s="308"/>
      <c r="D307" s="341" t="s">
        <v>90</v>
      </c>
      <c r="E307" s="16"/>
      <c r="F307" s="16"/>
      <c r="G307" s="54" t="s">
        <v>25</v>
      </c>
      <c r="H307" s="27">
        <v>31625000000.000004</v>
      </c>
      <c r="I307" s="46"/>
      <c r="J307" s="249"/>
      <c r="K307" s="250"/>
      <c r="L307" s="251" t="s">
        <v>105</v>
      </c>
      <c r="M307" s="88">
        <f>+[54]Sheet1!$L$43</f>
        <v>36103461726</v>
      </c>
      <c r="N307" s="89"/>
      <c r="O307" s="89"/>
      <c r="P307" s="89"/>
      <c r="Q307" s="89"/>
      <c r="R307" s="88">
        <f>+[54]Sheet1!$Q$43</f>
        <v>36103461726</v>
      </c>
      <c r="S307" s="129"/>
      <c r="T307" s="88">
        <v>0</v>
      </c>
      <c r="U307" s="129" t="s">
        <v>99</v>
      </c>
      <c r="W307" s="93">
        <v>31625000000.000004</v>
      </c>
      <c r="X307" s="93">
        <v>36103461726</v>
      </c>
      <c r="Y307" s="93">
        <v>36103461726</v>
      </c>
    </row>
    <row r="308" spans="2:25" ht="16.5" hidden="1" x14ac:dyDescent="0.3">
      <c r="B308" s="14"/>
      <c r="C308" s="308"/>
      <c r="D308" s="341" t="s">
        <v>75</v>
      </c>
      <c r="E308" s="16"/>
      <c r="F308" s="16"/>
      <c r="G308" s="54" t="s">
        <v>25</v>
      </c>
      <c r="H308" s="27">
        <v>4478461726.2000008</v>
      </c>
      <c r="I308" s="46"/>
      <c r="J308" s="249"/>
      <c r="K308" s="250"/>
      <c r="L308" s="251"/>
      <c r="M308" s="89"/>
      <c r="N308" s="89"/>
      <c r="O308" s="89"/>
      <c r="P308" s="89"/>
      <c r="Q308" s="89"/>
      <c r="R308" s="46"/>
      <c r="S308" s="293"/>
      <c r="T308" s="281"/>
      <c r="U308" s="293"/>
      <c r="W308" s="93">
        <v>4478461726.2000008</v>
      </c>
    </row>
    <row r="309" spans="2:25" ht="49.5" hidden="1" x14ac:dyDescent="0.3">
      <c r="B309" s="14"/>
      <c r="C309" s="308"/>
      <c r="D309" s="341" t="s">
        <v>91</v>
      </c>
      <c r="E309" s="16"/>
      <c r="F309" s="16"/>
      <c r="G309" s="54" t="s">
        <v>25</v>
      </c>
      <c r="H309" s="27">
        <v>5012040000</v>
      </c>
      <c r="I309" s="46"/>
      <c r="J309" s="249"/>
      <c r="K309" s="250"/>
      <c r="L309" s="251" t="s">
        <v>105</v>
      </c>
      <c r="M309" s="88">
        <f>+[54]Sheet1!$L$52</f>
        <v>5012040000</v>
      </c>
      <c r="N309" s="89"/>
      <c r="O309" s="89"/>
      <c r="P309" s="89"/>
      <c r="Q309" s="89"/>
      <c r="R309" s="88">
        <f>+[54]Sheet1!$Q$52</f>
        <v>5012040000</v>
      </c>
      <c r="S309" s="129"/>
      <c r="T309" s="88">
        <f>+[54]Sheet1!$S$52</f>
        <v>0</v>
      </c>
      <c r="U309" s="129" t="s">
        <v>99</v>
      </c>
      <c r="W309" s="93">
        <v>5012040000</v>
      </c>
      <c r="X309" s="93">
        <v>5012040000</v>
      </c>
      <c r="Y309" s="93">
        <v>5012040000</v>
      </c>
    </row>
    <row r="310" spans="2:25" ht="16.5" hidden="1" x14ac:dyDescent="0.3">
      <c r="B310" s="14"/>
      <c r="C310" s="308"/>
      <c r="D310" s="346" t="s">
        <v>75</v>
      </c>
      <c r="E310" s="94"/>
      <c r="F310" s="94"/>
      <c r="G310" s="91" t="s">
        <v>25</v>
      </c>
      <c r="H310" s="80">
        <v>0</v>
      </c>
      <c r="I310" s="81"/>
      <c r="J310" s="270"/>
      <c r="K310" s="271"/>
      <c r="L310" s="283"/>
      <c r="M310" s="285"/>
      <c r="N310" s="285"/>
      <c r="O310" s="285"/>
      <c r="P310" s="285"/>
      <c r="Q310" s="285"/>
      <c r="R310" s="81"/>
      <c r="S310" s="292"/>
      <c r="T310" s="286"/>
      <c r="U310" s="254"/>
      <c r="W310" s="93">
        <v>0</v>
      </c>
    </row>
    <row r="311" spans="2:25" ht="16.5" hidden="1" x14ac:dyDescent="0.3">
      <c r="B311" s="14"/>
      <c r="C311" s="308"/>
      <c r="D311" s="341" t="s">
        <v>76</v>
      </c>
      <c r="E311" s="16"/>
      <c r="F311" s="16"/>
      <c r="G311" s="54"/>
      <c r="H311" s="27">
        <f>SUBTOTAL(9,H305:H310)</f>
        <v>99452392503.200012</v>
      </c>
      <c r="I311" s="46"/>
      <c r="J311" s="249"/>
      <c r="K311" s="250"/>
      <c r="L311" s="251"/>
      <c r="M311" s="27">
        <f t="shared" ref="M311:T311" si="11">SUBTOTAL(9,M305:M310)</f>
        <v>99452392503</v>
      </c>
      <c r="N311" s="27">
        <f t="shared" si="11"/>
        <v>0</v>
      </c>
      <c r="O311" s="27">
        <f t="shared" si="11"/>
        <v>0</v>
      </c>
      <c r="P311" s="27">
        <f t="shared" si="11"/>
        <v>0</v>
      </c>
      <c r="Q311" s="27">
        <f t="shared" si="11"/>
        <v>0</v>
      </c>
      <c r="R311" s="27">
        <f t="shared" si="11"/>
        <v>99452392503</v>
      </c>
      <c r="S311" s="129">
        <v>0</v>
      </c>
      <c r="T311" s="27">
        <f t="shared" si="11"/>
        <v>0</v>
      </c>
      <c r="U311" s="254"/>
      <c r="W311" s="93">
        <v>99452392503.200012</v>
      </c>
      <c r="X311" s="93">
        <v>99452392503</v>
      </c>
      <c r="Y311" s="93">
        <v>99452392503</v>
      </c>
    </row>
    <row r="312" spans="2:25" ht="16.5" hidden="1" x14ac:dyDescent="0.3">
      <c r="B312" s="14"/>
      <c r="C312" s="308"/>
      <c r="D312" s="342"/>
      <c r="E312" s="24"/>
      <c r="F312" s="24"/>
      <c r="G312" s="23"/>
      <c r="H312" s="46"/>
      <c r="I312" s="46"/>
      <c r="J312" s="249"/>
      <c r="K312" s="250"/>
      <c r="L312" s="251"/>
      <c r="M312" s="89"/>
      <c r="N312" s="89"/>
      <c r="O312" s="89"/>
      <c r="P312" s="89"/>
      <c r="Q312" s="89"/>
      <c r="R312" s="46"/>
      <c r="S312" s="293"/>
      <c r="T312" s="281"/>
      <c r="U312" s="254"/>
    </row>
    <row r="313" spans="2:25" ht="49.5" hidden="1" x14ac:dyDescent="0.3">
      <c r="B313" s="14"/>
      <c r="C313" s="308">
        <v>1204</v>
      </c>
      <c r="D313" s="341" t="s">
        <v>100</v>
      </c>
      <c r="E313" s="24"/>
      <c r="F313" s="24"/>
      <c r="G313" s="23"/>
      <c r="H313" s="27">
        <f>+[55]Sheet1!$G$22</f>
        <v>34674543417</v>
      </c>
      <c r="I313" s="46"/>
      <c r="J313" s="249"/>
      <c r="K313" s="250"/>
      <c r="L313" s="251" t="s">
        <v>105</v>
      </c>
      <c r="M313" s="27">
        <f>+[55]Sheet1!$L$22</f>
        <v>34674543417</v>
      </c>
      <c r="N313" s="27">
        <f>+[56]Sheet1!$G$22</f>
        <v>34674543417</v>
      </c>
      <c r="O313" s="27">
        <f>+[56]Sheet1!$G$22</f>
        <v>34674543417</v>
      </c>
      <c r="P313" s="27">
        <f>+[56]Sheet1!$G$22</f>
        <v>34674543417</v>
      </c>
      <c r="Q313" s="27">
        <f>+[56]Sheet1!$G$22</f>
        <v>34674543417</v>
      </c>
      <c r="R313" s="27">
        <f>+[56]Sheet1!$Q$22</f>
        <v>34674543417</v>
      </c>
      <c r="S313" s="27">
        <f>+[56]Sheet1!$R$22</f>
        <v>0</v>
      </c>
      <c r="T313" s="27">
        <v>0</v>
      </c>
      <c r="U313" s="294" t="s">
        <v>99</v>
      </c>
      <c r="W313" s="93">
        <v>34674543417</v>
      </c>
      <c r="X313" s="93">
        <v>34674543417</v>
      </c>
      <c r="Y313" s="93">
        <v>34674543417</v>
      </c>
    </row>
    <row r="314" spans="2:25" ht="16.5" hidden="1" x14ac:dyDescent="0.3">
      <c r="B314" s="14"/>
      <c r="C314" s="308"/>
      <c r="D314" s="341" t="s">
        <v>101</v>
      </c>
      <c r="E314" s="24"/>
      <c r="F314" s="24"/>
      <c r="G314" s="23"/>
      <c r="H314" s="46"/>
      <c r="I314" s="46"/>
      <c r="J314" s="249"/>
      <c r="K314" s="250"/>
      <c r="L314" s="251"/>
      <c r="M314" s="89"/>
      <c r="N314" s="89"/>
      <c r="O314" s="89"/>
      <c r="P314" s="89"/>
      <c r="Q314" s="89"/>
      <c r="R314" s="46"/>
      <c r="S314" s="281"/>
      <c r="T314" s="281"/>
      <c r="U314" s="254"/>
    </row>
    <row r="315" spans="2:25" ht="16.5" hidden="1" x14ac:dyDescent="0.3">
      <c r="B315" s="14"/>
      <c r="C315" s="308"/>
      <c r="D315" s="341"/>
      <c r="E315" s="24"/>
      <c r="F315" s="24"/>
      <c r="G315" s="23"/>
      <c r="H315" s="46"/>
      <c r="I315" s="46"/>
      <c r="J315" s="249"/>
      <c r="K315" s="250"/>
      <c r="L315" s="251"/>
      <c r="M315" s="89"/>
      <c r="N315" s="89"/>
      <c r="O315" s="89"/>
      <c r="P315" s="89"/>
      <c r="Q315" s="89"/>
      <c r="R315" s="46"/>
      <c r="S315" s="281"/>
      <c r="T315" s="281"/>
      <c r="U315" s="254"/>
    </row>
    <row r="316" spans="2:25" ht="49.5" hidden="1" x14ac:dyDescent="0.3">
      <c r="B316" s="14"/>
      <c r="C316" s="308">
        <v>1201</v>
      </c>
      <c r="D316" s="341" t="s">
        <v>147</v>
      </c>
      <c r="E316" s="24"/>
      <c r="F316" s="24"/>
      <c r="G316" s="23"/>
      <c r="H316" s="88">
        <f>+[57]Sheet1!$G$27</f>
        <v>35750000</v>
      </c>
      <c r="I316" s="46"/>
      <c r="J316" s="249"/>
      <c r="K316" s="250"/>
      <c r="L316" s="260">
        <v>1</v>
      </c>
      <c r="M316" s="88">
        <f>+[58]Sheet1!$L$27</f>
        <v>35750000</v>
      </c>
      <c r="N316" s="89"/>
      <c r="O316" s="89"/>
      <c r="P316" s="89"/>
      <c r="Q316" s="89"/>
      <c r="R316" s="88">
        <f>+[58]Sheet1!$Q$27</f>
        <v>35750000</v>
      </c>
      <c r="S316" s="88"/>
      <c r="T316" s="281"/>
      <c r="U316" s="294" t="s">
        <v>99</v>
      </c>
      <c r="W316" s="93">
        <v>35750000</v>
      </c>
      <c r="X316" s="93">
        <v>35750000</v>
      </c>
      <c r="Y316" s="93">
        <v>35750000</v>
      </c>
    </row>
    <row r="317" spans="2:25" ht="16.5" hidden="1" x14ac:dyDescent="0.3">
      <c r="B317" s="14"/>
      <c r="C317" s="308"/>
      <c r="D317" s="341" t="s">
        <v>148</v>
      </c>
      <c r="E317" s="24"/>
      <c r="F317" s="24"/>
      <c r="G317" s="23"/>
      <c r="H317" s="46"/>
      <c r="I317" s="46"/>
      <c r="J317" s="249"/>
      <c r="K317" s="250"/>
      <c r="L317" s="251"/>
      <c r="M317" s="89"/>
      <c r="N317" s="89"/>
      <c r="O317" s="89"/>
      <c r="P317" s="89"/>
      <c r="Q317" s="89"/>
      <c r="R317" s="46"/>
      <c r="S317" s="281"/>
      <c r="T317" s="281"/>
      <c r="U317" s="281"/>
    </row>
    <row r="318" spans="2:25" ht="16.5" hidden="1" x14ac:dyDescent="0.3">
      <c r="B318" s="14"/>
      <c r="C318" s="308"/>
      <c r="D318" s="341"/>
      <c r="E318" s="24"/>
      <c r="F318" s="24"/>
      <c r="G318" s="23"/>
      <c r="H318" s="46"/>
      <c r="I318" s="46"/>
      <c r="J318" s="249"/>
      <c r="K318" s="250"/>
      <c r="L318" s="251"/>
      <c r="M318" s="89"/>
      <c r="N318" s="89"/>
      <c r="O318" s="89"/>
      <c r="P318" s="89"/>
      <c r="Q318" s="89"/>
      <c r="R318" s="46"/>
      <c r="S318" s="129"/>
      <c r="T318" s="281"/>
      <c r="U318" s="281"/>
    </row>
    <row r="319" spans="2:25" ht="16.5" hidden="1" x14ac:dyDescent="0.3">
      <c r="B319" s="14"/>
      <c r="C319" s="308" t="s">
        <v>62</v>
      </c>
      <c r="D319" s="341" t="s">
        <v>63</v>
      </c>
      <c r="E319" s="24"/>
      <c r="F319" s="24"/>
      <c r="G319" s="54" t="s">
        <v>25</v>
      </c>
      <c r="H319" s="27">
        <f>+[59]Sheet1!$G$10</f>
        <v>75768000000</v>
      </c>
      <c r="I319" s="46"/>
      <c r="J319" s="249"/>
      <c r="K319" s="250"/>
      <c r="L319" s="117" t="str">
        <f>+[59]Sheet1!$K$27</f>
        <v>RET 5%</v>
      </c>
      <c r="M319" s="27">
        <f>+[59]Sheet1!$L$27+1</f>
        <v>97408081724</v>
      </c>
      <c r="N319" s="27">
        <f>+[59]Sheet1!$G$38</f>
        <v>99425347523.699997</v>
      </c>
      <c r="O319" s="27">
        <f>+[59]Sheet1!$G$38</f>
        <v>99425347523.699997</v>
      </c>
      <c r="P319" s="27">
        <f>+[59]Sheet1!$G$38</f>
        <v>99425347523.699997</v>
      </c>
      <c r="Q319" s="27">
        <f>+[59]Sheet1!$G$38</f>
        <v>99425347523.699997</v>
      </c>
      <c r="R319" s="27">
        <f>+[59]Sheet1!Q27+1</f>
        <v>97408081724</v>
      </c>
      <c r="S319" s="129"/>
      <c r="T319" s="27">
        <v>0</v>
      </c>
      <c r="U319" s="27" t="str">
        <f>+[59]Sheet1!R27</f>
        <v>LUNAS</v>
      </c>
      <c r="W319" s="93">
        <v>75768000000</v>
      </c>
      <c r="X319" s="93">
        <v>97408081724</v>
      </c>
      <c r="Y319" s="93">
        <v>97408081724</v>
      </c>
    </row>
    <row r="320" spans="2:25" ht="16.5" hidden="1" x14ac:dyDescent="0.3">
      <c r="B320" s="14"/>
      <c r="C320" s="308"/>
      <c r="D320" s="341" t="s">
        <v>135</v>
      </c>
      <c r="E320" s="24"/>
      <c r="F320" s="24"/>
      <c r="G320" s="54" t="s">
        <v>25</v>
      </c>
      <c r="H320" s="27">
        <f>+[59]Sheet1!$G$15</f>
        <v>21640081723.700001</v>
      </c>
      <c r="I320" s="46"/>
      <c r="J320" s="249"/>
      <c r="K320" s="250"/>
      <c r="L320" s="259"/>
      <c r="M320" s="27"/>
      <c r="N320" s="27"/>
      <c r="O320" s="27"/>
      <c r="P320" s="27"/>
      <c r="Q320" s="27"/>
      <c r="R320" s="27"/>
      <c r="S320" s="27"/>
      <c r="T320" s="27"/>
      <c r="U320" s="27"/>
      <c r="W320" s="93">
        <v>21640081723.700001</v>
      </c>
    </row>
    <row r="321" spans="2:25" ht="16.5" hidden="1" x14ac:dyDescent="0.3">
      <c r="B321" s="14"/>
      <c r="C321" s="308"/>
      <c r="D321" s="346" t="s">
        <v>95</v>
      </c>
      <c r="E321" s="79"/>
      <c r="F321" s="79"/>
      <c r="G321" s="91" t="s">
        <v>25</v>
      </c>
      <c r="H321" s="80">
        <f>+[59]Sheet1!$G$29</f>
        <v>2017265800</v>
      </c>
      <c r="I321" s="81"/>
      <c r="J321" s="270"/>
      <c r="K321" s="271"/>
      <c r="L321" s="131">
        <f>+[59]Sheet1!$K$37</f>
        <v>1</v>
      </c>
      <c r="M321" s="80">
        <f>+[59]Sheet1!$L$37</f>
        <v>2017265800</v>
      </c>
      <c r="N321" s="80"/>
      <c r="O321" s="80"/>
      <c r="P321" s="80"/>
      <c r="Q321" s="80"/>
      <c r="R321" s="80">
        <f>+[59]Sheet1!$Q$37</f>
        <v>2017265800</v>
      </c>
      <c r="S321" s="154"/>
      <c r="T321" s="80">
        <f>+[59]Sheet1!$S$37</f>
        <v>0</v>
      </c>
      <c r="U321" s="80" t="str">
        <f>+[59]Sheet1!$R$37</f>
        <v>LUNAS</v>
      </c>
      <c r="W321" s="93">
        <v>2017265800</v>
      </c>
      <c r="X321" s="93">
        <v>2017265800</v>
      </c>
      <c r="Y321" s="93">
        <v>2017265800</v>
      </c>
    </row>
    <row r="322" spans="2:25" ht="16.5" hidden="1" x14ac:dyDescent="0.3">
      <c r="B322" s="14"/>
      <c r="C322" s="308"/>
      <c r="D322" s="342" t="s">
        <v>76</v>
      </c>
      <c r="E322" s="24"/>
      <c r="F322" s="24"/>
      <c r="G322" s="54"/>
      <c r="H322" s="27">
        <f>SUBTOTAL(9,H319:H321)</f>
        <v>99425347523.699997</v>
      </c>
      <c r="I322" s="46"/>
      <c r="J322" s="249"/>
      <c r="K322" s="250"/>
      <c r="L322" s="251"/>
      <c r="M322" s="27">
        <f t="shared" ref="M322:T322" si="12">SUBTOTAL(9,M319:M321)</f>
        <v>99425347524</v>
      </c>
      <c r="N322" s="27">
        <f t="shared" si="12"/>
        <v>99425347523.699997</v>
      </c>
      <c r="O322" s="27">
        <f t="shared" si="12"/>
        <v>99425347523.699997</v>
      </c>
      <c r="P322" s="27">
        <f t="shared" si="12"/>
        <v>99425347523.699997</v>
      </c>
      <c r="Q322" s="27">
        <f t="shared" si="12"/>
        <v>99425347523.699997</v>
      </c>
      <c r="R322" s="27">
        <f t="shared" si="12"/>
        <v>99425347524</v>
      </c>
      <c r="S322" s="27">
        <v>0</v>
      </c>
      <c r="T322" s="27">
        <f t="shared" si="12"/>
        <v>0</v>
      </c>
      <c r="U322" s="254"/>
      <c r="W322" s="93">
        <v>99425347523.699997</v>
      </c>
      <c r="X322" s="93">
        <v>99425347524</v>
      </c>
      <c r="Y322" s="93">
        <v>99425347524</v>
      </c>
    </row>
    <row r="323" spans="2:25" ht="16.5" hidden="1" x14ac:dyDescent="0.3">
      <c r="B323" s="14"/>
      <c r="C323" s="308"/>
      <c r="D323" s="342"/>
      <c r="E323" s="24"/>
      <c r="F323" s="24"/>
      <c r="G323" s="23"/>
      <c r="H323" s="46"/>
      <c r="I323" s="46"/>
      <c r="J323" s="249"/>
      <c r="K323" s="250"/>
      <c r="L323" s="251"/>
      <c r="M323" s="89"/>
      <c r="N323" s="89"/>
      <c r="O323" s="89"/>
      <c r="P323" s="89"/>
      <c r="Q323" s="89"/>
      <c r="R323" s="46"/>
      <c r="S323" s="281"/>
      <c r="T323" s="281"/>
      <c r="U323" s="254"/>
    </row>
    <row r="324" spans="2:25" ht="16.5" hidden="1" x14ac:dyDescent="0.3">
      <c r="B324" s="14"/>
      <c r="C324" s="308" t="s">
        <v>66</v>
      </c>
      <c r="D324" s="341" t="s">
        <v>67</v>
      </c>
      <c r="E324" s="24"/>
      <c r="F324" s="24"/>
      <c r="G324" s="54" t="s">
        <v>25</v>
      </c>
      <c r="H324" s="27">
        <f>+[60]Sheet1!$G$16</f>
        <v>1100000000</v>
      </c>
      <c r="I324" s="46"/>
      <c r="J324" s="249"/>
      <c r="K324" s="250"/>
      <c r="L324" s="128" t="s">
        <v>170</v>
      </c>
      <c r="M324" s="27">
        <f>+[61]Sheet1!$L$16</f>
        <v>1100000000</v>
      </c>
      <c r="N324" s="27">
        <f>+[60]Sheet1!$G$16</f>
        <v>1100000000</v>
      </c>
      <c r="O324" s="27">
        <f>+[60]Sheet1!$G$16</f>
        <v>1100000000</v>
      </c>
      <c r="P324" s="27">
        <f>+[60]Sheet1!$G$16</f>
        <v>1100000000</v>
      </c>
      <c r="Q324" s="27">
        <f>+[60]Sheet1!$G$16</f>
        <v>1100000000</v>
      </c>
      <c r="R324" s="27">
        <f>+[61]Sheet1!$Q$16</f>
        <v>1100000000</v>
      </c>
      <c r="S324" s="27">
        <f>+[61]Sheet1!$R$16</f>
        <v>0</v>
      </c>
      <c r="T324" s="27">
        <f>+[60]Sheet1!$S$16</f>
        <v>0</v>
      </c>
      <c r="U324" s="254" t="s">
        <v>99</v>
      </c>
      <c r="W324" s="93">
        <v>1100000000</v>
      </c>
      <c r="X324" s="93">
        <v>1045000000</v>
      </c>
      <c r="Y324" s="93">
        <v>1045000000</v>
      </c>
    </row>
    <row r="325" spans="2:25" ht="16.5" hidden="1" x14ac:dyDescent="0.3">
      <c r="B325" s="14"/>
      <c r="C325" s="308"/>
      <c r="D325" s="342"/>
      <c r="E325" s="24"/>
      <c r="F325" s="24"/>
      <c r="G325" s="54" t="s">
        <v>26</v>
      </c>
      <c r="H325" s="34">
        <f>+[61]Sheet1!$G$26</f>
        <v>1041444</v>
      </c>
      <c r="I325" s="34"/>
      <c r="J325" s="268"/>
      <c r="K325" s="268"/>
      <c r="L325" s="128" t="s">
        <v>170</v>
      </c>
      <c r="M325" s="34">
        <f>+[61]Sheet1!$L$26</f>
        <v>1041443.75</v>
      </c>
      <c r="N325" s="34">
        <f>+[60]Sheet1!$G$26</f>
        <v>1067000</v>
      </c>
      <c r="O325" s="34">
        <f>+[60]Sheet1!$G$26</f>
        <v>1067000</v>
      </c>
      <c r="P325" s="34">
        <f>+[60]Sheet1!$G$26</f>
        <v>1067000</v>
      </c>
      <c r="Q325" s="34">
        <f>+[60]Sheet1!$G$26</f>
        <v>1067000</v>
      </c>
      <c r="R325" s="34">
        <f>+[61]Sheet1!$Q$26</f>
        <v>1041443.75</v>
      </c>
      <c r="S325" s="34">
        <f>+[61]Sheet1!$R$26</f>
        <v>0</v>
      </c>
      <c r="T325" s="34">
        <v>0</v>
      </c>
      <c r="U325" s="254" t="s">
        <v>99</v>
      </c>
      <c r="W325" s="93">
        <v>1067000</v>
      </c>
      <c r="X325" s="93">
        <v>1013600</v>
      </c>
      <c r="Y325" s="93">
        <v>1013600</v>
      </c>
    </row>
    <row r="326" spans="2:25" ht="16.5" hidden="1" x14ac:dyDescent="0.3">
      <c r="B326" s="249"/>
      <c r="C326" s="305"/>
      <c r="D326" s="342"/>
      <c r="E326" s="264"/>
      <c r="F326" s="264"/>
      <c r="G326" s="248"/>
      <c r="H326" s="46"/>
      <c r="I326" s="89"/>
      <c r="J326" s="88"/>
      <c r="K326" s="250"/>
      <c r="L326" s="251"/>
      <c r="M326" s="89"/>
      <c r="N326" s="89"/>
      <c r="O326" s="89"/>
      <c r="P326" s="89"/>
      <c r="Q326" s="89"/>
      <c r="R326" s="45"/>
      <c r="S326" s="281"/>
      <c r="T326" s="281"/>
      <c r="U326" s="254"/>
    </row>
    <row r="327" spans="2:25" ht="16.5" hidden="1" x14ac:dyDescent="0.3">
      <c r="B327" s="14"/>
      <c r="C327" s="309"/>
      <c r="D327" s="417" t="s">
        <v>68</v>
      </c>
      <c r="E327" s="418"/>
      <c r="F327" s="418"/>
      <c r="G327" s="419"/>
      <c r="H327" s="56">
        <f>+H324+H322+H313+H311+H302+H316</f>
        <v>263316549843.90002</v>
      </c>
      <c r="I327" s="56"/>
      <c r="J327" s="224"/>
      <c r="K327" s="237"/>
      <c r="L327" s="238"/>
      <c r="M327" s="56">
        <f>+M324+M322+M313+M311+M302+M316</f>
        <v>263316549844</v>
      </c>
      <c r="N327" s="56">
        <f>+N324+N322+N311+N302</f>
        <v>100525347523.7</v>
      </c>
      <c r="O327" s="56">
        <f>+O324+O322+O311+O302</f>
        <v>100525347523.7</v>
      </c>
      <c r="P327" s="56">
        <f>+P324+P322+P311+P302</f>
        <v>100525347523.7</v>
      </c>
      <c r="Q327" s="56">
        <f>+Q324+Q322+Q311+Q302</f>
        <v>100525347523.7</v>
      </c>
      <c r="R327" s="56">
        <f>+R324+R322+R313+R311+R302+R316</f>
        <v>263316549844</v>
      </c>
      <c r="S327" s="56">
        <f>+S324+S322+S313+S311+S302+S316</f>
        <v>0</v>
      </c>
      <c r="T327" s="56">
        <f>+T324+T322+T313+T311+T302+T316</f>
        <v>0</v>
      </c>
      <c r="U327" s="240"/>
      <c r="W327" s="93">
        <v>263316549843.90002</v>
      </c>
      <c r="X327" s="93">
        <v>263261549844</v>
      </c>
      <c r="Y327" s="93">
        <v>263261549844</v>
      </c>
    </row>
    <row r="328" spans="2:25" ht="16.5" hidden="1" x14ac:dyDescent="0.3">
      <c r="B328" s="76"/>
      <c r="C328" s="307"/>
      <c r="D328" s="420"/>
      <c r="E328" s="421"/>
      <c r="F328" s="421"/>
      <c r="G328" s="422"/>
      <c r="H328" s="245">
        <f>+H325</f>
        <v>1041444</v>
      </c>
      <c r="I328" s="245"/>
      <c r="J328" s="295"/>
      <c r="K328" s="295"/>
      <c r="L328" s="244"/>
      <c r="M328" s="245">
        <f>+M325</f>
        <v>1041443.75</v>
      </c>
      <c r="N328" s="245">
        <f t="shared" ref="N328:Q328" si="13">+N325</f>
        <v>1067000</v>
      </c>
      <c r="O328" s="245">
        <f t="shared" si="13"/>
        <v>1067000</v>
      </c>
      <c r="P328" s="245">
        <f t="shared" si="13"/>
        <v>1067000</v>
      </c>
      <c r="Q328" s="245">
        <f t="shared" si="13"/>
        <v>1067000</v>
      </c>
      <c r="R328" s="245">
        <f>+R325</f>
        <v>1041443.75</v>
      </c>
      <c r="S328" s="245">
        <f>+S325</f>
        <v>0</v>
      </c>
      <c r="T328" s="245">
        <f>+T325</f>
        <v>0</v>
      </c>
      <c r="U328" s="246"/>
      <c r="W328" s="93">
        <v>1067000</v>
      </c>
      <c r="X328" s="93">
        <v>1013600</v>
      </c>
      <c r="Y328" s="93">
        <v>1013600</v>
      </c>
    </row>
    <row r="329" spans="2:25" hidden="1" x14ac:dyDescent="0.25"/>
    <row r="330" spans="2:25" hidden="1" x14ac:dyDescent="0.25"/>
    <row r="331" spans="2:25" hidden="1" x14ac:dyDescent="0.25">
      <c r="H331" s="93">
        <f>+H327-M327</f>
        <v>-9.99755859375E-2</v>
      </c>
      <c r="M331" s="93"/>
      <c r="N331" s="93"/>
      <c r="O331" s="93"/>
      <c r="P331" s="93"/>
      <c r="Q331" s="93"/>
      <c r="R331" s="93"/>
      <c r="S331" s="93"/>
      <c r="T331" s="93"/>
    </row>
    <row r="332" spans="2:25" hidden="1" x14ac:dyDescent="0.25">
      <c r="H332" s="93"/>
      <c r="M332" s="93"/>
      <c r="N332" s="93"/>
      <c r="O332" s="93"/>
      <c r="P332" s="93"/>
      <c r="Q332" s="93"/>
      <c r="R332" s="93"/>
      <c r="S332" s="93"/>
      <c r="T332" s="93"/>
    </row>
    <row r="333" spans="2:25" hidden="1" x14ac:dyDescent="0.25">
      <c r="C333" s="303" t="s">
        <v>113</v>
      </c>
      <c r="D333" s="303" t="s">
        <v>114</v>
      </c>
    </row>
    <row r="334" spans="2:25" x14ac:dyDescent="0.25">
      <c r="L334" s="143"/>
      <c r="M334" s="143"/>
      <c r="R334" s="143" t="s">
        <v>135</v>
      </c>
      <c r="Y334" s="93" t="s">
        <v>135</v>
      </c>
    </row>
    <row r="337" spans="12:20" x14ac:dyDescent="0.25">
      <c r="L337" s="120" t="s">
        <v>239</v>
      </c>
      <c r="R337" s="143" t="s">
        <v>240</v>
      </c>
    </row>
    <row r="340" spans="12:20" x14ac:dyDescent="0.25">
      <c r="T340" s="143" t="s">
        <v>241</v>
      </c>
    </row>
  </sheetData>
  <mergeCells count="34">
    <mergeCell ref="D27:G27"/>
    <mergeCell ref="B4:U4"/>
    <mergeCell ref="D18:G18"/>
    <mergeCell ref="D25:G25"/>
    <mergeCell ref="D23:G23"/>
    <mergeCell ref="D19:G19"/>
    <mergeCell ref="D21:G21"/>
    <mergeCell ref="D8:G8"/>
    <mergeCell ref="D15:G16"/>
    <mergeCell ref="B106:B107"/>
    <mergeCell ref="D99:G99"/>
    <mergeCell ref="D101:G101"/>
    <mergeCell ref="D31:G31"/>
    <mergeCell ref="D29:G29"/>
    <mergeCell ref="D39:G40"/>
    <mergeCell ref="D42:G42"/>
    <mergeCell ref="D72:G73"/>
    <mergeCell ref="D75:G76"/>
    <mergeCell ref="L44:L45"/>
    <mergeCell ref="D327:G328"/>
    <mergeCell ref="D201:G202"/>
    <mergeCell ref="B201:B202"/>
    <mergeCell ref="B75:B76"/>
    <mergeCell ref="D134:G135"/>
    <mergeCell ref="B134:B135"/>
    <mergeCell ref="D131:G132"/>
    <mergeCell ref="D198:G199"/>
    <mergeCell ref="D104:G105"/>
    <mergeCell ref="D97:G97"/>
    <mergeCell ref="D106:G107"/>
    <mergeCell ref="D297:G298"/>
    <mergeCell ref="B297:B298"/>
    <mergeCell ref="D289:G291"/>
    <mergeCell ref="D77:G77"/>
  </mergeCells>
  <hyperlinks>
    <hyperlink ref="D79" r:id="rId1"/>
  </hyperlinks>
  <pageMargins left="0.35" right="0.27559055118110237" top="0.43307086614173229" bottom="0.47244094488188981" header="0.31496062992125984" footer="0.19685039370078741"/>
  <pageSetup paperSize="9" scale="88" orientation="landscape" r:id="rId2"/>
  <headerFooter>
    <oddFooter>&amp;L&amp;F&amp;C&amp;P&amp;R&amp;D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6"/>
  <sheetViews>
    <sheetView view="pageBreakPreview" zoomScale="60" zoomScaleNormal="100" workbookViewId="0">
      <selection activeCell="M14" sqref="M14"/>
    </sheetView>
  </sheetViews>
  <sheetFormatPr defaultRowHeight="15" x14ac:dyDescent="0.25"/>
  <cols>
    <col min="2" max="2" width="5.5703125" customWidth="1"/>
    <col min="3" max="3" width="8.28515625" style="143" customWidth="1"/>
    <col min="4" max="4" width="16.85546875" bestFit="1" customWidth="1"/>
    <col min="7" max="7" width="7.42578125" customWidth="1"/>
    <col min="8" max="8" width="15.85546875" customWidth="1"/>
    <col min="9" max="9" width="16.28515625" hidden="1" customWidth="1"/>
    <col min="10" max="10" width="14.42578125" hidden="1" customWidth="1"/>
    <col min="11" max="11" width="10.5703125" hidden="1" customWidth="1"/>
    <col min="12" max="12" width="12.7109375" style="120" customWidth="1"/>
    <col min="13" max="13" width="18.28515625" style="42" customWidth="1"/>
    <col min="14" max="17" width="0" hidden="1" customWidth="1"/>
    <col min="18" max="18" width="16.28515625" customWidth="1"/>
    <col min="19" max="20" width="15.7109375" customWidth="1"/>
    <col min="22" max="22" width="15.140625" customWidth="1"/>
    <col min="23" max="23" width="17.140625" style="93" customWidth="1"/>
    <col min="24" max="24" width="17.28515625" style="93" customWidth="1"/>
    <col min="25" max="25" width="16.28515625" style="93" bestFit="1" customWidth="1"/>
  </cols>
  <sheetData>
    <row r="1" spans="1:25" ht="23.25" x14ac:dyDescent="0.25">
      <c r="B1" s="404" t="s">
        <v>188</v>
      </c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</row>
    <row r="2" spans="1:25" ht="23.25" x14ac:dyDescent="0.35">
      <c r="B2" s="26"/>
      <c r="C2" s="140"/>
      <c r="D2" s="1"/>
      <c r="E2" s="1"/>
      <c r="F2" s="1"/>
      <c r="G2" s="1"/>
      <c r="H2" s="1" t="s">
        <v>13</v>
      </c>
      <c r="I2" s="1"/>
      <c r="J2" s="1"/>
      <c r="K2" s="1"/>
      <c r="L2" s="113"/>
      <c r="M2" s="39"/>
      <c r="N2" s="1"/>
      <c r="O2" s="1"/>
      <c r="P2" s="1"/>
      <c r="Q2" s="1"/>
      <c r="R2" s="1"/>
      <c r="S2" s="1"/>
      <c r="T2" s="1"/>
      <c r="U2" s="1"/>
      <c r="W2" s="93" t="s">
        <v>13</v>
      </c>
    </row>
    <row r="3" spans="1:25" ht="47.25" x14ac:dyDescent="0.25">
      <c r="B3" s="5" t="s">
        <v>1</v>
      </c>
      <c r="C3" s="141" t="s">
        <v>17</v>
      </c>
      <c r="D3" s="7" t="s">
        <v>2</v>
      </c>
      <c r="E3" s="7"/>
      <c r="F3" s="7"/>
      <c r="G3" s="12"/>
      <c r="H3" s="5" t="s">
        <v>3</v>
      </c>
      <c r="I3" s="5" t="s">
        <v>4</v>
      </c>
      <c r="J3" s="5" t="s">
        <v>5</v>
      </c>
      <c r="K3" s="5" t="s">
        <v>6</v>
      </c>
      <c r="L3" s="114" t="s">
        <v>7</v>
      </c>
      <c r="M3" s="40" t="s">
        <v>19</v>
      </c>
      <c r="N3" s="5" t="s">
        <v>8</v>
      </c>
      <c r="O3" s="5" t="s">
        <v>9</v>
      </c>
      <c r="P3" s="5" t="s">
        <v>10</v>
      </c>
      <c r="Q3" s="5" t="s">
        <v>11</v>
      </c>
      <c r="R3" s="5" t="s">
        <v>20</v>
      </c>
      <c r="S3" s="5" t="s">
        <v>21</v>
      </c>
      <c r="T3" s="5" t="s">
        <v>22</v>
      </c>
      <c r="U3" s="5" t="s">
        <v>12</v>
      </c>
      <c r="W3" s="196" t="s">
        <v>3</v>
      </c>
      <c r="X3" s="5" t="s">
        <v>19</v>
      </c>
      <c r="Y3" s="93" t="s">
        <v>20</v>
      </c>
    </row>
    <row r="4" spans="1:25" ht="16.5" customHeight="1" x14ac:dyDescent="0.25">
      <c r="A4" s="208"/>
      <c r="B4" s="149"/>
      <c r="C4" s="142"/>
      <c r="D4" s="438"/>
      <c r="E4" s="439"/>
      <c r="F4" s="439"/>
      <c r="G4" s="440"/>
      <c r="H4" s="193"/>
      <c r="I4" s="193"/>
      <c r="J4" s="193"/>
      <c r="K4" s="193"/>
      <c r="L4" s="194"/>
      <c r="M4" s="195"/>
      <c r="N4" s="193"/>
      <c r="O4" s="193"/>
      <c r="P4" s="193"/>
      <c r="Q4" s="193"/>
      <c r="R4" s="193"/>
      <c r="S4" s="193"/>
      <c r="T4" s="193"/>
      <c r="U4" s="193"/>
      <c r="W4" s="197"/>
      <c r="X4" s="192"/>
    </row>
    <row r="5" spans="1:25" ht="16.5" x14ac:dyDescent="0.3">
      <c r="A5" s="208"/>
      <c r="B5" s="437">
        <v>1</v>
      </c>
      <c r="C5" s="142"/>
      <c r="D5" s="423" t="s">
        <v>128</v>
      </c>
      <c r="E5" s="424"/>
      <c r="F5" s="424"/>
      <c r="G5" s="425"/>
      <c r="H5" s="32"/>
      <c r="I5" s="145"/>
      <c r="J5" s="145"/>
      <c r="K5" s="31"/>
      <c r="L5" s="115"/>
      <c r="M5" s="32"/>
      <c r="N5" s="31"/>
      <c r="O5" s="145"/>
      <c r="P5" s="145"/>
      <c r="Q5" s="145"/>
      <c r="R5" s="135"/>
      <c r="S5" s="145"/>
      <c r="T5" s="145"/>
      <c r="U5" s="6"/>
    </row>
    <row r="6" spans="1:25" ht="16.5" x14ac:dyDescent="0.3">
      <c r="A6" s="208"/>
      <c r="B6" s="437"/>
      <c r="C6" s="142"/>
      <c r="D6" s="423"/>
      <c r="E6" s="424"/>
      <c r="F6" s="424"/>
      <c r="G6" s="425"/>
      <c r="H6" s="134"/>
      <c r="I6" s="145"/>
      <c r="J6" s="145"/>
      <c r="K6" s="31"/>
      <c r="L6" s="115"/>
      <c r="M6" s="134"/>
      <c r="N6" s="31"/>
      <c r="O6" s="145"/>
      <c r="P6" s="145"/>
      <c r="Q6" s="145"/>
      <c r="R6" s="135"/>
      <c r="S6" s="145"/>
      <c r="T6" s="145" t="s">
        <v>135</v>
      </c>
      <c r="U6" s="6"/>
    </row>
    <row r="7" spans="1:25" ht="16.5" x14ac:dyDescent="0.3">
      <c r="A7" s="208"/>
      <c r="B7" s="14"/>
      <c r="C7" s="121" t="s">
        <v>23</v>
      </c>
      <c r="D7" s="15" t="s">
        <v>24</v>
      </c>
      <c r="E7" s="22"/>
      <c r="F7" s="22"/>
      <c r="G7" s="23" t="s">
        <v>25</v>
      </c>
      <c r="H7" s="21">
        <f>+[62]Sheet1!$G$24</f>
        <v>0</v>
      </c>
      <c r="I7" s="21"/>
      <c r="J7" s="145"/>
      <c r="K7" s="31"/>
      <c r="L7" s="117" t="str">
        <f>+[62]Sheet1!$L$24</f>
        <v>RET 5%</v>
      </c>
      <c r="M7" s="28">
        <f>+[62]Sheet1!M24</f>
        <v>731762900</v>
      </c>
      <c r="N7" s="4"/>
      <c r="O7" s="10"/>
      <c r="P7" s="10"/>
      <c r="Q7" s="10"/>
      <c r="R7" s="27">
        <f>+[62]Sheet1!R24</f>
        <v>731762900</v>
      </c>
      <c r="S7" s="28">
        <f>+[62]Sheet1!S24</f>
        <v>0</v>
      </c>
      <c r="T7" s="28">
        <f>+[62]Sheet1!T24</f>
        <v>0</v>
      </c>
      <c r="U7" s="6"/>
      <c r="W7" s="93">
        <v>14333493000</v>
      </c>
      <c r="X7" s="93">
        <v>13149486964</v>
      </c>
      <c r="Y7" s="93">
        <v>13149486964</v>
      </c>
    </row>
    <row r="8" spans="1:25" ht="16.5" x14ac:dyDescent="0.3">
      <c r="A8" s="208"/>
      <c r="B8" s="14"/>
      <c r="C8" s="52"/>
      <c r="D8" s="15" t="s">
        <v>24</v>
      </c>
      <c r="E8" s="22"/>
      <c r="F8" s="22"/>
      <c r="G8" s="23" t="s">
        <v>135</v>
      </c>
      <c r="H8" s="34">
        <f>+[62]Sheet1!$G$41</f>
        <v>950580.99999999907</v>
      </c>
      <c r="I8" s="34"/>
      <c r="J8" s="37"/>
      <c r="K8" s="37"/>
      <c r="L8" s="117">
        <f>+[62]Sheet1!$L$41</f>
        <v>1</v>
      </c>
      <c r="M8" s="35">
        <f>+[62]Sheet1!M41</f>
        <v>950580.48</v>
      </c>
      <c r="N8" s="35"/>
      <c r="O8" s="35"/>
      <c r="P8" s="35"/>
      <c r="Q8" s="35"/>
      <c r="R8" s="68">
        <f>+[62]Sheet1!R41</f>
        <v>950580.48</v>
      </c>
      <c r="S8" s="35">
        <f>+[62]Sheet1!S41</f>
        <v>0</v>
      </c>
      <c r="T8" s="35">
        <f>+[62]Sheet1!T41</f>
        <v>0.51999999908730388</v>
      </c>
      <c r="U8" s="6"/>
      <c r="W8" s="93">
        <v>949481</v>
      </c>
      <c r="X8" s="93">
        <v>874725.19</v>
      </c>
      <c r="Y8" s="93">
        <v>874725.19</v>
      </c>
    </row>
    <row r="9" spans="1:25" ht="16.5" x14ac:dyDescent="0.3">
      <c r="A9" s="208"/>
      <c r="B9" s="14"/>
      <c r="C9" s="52"/>
      <c r="D9" s="18"/>
      <c r="E9" s="24"/>
      <c r="F9" s="24" t="s">
        <v>135</v>
      </c>
      <c r="G9" s="25"/>
      <c r="H9" s="21"/>
      <c r="I9" s="27"/>
      <c r="J9" s="145"/>
      <c r="K9" s="31"/>
      <c r="L9" s="115"/>
      <c r="M9" s="32"/>
      <c r="N9" s="32"/>
      <c r="O9" s="32"/>
      <c r="P9" s="32"/>
      <c r="Q9" s="32"/>
      <c r="R9" s="28"/>
      <c r="S9" s="32"/>
      <c r="T9" s="28"/>
      <c r="U9" s="6"/>
    </row>
    <row r="10" spans="1:25" ht="16.5" x14ac:dyDescent="0.3">
      <c r="A10" s="208"/>
      <c r="B10" s="14"/>
      <c r="C10" s="121" t="s">
        <v>27</v>
      </c>
      <c r="D10" s="15" t="s">
        <v>28</v>
      </c>
      <c r="E10" s="24"/>
      <c r="F10" s="24"/>
      <c r="G10" s="54" t="s">
        <v>25</v>
      </c>
      <c r="H10" s="21">
        <f>+[41]Sheet1!$G$25</f>
        <v>50539445099</v>
      </c>
      <c r="I10" s="27"/>
      <c r="J10" s="145"/>
      <c r="K10" s="31"/>
      <c r="L10" s="115">
        <v>1</v>
      </c>
      <c r="M10" s="32">
        <f>+[41]Sheet1!M25</f>
        <v>50539445099</v>
      </c>
      <c r="N10" s="32"/>
      <c r="O10" s="32"/>
      <c r="P10" s="32"/>
      <c r="Q10" s="32"/>
      <c r="R10" s="32">
        <f>+[41]Sheet1!R25</f>
        <v>50539445099</v>
      </c>
      <c r="S10" s="32">
        <f>+[41]Sheet1!$S$25</f>
        <v>0</v>
      </c>
      <c r="T10" s="32">
        <f>+[41]Sheet1!T25</f>
        <v>0</v>
      </c>
      <c r="U10" s="6"/>
      <c r="W10" s="93">
        <v>49936700000</v>
      </c>
      <c r="X10" s="93">
        <v>44379898313</v>
      </c>
      <c r="Y10" s="93">
        <v>44379898313</v>
      </c>
    </row>
    <row r="11" spans="1:25" ht="16.5" x14ac:dyDescent="0.3">
      <c r="A11" s="208"/>
      <c r="B11" s="124"/>
      <c r="C11" s="52"/>
      <c r="D11" s="18"/>
      <c r="E11" s="24"/>
      <c r="F11" s="24"/>
      <c r="G11" s="25"/>
      <c r="H11" s="21"/>
      <c r="I11" s="27"/>
      <c r="J11" s="145"/>
      <c r="K11" s="31"/>
      <c r="L11" s="115"/>
      <c r="M11" s="32"/>
      <c r="N11" s="32"/>
      <c r="O11" s="32"/>
      <c r="P11" s="32"/>
      <c r="Q11" s="32"/>
      <c r="R11" s="28"/>
      <c r="S11" s="32"/>
      <c r="T11" s="28"/>
      <c r="U11" s="6"/>
    </row>
    <row r="12" spans="1:25" ht="16.5" x14ac:dyDescent="0.3">
      <c r="A12" s="208"/>
      <c r="B12" s="14"/>
      <c r="C12" s="121" t="s">
        <v>29</v>
      </c>
      <c r="D12" s="198" t="s">
        <v>30</v>
      </c>
      <c r="E12" s="199"/>
      <c r="F12" s="199"/>
      <c r="G12" s="25" t="s">
        <v>25</v>
      </c>
      <c r="H12" s="21">
        <f>+[42]Sheet1!$G$24</f>
        <v>28231500000</v>
      </c>
      <c r="I12" s="27"/>
      <c r="J12" s="145"/>
      <c r="K12" s="38"/>
      <c r="L12" s="115" t="str">
        <f>+[42]Sheet1!$L$24</f>
        <v>RET-5%</v>
      </c>
      <c r="M12" s="32">
        <f>+[42]Sheet1!M24</f>
        <v>28231500000</v>
      </c>
      <c r="N12" s="32"/>
      <c r="O12" s="32"/>
      <c r="P12" s="32"/>
      <c r="Q12" s="32"/>
      <c r="R12" s="32">
        <f>+[42]Sheet1!R24</f>
        <v>26819924999</v>
      </c>
      <c r="S12" s="32">
        <f>+[42]Sheet1!S24</f>
        <v>1411575000</v>
      </c>
      <c r="T12" s="32">
        <f>+[42]Sheet1!T24</f>
        <v>0</v>
      </c>
      <c r="U12" s="6"/>
      <c r="W12" s="93">
        <v>26609000000</v>
      </c>
      <c r="X12" s="93">
        <v>25278549999</v>
      </c>
      <c r="Y12" s="93">
        <v>24489519975</v>
      </c>
    </row>
    <row r="13" spans="1:25" ht="16.5" x14ac:dyDescent="0.3">
      <c r="A13" s="208"/>
      <c r="B13" s="14"/>
      <c r="C13" s="52"/>
      <c r="D13" s="200"/>
      <c r="E13" s="199"/>
      <c r="F13" s="199"/>
      <c r="G13" s="25"/>
      <c r="H13" s="21"/>
      <c r="I13" s="27"/>
      <c r="J13" s="145"/>
      <c r="K13" s="31"/>
      <c r="L13" s="115"/>
      <c r="M13" s="32"/>
      <c r="N13" s="32"/>
      <c r="O13" s="32"/>
      <c r="P13" s="32"/>
      <c r="Q13" s="32"/>
      <c r="R13" s="28"/>
      <c r="S13" s="32"/>
      <c r="T13" s="28"/>
      <c r="U13" s="6"/>
    </row>
    <row r="14" spans="1:25" ht="16.5" x14ac:dyDescent="0.3">
      <c r="A14" s="208"/>
      <c r="B14" s="14"/>
      <c r="C14" s="52"/>
      <c r="D14" s="18"/>
      <c r="E14" s="24"/>
      <c r="F14" s="24"/>
      <c r="G14" s="25"/>
      <c r="H14" s="21"/>
      <c r="I14" s="21"/>
      <c r="J14" s="145"/>
      <c r="K14" s="31"/>
      <c r="L14" s="115"/>
      <c r="M14" s="32" t="s">
        <v>135</v>
      </c>
      <c r="N14" s="32"/>
      <c r="O14" s="32"/>
      <c r="P14" s="32"/>
      <c r="Q14" s="32"/>
      <c r="R14" s="28"/>
      <c r="S14" s="32"/>
      <c r="T14" s="28"/>
      <c r="U14" s="6"/>
    </row>
    <row r="15" spans="1:25" ht="16.5" x14ac:dyDescent="0.3">
      <c r="A15" s="208"/>
      <c r="B15" s="14"/>
      <c r="C15" s="55"/>
      <c r="D15" s="417" t="s">
        <v>33</v>
      </c>
      <c r="E15" s="418"/>
      <c r="F15" s="418"/>
      <c r="G15" s="419"/>
      <c r="H15" s="155">
        <f>+H7+H10+H12</f>
        <v>78770945099</v>
      </c>
      <c r="I15" s="156"/>
      <c r="J15" s="157"/>
      <c r="K15" s="158"/>
      <c r="L15" s="159"/>
      <c r="M15" s="155">
        <f>+M7+M10+M12</f>
        <v>79502707999</v>
      </c>
      <c r="N15" s="160"/>
      <c r="O15" s="160"/>
      <c r="P15" s="160"/>
      <c r="Q15" s="160"/>
      <c r="R15" s="155">
        <f>+R7+R10+R12</f>
        <v>78091132998</v>
      </c>
      <c r="S15" s="155">
        <f>+S7+S10+S12</f>
        <v>1411575000</v>
      </c>
      <c r="T15" s="155">
        <f>+T7+T10+T12</f>
        <v>0</v>
      </c>
      <c r="U15" s="59"/>
      <c r="W15" s="93">
        <v>195134209925.996</v>
      </c>
      <c r="X15" s="93">
        <v>150732528137.89999</v>
      </c>
      <c r="Y15" s="93">
        <v>144283140512</v>
      </c>
    </row>
    <row r="16" spans="1:25" ht="16.5" x14ac:dyDescent="0.3">
      <c r="A16" s="208"/>
      <c r="B16" s="76"/>
      <c r="C16" s="60"/>
      <c r="D16" s="420"/>
      <c r="E16" s="421"/>
      <c r="F16" s="421"/>
      <c r="G16" s="422"/>
      <c r="H16" s="161">
        <f>+H8</f>
        <v>950580.99999999907</v>
      </c>
      <c r="I16" s="162"/>
      <c r="J16" s="163"/>
      <c r="K16" s="164"/>
      <c r="L16" s="165"/>
      <c r="M16" s="161">
        <f>+M8</f>
        <v>950580.48</v>
      </c>
      <c r="N16" s="166"/>
      <c r="O16" s="166"/>
      <c r="P16" s="166"/>
      <c r="Q16" s="166"/>
      <c r="R16" s="161">
        <f>+R8</f>
        <v>950580.48</v>
      </c>
      <c r="S16" s="161">
        <f>+S8</f>
        <v>0</v>
      </c>
      <c r="T16" s="161">
        <f>+T8</f>
        <v>0.51999999908730388</v>
      </c>
      <c r="U16" s="66"/>
      <c r="W16" s="93">
        <v>2269481</v>
      </c>
      <c r="X16" s="93">
        <v>1226269.79</v>
      </c>
      <c r="Y16" s="93">
        <v>1154403.49</v>
      </c>
    </row>
    <row r="17" spans="1:25" ht="16.5" x14ac:dyDescent="0.3">
      <c r="A17" s="208"/>
      <c r="B17" s="14"/>
      <c r="C17" s="52"/>
      <c r="D17" s="18"/>
      <c r="E17" s="24"/>
      <c r="F17" s="24"/>
      <c r="G17" s="25"/>
      <c r="H17" s="21"/>
      <c r="I17" s="21"/>
      <c r="J17" s="145"/>
      <c r="K17" s="31"/>
      <c r="L17" s="115"/>
      <c r="M17" s="32"/>
      <c r="N17" s="32"/>
      <c r="O17" s="32"/>
      <c r="P17" s="32"/>
      <c r="Q17" s="32"/>
      <c r="R17" s="28"/>
      <c r="S17" s="32"/>
      <c r="T17" s="28"/>
      <c r="U17" s="6"/>
    </row>
    <row r="18" spans="1:25" ht="16.5" x14ac:dyDescent="0.3">
      <c r="A18" s="208"/>
      <c r="B18" s="437">
        <f>+B5+1</f>
        <v>2</v>
      </c>
      <c r="C18" s="52"/>
      <c r="D18" s="423" t="s">
        <v>130</v>
      </c>
      <c r="E18" s="424"/>
      <c r="F18" s="424"/>
      <c r="G18" s="425"/>
      <c r="H18" s="21"/>
      <c r="I18" s="21"/>
      <c r="J18" s="145"/>
      <c r="K18" s="31"/>
      <c r="L18" s="115"/>
      <c r="M18" s="32"/>
      <c r="N18" s="32"/>
      <c r="O18" s="32"/>
      <c r="P18" s="32"/>
      <c r="Q18" s="32"/>
      <c r="R18" s="28"/>
      <c r="S18" s="32"/>
      <c r="T18" s="28"/>
      <c r="U18" s="6"/>
    </row>
    <row r="19" spans="1:25" ht="16.5" x14ac:dyDescent="0.3">
      <c r="A19" s="208"/>
      <c r="B19" s="437"/>
      <c r="C19" s="52"/>
      <c r="D19" s="423"/>
      <c r="E19" s="424"/>
      <c r="F19" s="424"/>
      <c r="G19" s="425"/>
      <c r="H19" s="21"/>
      <c r="I19" s="21"/>
      <c r="J19" s="145"/>
      <c r="K19" s="31"/>
      <c r="L19" s="115"/>
      <c r="M19" s="32"/>
      <c r="N19" s="32"/>
      <c r="O19" s="32"/>
      <c r="P19" s="32"/>
      <c r="Q19" s="32"/>
      <c r="R19" s="28"/>
      <c r="S19" s="32"/>
      <c r="T19" s="28"/>
      <c r="U19" s="6"/>
    </row>
    <row r="20" spans="1:25" ht="16.5" x14ac:dyDescent="0.3">
      <c r="A20" s="208"/>
      <c r="B20" s="14"/>
      <c r="C20" s="121" t="s">
        <v>34</v>
      </c>
      <c r="D20" s="15" t="s">
        <v>35</v>
      </c>
      <c r="E20" s="16"/>
      <c r="F20" s="16"/>
      <c r="G20" s="17" t="s">
        <v>25</v>
      </c>
      <c r="H20" s="21">
        <f>+[46]Sheet1!$G$24</f>
        <v>4135106851.7000008</v>
      </c>
      <c r="I20" s="27"/>
      <c r="J20" s="145"/>
      <c r="K20" s="31"/>
      <c r="L20" s="150" t="str">
        <f>+[46]Sheet1!$L$24</f>
        <v>FA</v>
      </c>
      <c r="M20" s="21">
        <f>+[46]Sheet1!M24</f>
        <v>4135106853</v>
      </c>
      <c r="N20" s="32"/>
      <c r="O20" s="32"/>
      <c r="P20" s="32"/>
      <c r="Q20" s="32"/>
      <c r="R20" s="21">
        <f>+[46]Sheet1!R24</f>
        <v>4043155707</v>
      </c>
      <c r="S20" s="21">
        <f>+[46]Sheet1!S24</f>
        <v>91951146</v>
      </c>
      <c r="T20" s="21">
        <f>+[46]Sheet1!T24</f>
        <v>-1.2999992370605469</v>
      </c>
      <c r="U20" s="6"/>
      <c r="V20" s="203">
        <f>+H20-W20</f>
        <v>-594893148.29999924</v>
      </c>
      <c r="W20" s="93">
        <v>4730000000</v>
      </c>
      <c r="X20" s="93">
        <v>3188095919</v>
      </c>
      <c r="Y20" s="93">
        <v>3077769378</v>
      </c>
    </row>
    <row r="21" spans="1:25" ht="16.5" x14ac:dyDescent="0.3">
      <c r="A21" s="208"/>
      <c r="B21" s="14"/>
      <c r="C21" s="52"/>
      <c r="D21" s="15" t="s">
        <v>35</v>
      </c>
      <c r="E21" s="16"/>
      <c r="F21" s="16"/>
      <c r="G21" s="17" t="s">
        <v>26</v>
      </c>
      <c r="H21" s="34">
        <f>+[46]Sheet1!$G$36</f>
        <v>91005.717000000004</v>
      </c>
      <c r="I21" s="27"/>
      <c r="J21" s="145"/>
      <c r="K21" s="31"/>
      <c r="L21" s="117">
        <f>+[46]Sheet1!$L$36</f>
        <v>0.98372199999999999</v>
      </c>
      <c r="M21" s="34">
        <f>+[46]Sheet1!M36</f>
        <v>91005</v>
      </c>
      <c r="N21" s="35"/>
      <c r="O21" s="35"/>
      <c r="P21" s="35"/>
      <c r="Q21" s="35"/>
      <c r="R21" s="34">
        <f>+[46]Sheet1!R36</f>
        <v>86606</v>
      </c>
      <c r="S21" s="34">
        <f>+[46]Sheet1!S36</f>
        <v>4399</v>
      </c>
      <c r="T21" s="34">
        <f>+[46]Sheet1!T36</f>
        <v>0.71700000000419095</v>
      </c>
      <c r="U21" s="6"/>
      <c r="V21" s="203">
        <f t="shared" ref="V21:V76" si="0">+H21-W21</f>
        <v>3005.7170000000042</v>
      </c>
      <c r="W21" s="93">
        <v>88000</v>
      </c>
      <c r="X21" s="93">
        <v>79368</v>
      </c>
      <c r="Y21" s="93">
        <v>78648</v>
      </c>
    </row>
    <row r="22" spans="1:25" ht="16.5" x14ac:dyDescent="0.3">
      <c r="A22" s="208"/>
      <c r="B22" s="14"/>
      <c r="C22" s="52" t="s">
        <v>135</v>
      </c>
      <c r="D22" s="18"/>
      <c r="E22" s="24"/>
      <c r="F22" s="24"/>
      <c r="G22" s="25"/>
      <c r="H22" s="21"/>
      <c r="I22" s="21"/>
      <c r="J22" s="145" t="s">
        <v>16</v>
      </c>
      <c r="K22" s="31">
        <v>42241</v>
      </c>
      <c r="L22" s="115"/>
      <c r="M22" s="32"/>
      <c r="N22" s="32"/>
      <c r="O22" s="32"/>
      <c r="P22" s="32"/>
      <c r="Q22" s="32"/>
      <c r="R22" s="28"/>
      <c r="S22" s="32"/>
      <c r="T22" s="28"/>
      <c r="U22" s="6"/>
      <c r="V22" s="203">
        <f t="shared" si="0"/>
        <v>0</v>
      </c>
    </row>
    <row r="23" spans="1:25" ht="16.5" x14ac:dyDescent="0.3">
      <c r="A23" s="208"/>
      <c r="B23" s="14"/>
      <c r="C23" s="121" t="s">
        <v>38</v>
      </c>
      <c r="D23" s="15" t="s">
        <v>39</v>
      </c>
      <c r="E23" s="24"/>
      <c r="F23" s="24"/>
      <c r="G23" s="17" t="s">
        <v>25</v>
      </c>
      <c r="H23" s="27">
        <f>+[47]Sheet1!$G$28</f>
        <v>0</v>
      </c>
      <c r="I23" s="34"/>
      <c r="J23" s="145"/>
      <c r="K23" s="31"/>
      <c r="L23" s="115">
        <f>+[47]Sheet1!L28</f>
        <v>1</v>
      </c>
      <c r="M23" s="67">
        <f>+[47]Sheet1!M28</f>
        <v>2144078314</v>
      </c>
      <c r="N23" s="37"/>
      <c r="O23" s="37"/>
      <c r="P23" s="37"/>
      <c r="Q23" s="37"/>
      <c r="R23" s="67">
        <f>+[47]Sheet1!R28</f>
        <v>2144078314</v>
      </c>
      <c r="S23" s="67">
        <f>+[47]Sheet1!S28</f>
        <v>0</v>
      </c>
      <c r="T23" s="67">
        <f>+[47]Sheet1!T28</f>
        <v>0</v>
      </c>
      <c r="U23" s="6"/>
      <c r="V23" s="203">
        <f t="shared" si="0"/>
        <v>-66528574687.300003</v>
      </c>
      <c r="W23" s="93">
        <v>66528574687.300003</v>
      </c>
      <c r="X23" s="93">
        <v>56133729342</v>
      </c>
      <c r="Y23" s="93">
        <v>55551639592</v>
      </c>
    </row>
    <row r="24" spans="1:25" ht="16.5" x14ac:dyDescent="0.3">
      <c r="A24" s="208"/>
      <c r="B24" s="14"/>
      <c r="C24" s="52"/>
      <c r="D24" s="15" t="s">
        <v>39</v>
      </c>
      <c r="E24" s="24"/>
      <c r="F24" s="24"/>
      <c r="G24" s="17" t="s">
        <v>26</v>
      </c>
      <c r="H24" s="34">
        <f>+[47]Sheet1!$G$51</f>
        <v>0</v>
      </c>
      <c r="I24" s="34"/>
      <c r="J24" s="145"/>
      <c r="K24" s="31"/>
      <c r="L24" s="115">
        <f>+[47]Sheet1!L51</f>
        <v>0.96</v>
      </c>
      <c r="M24" s="68">
        <f>+[47]Sheet1!M51</f>
        <v>483.45</v>
      </c>
      <c r="N24" s="35"/>
      <c r="O24" s="35"/>
      <c r="P24" s="35"/>
      <c r="Q24" s="35"/>
      <c r="R24" s="68">
        <f>+[47]Sheet1!R51</f>
        <v>483.45</v>
      </c>
      <c r="S24" s="68">
        <f>+[47]Sheet1!S51</f>
        <v>0</v>
      </c>
      <c r="T24" s="68">
        <f>+[47]Sheet1!T51</f>
        <v>0</v>
      </c>
      <c r="U24" s="6"/>
      <c r="V24" s="203">
        <f t="shared" si="0"/>
        <v>-2813121.5989999999</v>
      </c>
      <c r="W24" s="93">
        <v>2813121.5989999999</v>
      </c>
      <c r="X24" s="93">
        <v>2567100</v>
      </c>
      <c r="Y24" s="93">
        <v>2566616.5499999998</v>
      </c>
    </row>
    <row r="25" spans="1:25" ht="16.5" x14ac:dyDescent="0.3">
      <c r="A25" s="208"/>
      <c r="B25" s="14"/>
      <c r="C25" s="52"/>
      <c r="D25" s="18"/>
      <c r="E25" s="24"/>
      <c r="F25" s="24"/>
      <c r="G25" s="23"/>
      <c r="H25" s="34"/>
      <c r="I25" s="34"/>
      <c r="J25" s="145"/>
      <c r="K25" s="31"/>
      <c r="L25" s="115"/>
      <c r="M25" s="51"/>
      <c r="N25" s="35"/>
      <c r="O25" s="35"/>
      <c r="P25" s="35"/>
      <c r="Q25" s="35"/>
      <c r="R25" s="36"/>
      <c r="S25" s="37"/>
      <c r="T25" s="37"/>
      <c r="U25" s="6"/>
      <c r="V25" s="203">
        <f t="shared" si="0"/>
        <v>0</v>
      </c>
    </row>
    <row r="26" spans="1:25" ht="16.5" x14ac:dyDescent="0.3">
      <c r="A26" s="208"/>
      <c r="B26" s="14"/>
      <c r="C26" s="121" t="s">
        <v>40</v>
      </c>
      <c r="D26" s="15" t="s">
        <v>41</v>
      </c>
      <c r="E26" s="16"/>
      <c r="F26" s="24"/>
      <c r="G26" s="23"/>
      <c r="H26" s="34"/>
      <c r="I26" s="34"/>
      <c r="J26" s="145"/>
      <c r="K26" s="31"/>
      <c r="L26" s="115"/>
      <c r="M26" s="51"/>
      <c r="N26" s="35"/>
      <c r="O26" s="35"/>
      <c r="P26" s="35"/>
      <c r="Q26" s="35"/>
      <c r="R26" s="36"/>
      <c r="S26" s="37"/>
      <c r="T26" s="37"/>
      <c r="U26" s="6"/>
      <c r="V26" s="203">
        <f t="shared" si="0"/>
        <v>0</v>
      </c>
    </row>
    <row r="27" spans="1:25" ht="16.5" x14ac:dyDescent="0.3">
      <c r="A27" s="208"/>
      <c r="B27" s="14"/>
      <c r="C27" s="52"/>
      <c r="D27" s="15" t="s">
        <v>83</v>
      </c>
      <c r="E27" s="16"/>
      <c r="F27" s="24"/>
      <c r="G27" s="17" t="s">
        <v>25</v>
      </c>
      <c r="H27" s="27">
        <f>+[63]Sheet1!$G$10</f>
        <v>29596160000</v>
      </c>
      <c r="I27" s="34"/>
      <c r="J27" s="145"/>
      <c r="K27" s="31"/>
      <c r="L27" s="128">
        <f>+[63]Sheet1!$K$32</f>
        <v>1</v>
      </c>
      <c r="M27" s="27">
        <f>+[63]Sheet1!L32</f>
        <v>29518863836</v>
      </c>
      <c r="N27" s="27">
        <f>+[63]Sheet1!$G$26</f>
        <v>0</v>
      </c>
      <c r="O27" s="27">
        <f>+[63]Sheet1!$G$26</f>
        <v>0</v>
      </c>
      <c r="P27" s="27">
        <f>+[63]Sheet1!$G$26</f>
        <v>0</v>
      </c>
      <c r="Q27" s="27">
        <f>+[63]Sheet1!$G$26</f>
        <v>0</v>
      </c>
      <c r="R27" s="27">
        <f>+[63]Sheet1!Q32</f>
        <v>28042920644</v>
      </c>
      <c r="S27" s="27">
        <f>+[63]Sheet1!R32</f>
        <v>1475943192</v>
      </c>
      <c r="T27" s="27">
        <f>+[63]Sheet1!S32</f>
        <v>3.2999992370605469</v>
      </c>
      <c r="U27" s="6"/>
      <c r="V27" s="203">
        <f t="shared" si="0"/>
        <v>0</v>
      </c>
      <c r="W27" s="93">
        <v>29596160000</v>
      </c>
      <c r="X27" s="93">
        <v>28042920644</v>
      </c>
      <c r="Y27" s="93">
        <v>26980321602</v>
      </c>
    </row>
    <row r="28" spans="1:25" ht="16.5" x14ac:dyDescent="0.3">
      <c r="A28" s="208"/>
      <c r="B28" s="14"/>
      <c r="C28" s="52"/>
      <c r="D28" s="90" t="s">
        <v>81</v>
      </c>
      <c r="E28" s="94"/>
      <c r="F28" s="79"/>
      <c r="G28" s="96" t="s">
        <v>25</v>
      </c>
      <c r="H28" s="80">
        <f>+[63]Sheet1!$G$30</f>
        <v>0</v>
      </c>
      <c r="I28" s="97"/>
      <c r="J28" s="82"/>
      <c r="K28" s="83"/>
      <c r="L28" s="118"/>
      <c r="M28" s="80"/>
      <c r="N28" s="80"/>
      <c r="O28" s="80"/>
      <c r="P28" s="80"/>
      <c r="Q28" s="80"/>
      <c r="R28" s="80"/>
      <c r="S28" s="80"/>
      <c r="T28" s="80"/>
      <c r="U28" s="6"/>
      <c r="V28" s="203">
        <f t="shared" si="0"/>
        <v>77296160.700000003</v>
      </c>
      <c r="W28" s="93">
        <v>-77296160.700000003</v>
      </c>
    </row>
    <row r="29" spans="1:25" ht="16.5" x14ac:dyDescent="0.3">
      <c r="A29" s="208"/>
      <c r="B29" s="14"/>
      <c r="C29" s="52"/>
      <c r="D29" s="15" t="s">
        <v>76</v>
      </c>
      <c r="E29" s="16"/>
      <c r="F29" s="24"/>
      <c r="G29" s="17" t="s">
        <v>25</v>
      </c>
      <c r="H29" s="27">
        <f>SUBTOTAL(9,H27:H28)</f>
        <v>29596160000</v>
      </c>
      <c r="I29" s="34"/>
      <c r="J29" s="145"/>
      <c r="K29" s="31"/>
      <c r="L29" s="117"/>
      <c r="M29" s="27">
        <f>SUBTOTAL(9,M27:M28)</f>
        <v>29518863836</v>
      </c>
      <c r="N29" s="27"/>
      <c r="O29" s="27"/>
      <c r="P29" s="27"/>
      <c r="Q29" s="27"/>
      <c r="R29" s="27">
        <f>SUBTOTAL(9,R27:R28)</f>
        <v>28042920644</v>
      </c>
      <c r="S29" s="27">
        <f>SUBTOTAL(9,S27:S28)</f>
        <v>1475943192</v>
      </c>
      <c r="T29" s="27">
        <f>SUBTOTAL(9,T27:T28)</f>
        <v>3.2999992370605469</v>
      </c>
      <c r="U29" s="6"/>
      <c r="V29" s="203">
        <f t="shared" si="0"/>
        <v>77296160.700000763</v>
      </c>
      <c r="W29" s="93">
        <v>29518863839.299999</v>
      </c>
      <c r="X29" s="93">
        <v>28042920644</v>
      </c>
      <c r="Y29" s="93">
        <v>26980321602</v>
      </c>
    </row>
    <row r="30" spans="1:25" ht="16.5" x14ac:dyDescent="0.3">
      <c r="A30" s="208"/>
      <c r="B30" s="14"/>
      <c r="C30" s="52"/>
      <c r="D30" s="15" t="s">
        <v>41</v>
      </c>
      <c r="E30" s="16"/>
      <c r="F30" s="24"/>
      <c r="G30" s="17" t="s">
        <v>26</v>
      </c>
      <c r="H30" s="34">
        <f>+[63]Sheet1!$G$34</f>
        <v>1071620</v>
      </c>
      <c r="I30" s="34"/>
      <c r="J30" s="145"/>
      <c r="K30" s="31"/>
      <c r="L30" s="128">
        <f>+[63]Sheet1!$K$50</f>
        <v>1</v>
      </c>
      <c r="M30" s="34">
        <f>+[63]Sheet1!L50</f>
        <v>1091805.6599999999</v>
      </c>
      <c r="N30" s="34">
        <f>+[63]Sheet1!$G$39</f>
        <v>0</v>
      </c>
      <c r="O30" s="34">
        <f>+[63]Sheet1!$G$39</f>
        <v>0</v>
      </c>
      <c r="P30" s="34">
        <f>+[63]Sheet1!$G$39</f>
        <v>0</v>
      </c>
      <c r="Q30" s="34">
        <f>+[63]Sheet1!$G$39</f>
        <v>0</v>
      </c>
      <c r="R30" s="34">
        <f>+[63]Sheet1!Q50</f>
        <v>1037215.6599999999</v>
      </c>
      <c r="S30" s="34">
        <f>+[63]Sheet1!R50</f>
        <v>54590</v>
      </c>
      <c r="T30" s="34">
        <f>+[63]Sheet1!S50</f>
        <v>0.30799999996088445</v>
      </c>
      <c r="U30" s="6"/>
      <c r="V30" s="203">
        <f t="shared" si="0"/>
        <v>0</v>
      </c>
      <c r="W30" s="93">
        <v>1071620</v>
      </c>
      <c r="X30" s="93">
        <v>1037215.6599999999</v>
      </c>
      <c r="Y30" s="93">
        <v>1003604.08</v>
      </c>
    </row>
    <row r="31" spans="1:25" ht="16.5" x14ac:dyDescent="0.3">
      <c r="A31" s="208"/>
      <c r="B31" s="14"/>
      <c r="C31" s="52"/>
      <c r="D31" s="90" t="s">
        <v>127</v>
      </c>
      <c r="E31" s="94"/>
      <c r="F31" s="79"/>
      <c r="G31" s="96" t="s">
        <v>26</v>
      </c>
      <c r="H31" s="97">
        <f>+[63]Sheet1!$G$40</f>
        <v>29720.768000000004</v>
      </c>
      <c r="I31" s="97"/>
      <c r="J31" s="82"/>
      <c r="K31" s="83"/>
      <c r="L31" s="118"/>
      <c r="M31" s="97"/>
      <c r="N31" s="97"/>
      <c r="O31" s="97"/>
      <c r="P31" s="97"/>
      <c r="Q31" s="97"/>
      <c r="R31" s="97"/>
      <c r="S31" s="97"/>
      <c r="T31" s="97"/>
      <c r="U31" s="6"/>
      <c r="V31" s="203">
        <f t="shared" si="0"/>
        <v>9534.6680000000015</v>
      </c>
      <c r="W31" s="93">
        <v>20186.100000000002</v>
      </c>
    </row>
    <row r="32" spans="1:25" ht="16.5" x14ac:dyDescent="0.3">
      <c r="A32" s="208"/>
      <c r="B32" s="14"/>
      <c r="C32" s="52"/>
      <c r="D32" s="15" t="s">
        <v>76</v>
      </c>
      <c r="E32" s="16"/>
      <c r="F32" s="24"/>
      <c r="G32" s="17" t="str">
        <f>+G30</f>
        <v>USD</v>
      </c>
      <c r="H32" s="34">
        <f>SUBTOTAL(9,H30:H31)</f>
        <v>1101340.7679999999</v>
      </c>
      <c r="I32" s="34"/>
      <c r="J32" s="145"/>
      <c r="K32" s="31"/>
      <c r="L32" s="117"/>
      <c r="M32" s="34">
        <f>SUBTOTAL(9,M30:M31)</f>
        <v>1091805.6599999999</v>
      </c>
      <c r="N32" s="34"/>
      <c r="O32" s="34"/>
      <c r="P32" s="34"/>
      <c r="Q32" s="34"/>
      <c r="R32" s="34">
        <f>SUBTOTAL(9,R30:R31)</f>
        <v>1037215.6599999999</v>
      </c>
      <c r="S32" s="34">
        <f>SUBTOTAL(9,S30:S31)</f>
        <v>54590</v>
      </c>
      <c r="T32" s="34">
        <f>SUBTOTAL(9,T30:T31)</f>
        <v>0.30799999996088445</v>
      </c>
      <c r="U32" s="6"/>
      <c r="V32" s="203">
        <f t="shared" si="0"/>
        <v>9534.6679999998305</v>
      </c>
      <c r="W32" s="93">
        <v>1091806.1000000001</v>
      </c>
      <c r="X32" s="93">
        <v>1037215.6599999999</v>
      </c>
      <c r="Y32" s="93">
        <v>1003604.08</v>
      </c>
    </row>
    <row r="33" spans="1:25" ht="16.5" x14ac:dyDescent="0.3">
      <c r="A33" s="208"/>
      <c r="B33" s="14"/>
      <c r="C33" s="52"/>
      <c r="D33" s="18"/>
      <c r="E33" s="24"/>
      <c r="F33" s="24"/>
      <c r="G33" s="23"/>
      <c r="H33" s="34"/>
      <c r="I33" s="34"/>
      <c r="J33" s="145"/>
      <c r="K33" s="31"/>
      <c r="L33" s="115"/>
      <c r="M33" s="51"/>
      <c r="N33" s="35"/>
      <c r="O33" s="35"/>
      <c r="P33" s="35"/>
      <c r="Q33" s="35"/>
      <c r="R33" s="36"/>
      <c r="S33" s="37"/>
      <c r="T33" s="37"/>
      <c r="U33" s="6"/>
      <c r="V33" s="203">
        <f t="shared" si="0"/>
        <v>0</v>
      </c>
    </row>
    <row r="34" spans="1:25" ht="16.5" x14ac:dyDescent="0.3">
      <c r="A34" s="208"/>
      <c r="B34" s="14"/>
      <c r="C34" s="52"/>
      <c r="D34" s="18"/>
      <c r="E34" s="24"/>
      <c r="F34" s="24"/>
      <c r="G34" s="23"/>
      <c r="H34" s="34"/>
      <c r="I34" s="34"/>
      <c r="J34" s="145"/>
      <c r="K34" s="31"/>
      <c r="L34" s="115"/>
      <c r="M34" s="51"/>
      <c r="N34" s="35"/>
      <c r="O34" s="35"/>
      <c r="P34" s="35"/>
      <c r="Q34" s="35"/>
      <c r="R34" s="36"/>
      <c r="S34" s="37"/>
      <c r="T34" s="37"/>
      <c r="U34" s="6"/>
      <c r="V34" s="203"/>
    </row>
    <row r="35" spans="1:25" ht="16.5" x14ac:dyDescent="0.3">
      <c r="A35" s="208"/>
      <c r="B35" s="76"/>
      <c r="C35" s="111"/>
      <c r="D35" s="144"/>
      <c r="E35" s="79"/>
      <c r="F35" s="79"/>
      <c r="G35" s="147"/>
      <c r="H35" s="97"/>
      <c r="I35" s="97"/>
      <c r="J35" s="82"/>
      <c r="K35" s="83"/>
      <c r="L35" s="116"/>
      <c r="M35" s="209"/>
      <c r="N35" s="210"/>
      <c r="O35" s="210"/>
      <c r="P35" s="210"/>
      <c r="Q35" s="210"/>
      <c r="R35" s="211"/>
      <c r="S35" s="110"/>
      <c r="T35" s="110"/>
      <c r="U35" s="112"/>
      <c r="V35" s="203"/>
    </row>
    <row r="36" spans="1:25" ht="16.5" x14ac:dyDescent="0.3">
      <c r="A36" s="208"/>
      <c r="B36" s="14"/>
      <c r="C36" s="52"/>
      <c r="D36" s="18"/>
      <c r="E36" s="24"/>
      <c r="F36" s="24"/>
      <c r="G36" s="23"/>
      <c r="H36" s="34"/>
      <c r="I36" s="34"/>
      <c r="J36" s="145"/>
      <c r="K36" s="31"/>
      <c r="L36" s="115"/>
      <c r="M36" s="51"/>
      <c r="N36" s="35"/>
      <c r="O36" s="35"/>
      <c r="P36" s="35"/>
      <c r="Q36" s="35"/>
      <c r="R36" s="36"/>
      <c r="S36" s="37"/>
      <c r="T36" s="37"/>
      <c r="U36" s="6"/>
      <c r="V36" s="203"/>
    </row>
    <row r="37" spans="1:25" ht="16.5" x14ac:dyDescent="0.3">
      <c r="A37" s="208"/>
      <c r="B37" s="14"/>
      <c r="C37" s="121" t="s">
        <v>42</v>
      </c>
      <c r="D37" s="15" t="s">
        <v>43</v>
      </c>
      <c r="E37" s="24"/>
      <c r="F37" s="24"/>
      <c r="G37" s="23"/>
      <c r="H37" s="34"/>
      <c r="I37" s="34"/>
      <c r="J37" s="145"/>
      <c r="K37" s="31"/>
      <c r="L37" s="115"/>
      <c r="M37" s="51"/>
      <c r="N37" s="35"/>
      <c r="O37" s="35"/>
      <c r="P37" s="35"/>
      <c r="Q37" s="35"/>
      <c r="R37" s="36"/>
      <c r="S37" s="37"/>
      <c r="T37" s="37"/>
      <c r="U37" s="6"/>
      <c r="V37" s="203">
        <f t="shared" si="0"/>
        <v>0</v>
      </c>
    </row>
    <row r="38" spans="1:25" ht="16.5" x14ac:dyDescent="0.3">
      <c r="A38" s="208"/>
      <c r="B38" s="14"/>
      <c r="C38" s="52"/>
      <c r="D38" s="15" t="s">
        <v>84</v>
      </c>
      <c r="E38" s="24"/>
      <c r="F38" s="24"/>
      <c r="G38" s="17" t="s">
        <v>25</v>
      </c>
      <c r="H38" s="27">
        <f>+[2]Sheet1!G7</f>
        <v>25795000000</v>
      </c>
      <c r="I38" s="34"/>
      <c r="J38" s="145"/>
      <c r="K38" s="31"/>
      <c r="L38" s="117">
        <f>+[2]Sheet1!K31</f>
        <v>0</v>
      </c>
      <c r="M38" s="27">
        <f>+[2]Sheet1!L31</f>
        <v>0</v>
      </c>
      <c r="N38" s="27">
        <f>+[2]Sheet1!$G$21</f>
        <v>86458262</v>
      </c>
      <c r="O38" s="27">
        <f>+[2]Sheet1!$G$21</f>
        <v>86458262</v>
      </c>
      <c r="P38" s="27">
        <f>+[2]Sheet1!$G$21</f>
        <v>86458262</v>
      </c>
      <c r="Q38" s="27">
        <f>+[2]Sheet1!$G$21</f>
        <v>86458262</v>
      </c>
      <c r="R38" s="27">
        <f>+[2]Sheet1!Q31</f>
        <v>0</v>
      </c>
      <c r="S38" s="27">
        <f>+[2]Sheet1!R31</f>
        <v>0</v>
      </c>
      <c r="T38" s="27">
        <f>+[2]Sheet1!S31</f>
        <v>0</v>
      </c>
      <c r="U38" s="6"/>
      <c r="V38" s="203">
        <f t="shared" si="0"/>
        <v>0</v>
      </c>
      <c r="W38" s="93">
        <v>25795000000</v>
      </c>
      <c r="X38" s="93">
        <v>26521421446</v>
      </c>
      <c r="Y38" s="93">
        <v>25819779464</v>
      </c>
    </row>
    <row r="39" spans="1:25" ht="16.5" x14ac:dyDescent="0.3">
      <c r="A39" s="208"/>
      <c r="B39" s="14"/>
      <c r="C39" s="52"/>
      <c r="D39" s="90" t="s">
        <v>80</v>
      </c>
      <c r="E39" s="79"/>
      <c r="F39" s="79"/>
      <c r="G39" s="96" t="s">
        <v>25</v>
      </c>
      <c r="H39" s="80">
        <f>+[2]Sheet1!G25</f>
        <v>451000000.00000006</v>
      </c>
      <c r="I39" s="97"/>
      <c r="J39" s="82"/>
      <c r="K39" s="98"/>
      <c r="L39" s="118"/>
      <c r="M39" s="80"/>
      <c r="N39" s="80"/>
      <c r="O39" s="80"/>
      <c r="P39" s="80"/>
      <c r="Q39" s="80"/>
      <c r="R39" s="80"/>
      <c r="S39" s="80"/>
      <c r="T39" s="80"/>
      <c r="U39" s="6"/>
      <c r="V39" s="203">
        <f t="shared" si="0"/>
        <v>-1994126532.2000003</v>
      </c>
      <c r="W39" s="93">
        <v>2445126532.2000003</v>
      </c>
    </row>
    <row r="40" spans="1:25" ht="16.5" x14ac:dyDescent="0.3">
      <c r="A40" s="208"/>
      <c r="B40" s="14"/>
      <c r="C40" s="52"/>
      <c r="D40" s="15" t="s">
        <v>76</v>
      </c>
      <c r="E40" s="24"/>
      <c r="F40" s="24"/>
      <c r="G40" s="17" t="s">
        <v>25</v>
      </c>
      <c r="H40" s="27">
        <f>SUBTOTAL(9,H38:H39)</f>
        <v>26246000000</v>
      </c>
      <c r="I40" s="34"/>
      <c r="J40" s="145"/>
      <c r="K40" s="95"/>
      <c r="L40" s="117"/>
      <c r="M40" s="27">
        <f>SUBTOTAL(9,M38:M39)</f>
        <v>0</v>
      </c>
      <c r="N40" s="27"/>
      <c r="O40" s="27"/>
      <c r="P40" s="27"/>
      <c r="Q40" s="27"/>
      <c r="R40" s="27">
        <f>SUBTOTAL(9,R38:R39)</f>
        <v>0</v>
      </c>
      <c r="S40" s="27">
        <f>SUBTOTAL(9,S38:S39)</f>
        <v>0</v>
      </c>
      <c r="T40" s="27">
        <f>SUBTOTAL(9,T38:T39)</f>
        <v>0</v>
      </c>
      <c r="U40" s="6"/>
      <c r="V40" s="203">
        <f t="shared" si="0"/>
        <v>-1994126532.2000008</v>
      </c>
      <c r="W40" s="93">
        <v>28240126532.200001</v>
      </c>
      <c r="X40" s="93">
        <v>26521421446</v>
      </c>
      <c r="Y40" s="93">
        <v>25819779464</v>
      </c>
    </row>
    <row r="41" spans="1:25" ht="16.5" x14ac:dyDescent="0.3">
      <c r="A41" s="208"/>
      <c r="B41" s="14"/>
      <c r="C41" s="52"/>
      <c r="D41" s="18"/>
      <c r="E41" s="24"/>
      <c r="F41" s="24"/>
      <c r="G41" s="17"/>
      <c r="H41" s="34"/>
      <c r="I41" s="34"/>
      <c r="J41" s="145"/>
      <c r="K41" s="38"/>
      <c r="L41" s="117"/>
      <c r="M41" s="34"/>
      <c r="N41" s="34"/>
      <c r="O41" s="34"/>
      <c r="P41" s="34"/>
      <c r="Q41" s="34"/>
      <c r="R41" s="34"/>
      <c r="S41" s="34"/>
      <c r="T41" s="34"/>
      <c r="U41" s="6"/>
      <c r="V41" s="203">
        <f t="shared" si="0"/>
        <v>0</v>
      </c>
    </row>
    <row r="42" spans="1:25" ht="16.5" x14ac:dyDescent="0.3">
      <c r="A42" s="208"/>
      <c r="B42" s="14"/>
      <c r="C42" s="121" t="s">
        <v>97</v>
      </c>
      <c r="D42" s="15" t="s">
        <v>44</v>
      </c>
      <c r="E42" s="24"/>
      <c r="F42" s="24"/>
      <c r="G42" s="17"/>
      <c r="H42" s="34"/>
      <c r="I42" s="34"/>
      <c r="J42" s="145"/>
      <c r="K42" s="38"/>
      <c r="L42" s="117"/>
      <c r="M42" s="34"/>
      <c r="N42" s="34"/>
      <c r="O42" s="34"/>
      <c r="P42" s="34"/>
      <c r="Q42" s="34"/>
      <c r="R42" s="34"/>
      <c r="S42" s="34"/>
      <c r="T42" s="34"/>
      <c r="U42" s="6"/>
      <c r="V42" s="203">
        <f t="shared" si="0"/>
        <v>0</v>
      </c>
    </row>
    <row r="43" spans="1:25" ht="16.5" x14ac:dyDescent="0.3">
      <c r="A43" s="208"/>
      <c r="B43" s="14"/>
      <c r="C43" s="52"/>
      <c r="D43" s="15" t="s">
        <v>85</v>
      </c>
      <c r="E43" s="24"/>
      <c r="F43" s="24"/>
      <c r="G43" s="17" t="s">
        <v>25</v>
      </c>
      <c r="H43" s="27">
        <f>+[64]Sheet1!$G$19</f>
        <v>0</v>
      </c>
      <c r="I43" s="34"/>
      <c r="J43" s="145"/>
      <c r="K43" s="31"/>
      <c r="L43" s="174">
        <f>+[64]Sheet1!$K$19</f>
        <v>0</v>
      </c>
      <c r="M43" s="27">
        <f>+[64]Sheet1!$L$19</f>
        <v>0</v>
      </c>
      <c r="N43" s="27">
        <f>+[64]Sheet1!$G$65</f>
        <v>19305392798.900002</v>
      </c>
      <c r="O43" s="27">
        <f>+[64]Sheet1!$G$65</f>
        <v>19305392798.900002</v>
      </c>
      <c r="P43" s="27">
        <f>+[64]Sheet1!$G$65</f>
        <v>19305392798.900002</v>
      </c>
      <c r="Q43" s="27">
        <f>+[64]Sheet1!$G$65</f>
        <v>19305392798.900002</v>
      </c>
      <c r="R43" s="27">
        <f>+[64]Sheet1!$Q$19</f>
        <v>0</v>
      </c>
      <c r="S43" s="27">
        <f>+[64]Sheet1!$R$19</f>
        <v>0</v>
      </c>
      <c r="T43" s="27">
        <f>+[64]Sheet1!$S$19</f>
        <v>0</v>
      </c>
      <c r="U43" s="6"/>
      <c r="V43" s="203">
        <f t="shared" si="0"/>
        <v>-11650000000</v>
      </c>
      <c r="W43" s="93">
        <v>11650000000</v>
      </c>
      <c r="X43" s="93">
        <v>11050999909</v>
      </c>
      <c r="Y43" s="93">
        <v>11050999909</v>
      </c>
    </row>
    <row r="44" spans="1:25" ht="16.5" x14ac:dyDescent="0.3">
      <c r="A44" s="208"/>
      <c r="B44" s="14"/>
      <c r="C44" s="52"/>
      <c r="D44" s="15" t="s">
        <v>80</v>
      </c>
      <c r="E44" s="24"/>
      <c r="F44" s="24"/>
      <c r="G44" s="17" t="s">
        <v>25</v>
      </c>
      <c r="H44" s="27">
        <f>+[64]Sheet1!$G$49</f>
        <v>0</v>
      </c>
      <c r="I44" s="34"/>
      <c r="J44" s="145"/>
      <c r="K44" s="31"/>
      <c r="L44" s="128">
        <f>+[64]Sheet1!$K$49</f>
        <v>0</v>
      </c>
      <c r="M44" s="27">
        <f>+[64]Sheet1!$L$49</f>
        <v>0</v>
      </c>
      <c r="N44" s="27"/>
      <c r="O44" s="27"/>
      <c r="P44" s="27"/>
      <c r="Q44" s="27"/>
      <c r="R44" s="27">
        <f>+[64]Sheet1!$Q$49</f>
        <v>0</v>
      </c>
      <c r="S44" s="27">
        <f>+[64]Sheet1!$R$49</f>
        <v>0</v>
      </c>
      <c r="T44" s="27">
        <f>+[64]Sheet1!$S$49</f>
        <v>0</v>
      </c>
      <c r="U44" s="6"/>
      <c r="V44" s="203"/>
      <c r="W44" s="93">
        <v>7601892798.5</v>
      </c>
      <c r="X44" s="93">
        <v>7221798158</v>
      </c>
      <c r="Y44" s="93">
        <v>7221798158</v>
      </c>
    </row>
    <row r="45" spans="1:25" ht="16.5" x14ac:dyDescent="0.3">
      <c r="A45" s="208"/>
      <c r="B45" s="14"/>
      <c r="C45" s="52"/>
      <c r="D45" s="15" t="s">
        <v>160</v>
      </c>
      <c r="E45" s="24"/>
      <c r="F45" s="24"/>
      <c r="G45" s="17" t="s">
        <v>25</v>
      </c>
      <c r="H45" s="27">
        <f>+[64]Sheet1!$G$73</f>
        <v>0</v>
      </c>
      <c r="I45" s="34"/>
      <c r="J45" s="145"/>
      <c r="K45" s="31"/>
      <c r="L45" s="128">
        <f>+[64]Sheet1!$K$73</f>
        <v>0</v>
      </c>
      <c r="M45" s="27">
        <f>+[64]Sheet1!$L$73</f>
        <v>0</v>
      </c>
      <c r="N45" s="27">
        <f>+[64]Sheet1!$G$62</f>
        <v>0</v>
      </c>
      <c r="O45" s="27">
        <f>+[64]Sheet1!$G$62</f>
        <v>0</v>
      </c>
      <c r="P45" s="27">
        <f>+[64]Sheet1!$G$62</f>
        <v>0</v>
      </c>
      <c r="Q45" s="27">
        <f>+[64]Sheet1!$G$62</f>
        <v>0</v>
      </c>
      <c r="R45" s="27">
        <f>+[64]Sheet1!$Q$73</f>
        <v>0</v>
      </c>
      <c r="S45" s="27">
        <f>+[64]Sheet1!$R$73</f>
        <v>0</v>
      </c>
      <c r="T45" s="27">
        <f>+[64]Sheet1!$S$73</f>
        <v>0</v>
      </c>
      <c r="U45" s="6"/>
      <c r="V45" s="203"/>
      <c r="W45" s="93">
        <v>528808500</v>
      </c>
      <c r="X45" s="93">
        <v>528808500</v>
      </c>
      <c r="Y45" s="93">
        <v>528808500</v>
      </c>
    </row>
    <row r="46" spans="1:25" ht="16.5" x14ac:dyDescent="0.3">
      <c r="A46" s="208"/>
      <c r="B46" s="14"/>
      <c r="C46" s="52"/>
      <c r="D46" s="189" t="s">
        <v>172</v>
      </c>
      <c r="E46" s="190"/>
      <c r="F46" s="190"/>
      <c r="G46" s="191" t="s">
        <v>25</v>
      </c>
      <c r="H46" s="184">
        <f>+[64]Sheet1!$G$63</f>
        <v>95530.214999999997</v>
      </c>
      <c r="I46" s="185"/>
      <c r="J46" s="186"/>
      <c r="K46" s="187"/>
      <c r="L46" s="188" t="str">
        <f>+[64]Sheet1!$K$63</f>
        <v>RET</v>
      </c>
      <c r="M46" s="184">
        <f>+[64]Sheet1!$L$63</f>
        <v>95529.82925000001</v>
      </c>
      <c r="N46" s="184">
        <f>+[64]Sheet1!$G$62</f>
        <v>0</v>
      </c>
      <c r="O46" s="184">
        <f>+[64]Sheet1!$G$62</f>
        <v>0</v>
      </c>
      <c r="P46" s="184">
        <f>+[64]Sheet1!$G$62</f>
        <v>0</v>
      </c>
      <c r="Q46" s="184">
        <f>+[64]Sheet1!$G$62</f>
        <v>0</v>
      </c>
      <c r="R46" s="184">
        <f>+[64]Sheet1!$Q$63</f>
        <v>95529.82925000001</v>
      </c>
      <c r="S46" s="184">
        <f>+[64]Sheet1!$R$63</f>
        <v>0</v>
      </c>
      <c r="T46" s="184">
        <f>+[64]Sheet1!$S$63</f>
        <v>0</v>
      </c>
      <c r="U46" s="183"/>
      <c r="V46" s="203"/>
      <c r="W46" s="93">
        <v>70000000.400000006</v>
      </c>
      <c r="X46" s="93">
        <v>66500000.380000003</v>
      </c>
      <c r="Y46" s="93">
        <v>0</v>
      </c>
    </row>
    <row r="47" spans="1:25" ht="16.5" x14ac:dyDescent="0.3">
      <c r="A47" s="208"/>
      <c r="B47" s="14"/>
      <c r="C47" s="52"/>
      <c r="D47" s="175" t="s">
        <v>161</v>
      </c>
      <c r="E47" s="176"/>
      <c r="F47" s="176"/>
      <c r="G47" s="177" t="s">
        <v>25</v>
      </c>
      <c r="H47" s="178">
        <f>+[64]Sheet1!$G$78</f>
        <v>19902643298.900002</v>
      </c>
      <c r="I47" s="179"/>
      <c r="J47" s="180"/>
      <c r="K47" s="181"/>
      <c r="L47" s="182">
        <f>+[64]Sheet1!$K$78</f>
        <v>0</v>
      </c>
      <c r="M47" s="178">
        <f>+[64]Sheet1!$L$78</f>
        <v>19902643299.380001</v>
      </c>
      <c r="N47" s="178">
        <f>+[64]Sheet1!$G$62</f>
        <v>0</v>
      </c>
      <c r="O47" s="178">
        <f>+[64]Sheet1!$G$62</f>
        <v>0</v>
      </c>
      <c r="P47" s="178">
        <f>+[64]Sheet1!$G$62</f>
        <v>0</v>
      </c>
      <c r="Q47" s="178">
        <f>+[64]Sheet1!$G$62</f>
        <v>0</v>
      </c>
      <c r="R47" s="178">
        <f>+[64]Sheet1!$Q$78</f>
        <v>19902643299.380001</v>
      </c>
      <c r="S47" s="178">
        <f>+[64]Sheet1!$R$78</f>
        <v>0</v>
      </c>
      <c r="T47" s="178">
        <f>+[64]Sheet1!$S$78</f>
        <v>0</v>
      </c>
      <c r="U47" s="183"/>
      <c r="V47" s="203"/>
      <c r="W47" s="93">
        <v>68442000</v>
      </c>
      <c r="X47" s="93">
        <v>65019900</v>
      </c>
      <c r="Y47" s="93">
        <v>65019900</v>
      </c>
    </row>
    <row r="48" spans="1:25" ht="16.5" x14ac:dyDescent="0.3">
      <c r="A48" s="208"/>
      <c r="B48" s="14"/>
      <c r="C48" s="52"/>
      <c r="D48" s="15" t="s">
        <v>76</v>
      </c>
      <c r="E48" s="24"/>
      <c r="F48" s="24"/>
      <c r="G48" s="17" t="s">
        <v>25</v>
      </c>
      <c r="H48" s="27">
        <f>SUBTOTAL(9,H43:H47)</f>
        <v>19902738829.115002</v>
      </c>
      <c r="I48" s="34"/>
      <c r="J48" s="145"/>
      <c r="K48" s="31"/>
      <c r="L48" s="117"/>
      <c r="M48" s="27">
        <f t="shared" ref="M48:T48" si="1">SUBTOTAL(9,M43:M47)</f>
        <v>19902738829.209251</v>
      </c>
      <c r="N48" s="27">
        <f t="shared" si="1"/>
        <v>19305392798.900002</v>
      </c>
      <c r="O48" s="27">
        <f t="shared" si="1"/>
        <v>19305392798.900002</v>
      </c>
      <c r="P48" s="27">
        <f t="shared" si="1"/>
        <v>19305392798.900002</v>
      </c>
      <c r="Q48" s="27">
        <f t="shared" si="1"/>
        <v>19305392798.900002</v>
      </c>
      <c r="R48" s="27">
        <f t="shared" si="1"/>
        <v>19902738829.209251</v>
      </c>
      <c r="S48" s="27">
        <f t="shared" si="1"/>
        <v>0</v>
      </c>
      <c r="T48" s="27">
        <f t="shared" si="1"/>
        <v>0</v>
      </c>
      <c r="U48" s="6"/>
      <c r="V48" s="203"/>
      <c r="W48" s="93">
        <v>19919143298.900002</v>
      </c>
      <c r="X48" s="93">
        <v>18933126467.380001</v>
      </c>
      <c r="Y48" s="93">
        <v>18866626467</v>
      </c>
    </row>
    <row r="49" spans="1:25" ht="16.5" x14ac:dyDescent="0.3">
      <c r="A49" s="208"/>
      <c r="B49" s="14"/>
      <c r="C49" s="52"/>
      <c r="D49" s="15"/>
      <c r="E49" s="24"/>
      <c r="F49" s="24"/>
      <c r="G49" s="17"/>
      <c r="H49" s="27"/>
      <c r="I49" s="34"/>
      <c r="J49" s="145"/>
      <c r="K49" s="31"/>
      <c r="L49" s="117"/>
      <c r="M49" s="27"/>
      <c r="N49" s="27"/>
      <c r="O49" s="27"/>
      <c r="P49" s="27"/>
      <c r="Q49" s="27"/>
      <c r="R49" s="27"/>
      <c r="S49" s="27"/>
      <c r="T49" s="27"/>
      <c r="U49" s="6"/>
      <c r="V49" s="203"/>
    </row>
    <row r="50" spans="1:25" ht="16.5" x14ac:dyDescent="0.3">
      <c r="A50" s="208"/>
      <c r="B50" s="14"/>
      <c r="C50" s="52"/>
      <c r="D50" s="15" t="s">
        <v>44</v>
      </c>
      <c r="E50" s="24"/>
      <c r="F50" s="24"/>
      <c r="G50" s="17"/>
      <c r="H50" s="34"/>
      <c r="I50" s="34"/>
      <c r="J50" s="145"/>
      <c r="K50" s="31"/>
      <c r="L50" s="117"/>
      <c r="M50" s="34"/>
      <c r="N50" s="34"/>
      <c r="O50" s="34"/>
      <c r="P50" s="34"/>
      <c r="Q50" s="34"/>
      <c r="R50" s="34"/>
      <c r="S50" s="34"/>
      <c r="T50" s="34"/>
      <c r="U50" s="6"/>
      <c r="V50" s="203">
        <f t="shared" si="0"/>
        <v>0</v>
      </c>
    </row>
    <row r="51" spans="1:25" ht="16.5" x14ac:dyDescent="0.3">
      <c r="A51" s="208"/>
      <c r="B51" s="14"/>
      <c r="C51" s="52"/>
      <c r="D51" s="15" t="s">
        <v>85</v>
      </c>
      <c r="E51" s="24"/>
      <c r="F51" s="24"/>
      <c r="G51" s="17" t="s">
        <v>26</v>
      </c>
      <c r="H51" s="122">
        <f>+[64]Sheet1!$G$31</f>
        <v>0</v>
      </c>
      <c r="I51" s="34"/>
      <c r="J51" s="145"/>
      <c r="K51" s="31"/>
      <c r="L51" s="128" t="str">
        <f>+[64]Sheet1!$K$31</f>
        <v>RET</v>
      </c>
      <c r="M51" s="34">
        <f>+[64]Sheet1!$L$31</f>
        <v>48548</v>
      </c>
      <c r="N51" s="34">
        <f>+[64]Sheet1!$G$31</f>
        <v>0</v>
      </c>
      <c r="O51" s="34">
        <f>+[64]Sheet1!$G$31</f>
        <v>0</v>
      </c>
      <c r="P51" s="34">
        <f>+[64]Sheet1!$G$31</f>
        <v>0</v>
      </c>
      <c r="Q51" s="34">
        <f>+[64]Sheet1!$G$31</f>
        <v>0</v>
      </c>
      <c r="R51" s="34">
        <f>+[64]Sheet1!$Q$31</f>
        <v>48548</v>
      </c>
      <c r="S51" s="34">
        <f>+[64]Sheet1!$R$31</f>
        <v>0</v>
      </c>
      <c r="T51" s="34">
        <f>+[64]Sheet1!$S$31</f>
        <v>0</v>
      </c>
      <c r="U51" s="6"/>
      <c r="V51" s="203">
        <f t="shared" si="0"/>
        <v>-971000</v>
      </c>
      <c r="W51" s="93">
        <v>971000</v>
      </c>
      <c r="X51" s="93">
        <v>922452</v>
      </c>
      <c r="Y51" s="93">
        <v>922452</v>
      </c>
    </row>
    <row r="52" spans="1:25" ht="16.5" x14ac:dyDescent="0.3">
      <c r="A52" s="208"/>
      <c r="B52" s="14"/>
      <c r="C52" s="52"/>
      <c r="D52" s="90" t="s">
        <v>80</v>
      </c>
      <c r="E52" s="79"/>
      <c r="F52" s="79"/>
      <c r="G52" s="96" t="s">
        <v>26</v>
      </c>
      <c r="H52" s="97">
        <f>+[64]Sheet1!$G$59</f>
        <v>18700</v>
      </c>
      <c r="I52" s="97"/>
      <c r="J52" s="82"/>
      <c r="K52" s="83"/>
      <c r="L52" s="131">
        <f>+[64]Sheet1!$K$59</f>
        <v>1</v>
      </c>
      <c r="M52" s="97">
        <f>+[64]Sheet1!$L$59</f>
        <v>17765</v>
      </c>
      <c r="N52" s="97">
        <f>+[64]Sheet1!$G$54</f>
        <v>0</v>
      </c>
      <c r="O52" s="97">
        <f>+[64]Sheet1!$G$54</f>
        <v>0</v>
      </c>
      <c r="P52" s="97">
        <f>+[64]Sheet1!$G$54</f>
        <v>0</v>
      </c>
      <c r="Q52" s="97">
        <f>+[64]Sheet1!$G$54</f>
        <v>0</v>
      </c>
      <c r="R52" s="97">
        <f>+[64]Sheet1!$Q$59</f>
        <v>17765</v>
      </c>
      <c r="S52" s="97">
        <f>+[64]Sheet1!$R$59</f>
        <v>0</v>
      </c>
      <c r="T52" s="97">
        <f>+[64]Sheet1!$S$59</f>
        <v>0</v>
      </c>
      <c r="U52" s="6"/>
      <c r="V52" s="203">
        <f t="shared" si="0"/>
        <v>-76830.214999999997</v>
      </c>
      <c r="W52" s="93">
        <v>95530.214999999997</v>
      </c>
      <c r="X52" s="93">
        <v>90753.709250000014</v>
      </c>
      <c r="Y52" s="93">
        <v>90753.709250000014</v>
      </c>
    </row>
    <row r="53" spans="1:25" ht="16.5" x14ac:dyDescent="0.3">
      <c r="A53" s="208"/>
      <c r="B53" s="14"/>
      <c r="C53" s="52"/>
      <c r="D53" s="90" t="s">
        <v>76</v>
      </c>
      <c r="E53" s="79"/>
      <c r="F53" s="79"/>
      <c r="G53" s="96" t="s">
        <v>26</v>
      </c>
      <c r="H53" s="123">
        <f>SUBTOTAL(9,H51:H52)</f>
        <v>18700</v>
      </c>
      <c r="I53" s="97"/>
      <c r="J53" s="82"/>
      <c r="K53" s="83"/>
      <c r="L53" s="118"/>
      <c r="M53" s="97">
        <f>SUBTOTAL(9,M51:M52)</f>
        <v>66313</v>
      </c>
      <c r="N53" s="97"/>
      <c r="O53" s="97"/>
      <c r="P53" s="97"/>
      <c r="Q53" s="97"/>
      <c r="R53" s="97">
        <f>SUBTOTAL(9,R51:R52)</f>
        <v>66313</v>
      </c>
      <c r="S53" s="97">
        <f>SUBTOTAL(9,S51:S52)</f>
        <v>0</v>
      </c>
      <c r="T53" s="97">
        <f>SUBTOTAL(9,T51:T52)</f>
        <v>0</v>
      </c>
      <c r="U53" s="6"/>
      <c r="V53" s="203">
        <f t="shared" si="0"/>
        <v>-1047830.2150000001</v>
      </c>
      <c r="W53" s="93">
        <v>1066530.2150000001</v>
      </c>
      <c r="X53" s="93">
        <v>1013205.7092500001</v>
      </c>
      <c r="Y53" s="93">
        <v>1013205.7092500001</v>
      </c>
    </row>
    <row r="54" spans="1:25" ht="16.5" x14ac:dyDescent="0.3">
      <c r="A54" s="208"/>
      <c r="B54" s="14"/>
      <c r="C54" s="52"/>
      <c r="D54" s="15"/>
      <c r="E54" s="24"/>
      <c r="F54" s="24"/>
      <c r="G54" s="17"/>
      <c r="H54" s="34"/>
      <c r="I54" s="34"/>
      <c r="J54" s="145"/>
      <c r="K54" s="31"/>
      <c r="L54" s="117"/>
      <c r="M54" s="34"/>
      <c r="N54" s="34"/>
      <c r="O54" s="34"/>
      <c r="P54" s="34"/>
      <c r="Q54" s="34"/>
      <c r="R54" s="34"/>
      <c r="S54" s="34"/>
      <c r="T54" s="34"/>
      <c r="U54" s="6"/>
      <c r="V54" s="203">
        <f t="shared" si="0"/>
        <v>0</v>
      </c>
    </row>
    <row r="55" spans="1:25" ht="16.5" x14ac:dyDescent="0.3">
      <c r="A55" s="208"/>
      <c r="B55" s="14"/>
      <c r="C55" s="52" t="s">
        <v>45</v>
      </c>
      <c r="D55" s="15" t="s">
        <v>46</v>
      </c>
      <c r="E55" s="24"/>
      <c r="F55" s="24"/>
      <c r="G55" s="23"/>
      <c r="H55" s="34"/>
      <c r="I55" s="34"/>
      <c r="J55" s="145"/>
      <c r="K55" s="31"/>
      <c r="L55" s="115"/>
      <c r="M55" s="51"/>
      <c r="N55" s="35"/>
      <c r="O55" s="35"/>
      <c r="P55" s="35"/>
      <c r="Q55" s="35"/>
      <c r="R55" s="36"/>
      <c r="S55" s="37"/>
      <c r="T55" s="37"/>
      <c r="U55" s="6"/>
      <c r="V55" s="203">
        <f t="shared" si="0"/>
        <v>0</v>
      </c>
    </row>
    <row r="56" spans="1:25" ht="16.5" x14ac:dyDescent="0.3">
      <c r="A56" s="208"/>
      <c r="B56" s="14"/>
      <c r="C56" s="52"/>
      <c r="D56" s="92" t="s">
        <v>86</v>
      </c>
      <c r="E56" s="24"/>
      <c r="F56" s="24"/>
      <c r="G56" s="17" t="s">
        <v>25</v>
      </c>
      <c r="H56" s="27">
        <f>+[49]Sheet1!$G$10</f>
        <v>65065000000</v>
      </c>
      <c r="I56" s="34"/>
      <c r="J56" s="145"/>
      <c r="K56" s="31"/>
      <c r="L56" s="117" t="str">
        <f>+[49]Sheet1!$K$27</f>
        <v>ADD-3,4-100%</v>
      </c>
      <c r="M56" s="27">
        <f>+[49]Sheet1!$L$28</f>
        <v>3443439569</v>
      </c>
      <c r="N56" s="27">
        <f>+[49]Sheet1!$G$66</f>
        <v>0</v>
      </c>
      <c r="O56" s="27">
        <f>+[49]Sheet1!$G$66</f>
        <v>0</v>
      </c>
      <c r="P56" s="27">
        <f>+[49]Sheet1!$G$66</f>
        <v>0</v>
      </c>
      <c r="Q56" s="27">
        <f>+[49]Sheet1!$G$66</f>
        <v>0</v>
      </c>
      <c r="R56" s="27">
        <f>+[49]Sheet1!$Q$28</f>
        <v>3443439569</v>
      </c>
      <c r="S56" s="27">
        <f>+[49]Sheet1!$R$28</f>
        <v>0</v>
      </c>
      <c r="T56" s="27">
        <f>+[49]Sheet1!$S$28</f>
        <v>0</v>
      </c>
      <c r="U56" s="6"/>
      <c r="V56" s="203">
        <f t="shared" si="0"/>
        <v>0</v>
      </c>
      <c r="W56" s="93">
        <v>65065000000</v>
      </c>
      <c r="X56" s="93">
        <v>65726700269</v>
      </c>
      <c r="Y56" s="93">
        <v>64839522843</v>
      </c>
    </row>
    <row r="57" spans="1:25" ht="16.5" x14ac:dyDescent="0.3">
      <c r="A57" s="208"/>
      <c r="B57" s="14"/>
      <c r="C57" s="52"/>
      <c r="D57" s="90" t="s">
        <v>80</v>
      </c>
      <c r="E57" s="79"/>
      <c r="F57" s="79"/>
      <c r="G57" s="96" t="s">
        <v>25</v>
      </c>
      <c r="H57" s="80">
        <f>+[49]Sheet1!$G$21</f>
        <v>4631881553.3000002</v>
      </c>
      <c r="I57" s="97"/>
      <c r="J57" s="82"/>
      <c r="K57" s="83"/>
      <c r="L57" s="118"/>
      <c r="M57" s="80" t="s">
        <v>13</v>
      </c>
      <c r="N57" s="80"/>
      <c r="O57" s="80"/>
      <c r="P57" s="80"/>
      <c r="Q57" s="80"/>
      <c r="R57" s="80"/>
      <c r="S57" s="80"/>
      <c r="T57" s="80"/>
      <c r="U57" s="6"/>
      <c r="V57" s="203">
        <f t="shared" si="0"/>
        <v>0</v>
      </c>
      <c r="W57" s="93">
        <v>4631881553.3000002</v>
      </c>
      <c r="X57" s="93" t="s">
        <v>13</v>
      </c>
    </row>
    <row r="58" spans="1:25" ht="16.5" x14ac:dyDescent="0.3">
      <c r="A58" s="208"/>
      <c r="B58" s="14"/>
      <c r="C58" s="52"/>
      <c r="D58" s="15" t="s">
        <v>76</v>
      </c>
      <c r="E58" s="24"/>
      <c r="F58" s="24"/>
      <c r="G58" s="17" t="s">
        <v>25</v>
      </c>
      <c r="H58" s="27">
        <f>SUBTOTAL(9,H56:H57)</f>
        <v>69696881553.300003</v>
      </c>
      <c r="I58" s="34"/>
      <c r="J58" s="145"/>
      <c r="K58" s="31"/>
      <c r="L58" s="117"/>
      <c r="M58" s="27">
        <f>SUBTOTAL(9,M56:M57)</f>
        <v>3443439569</v>
      </c>
      <c r="N58" s="27"/>
      <c r="O58" s="27"/>
      <c r="P58" s="27"/>
      <c r="Q58" s="27"/>
      <c r="R58" s="27">
        <f>SUBTOTAL(9,R56:R57)</f>
        <v>3443439569</v>
      </c>
      <c r="S58" s="27">
        <f>SUBTOTAL(9,S56:S57)</f>
        <v>0</v>
      </c>
      <c r="T58" s="27">
        <f>SUBTOTAL(9,T56:T57)</f>
        <v>0</v>
      </c>
      <c r="U58" s="6"/>
      <c r="V58" s="203">
        <f t="shared" si="0"/>
        <v>0</v>
      </c>
      <c r="W58" s="93">
        <v>69696881553.300003</v>
      </c>
      <c r="X58" s="93">
        <v>65726700269</v>
      </c>
      <c r="Y58" s="93">
        <v>64839522843</v>
      </c>
    </row>
    <row r="59" spans="1:25" ht="16.5" x14ac:dyDescent="0.3">
      <c r="A59" s="208"/>
      <c r="B59" s="14"/>
      <c r="C59" s="52"/>
      <c r="D59" s="15"/>
      <c r="E59" s="24"/>
      <c r="F59" s="24"/>
      <c r="G59" s="17"/>
      <c r="H59" s="27"/>
      <c r="I59" s="34"/>
      <c r="J59" s="145"/>
      <c r="K59" s="31"/>
      <c r="L59" s="117"/>
      <c r="M59" s="27"/>
      <c r="N59" s="27"/>
      <c r="O59" s="27"/>
      <c r="P59" s="27"/>
      <c r="Q59" s="27"/>
      <c r="R59" s="27"/>
      <c r="S59" s="27"/>
      <c r="T59" s="27"/>
      <c r="U59" s="6"/>
      <c r="V59" s="203">
        <f t="shared" si="0"/>
        <v>0</v>
      </c>
    </row>
    <row r="60" spans="1:25" ht="16.5" x14ac:dyDescent="0.3">
      <c r="A60" s="208"/>
      <c r="B60" s="14"/>
      <c r="C60" s="52"/>
      <c r="D60" s="15" t="s">
        <v>87</v>
      </c>
      <c r="E60" s="24"/>
      <c r="F60" s="24"/>
      <c r="G60" s="17" t="s">
        <v>25</v>
      </c>
      <c r="H60" s="27">
        <f>+[49]Sheet1!$G$30</f>
        <v>69696881553.300003</v>
      </c>
      <c r="I60" s="34"/>
      <c r="J60" s="145"/>
      <c r="K60" s="31"/>
      <c r="L60" s="128">
        <f>+[49]Sheet1!$K$43</f>
        <v>0</v>
      </c>
      <c r="M60" s="27">
        <f>+[49]Sheet1!$L$43</f>
        <v>0</v>
      </c>
      <c r="N60" s="27"/>
      <c r="O60" s="27"/>
      <c r="P60" s="27"/>
      <c r="Q60" s="27"/>
      <c r="R60" s="27">
        <f>+[49]Sheet1!$Q$43</f>
        <v>0</v>
      </c>
      <c r="S60" s="27">
        <f>+[49]Sheet1!$R$43</f>
        <v>0</v>
      </c>
      <c r="T60" s="27">
        <f>+[49]Sheet1!$S$43</f>
        <v>0</v>
      </c>
      <c r="U60" s="6"/>
      <c r="V60" s="203">
        <f t="shared" si="0"/>
        <v>69641881553.300003</v>
      </c>
      <c r="W60" s="93">
        <v>55000000</v>
      </c>
      <c r="X60" s="93">
        <v>1149988125</v>
      </c>
      <c r="Y60" s="93">
        <v>687988125</v>
      </c>
    </row>
    <row r="61" spans="1:25" ht="16.5" x14ac:dyDescent="0.3">
      <c r="A61" s="208"/>
      <c r="B61" s="14"/>
      <c r="C61" s="52"/>
      <c r="D61" s="90" t="s">
        <v>80</v>
      </c>
      <c r="E61" s="79"/>
      <c r="F61" s="79"/>
      <c r="G61" s="96" t="s">
        <v>25</v>
      </c>
      <c r="H61" s="80">
        <f>+[49]Sheet1!$G$40</f>
        <v>632988125</v>
      </c>
      <c r="I61" s="97"/>
      <c r="J61" s="82"/>
      <c r="K61" s="83"/>
      <c r="L61" s="131"/>
      <c r="M61" s="80"/>
      <c r="N61" s="80"/>
      <c r="O61" s="80"/>
      <c r="P61" s="80"/>
      <c r="Q61" s="80"/>
      <c r="R61" s="80"/>
      <c r="S61" s="80"/>
      <c r="T61" s="80"/>
      <c r="U61" s="6"/>
      <c r="V61" s="203">
        <f t="shared" si="0"/>
        <v>-462000000</v>
      </c>
      <c r="W61" s="93">
        <v>1094988125</v>
      </c>
    </row>
    <row r="62" spans="1:25" ht="16.5" x14ac:dyDescent="0.3">
      <c r="A62" s="208"/>
      <c r="B62" s="14"/>
      <c r="C62" s="52"/>
      <c r="D62" s="15" t="s">
        <v>76</v>
      </c>
      <c r="E62" s="24"/>
      <c r="F62" s="24"/>
      <c r="G62" s="17" t="s">
        <v>25</v>
      </c>
      <c r="H62" s="27">
        <f>SUBTOTAL(9,H60:H61)</f>
        <v>70329869678.300003</v>
      </c>
      <c r="I62" s="34"/>
      <c r="J62" s="145"/>
      <c r="K62" s="31"/>
      <c r="L62" s="128"/>
      <c r="M62" s="27">
        <f>SUBTOTAL(9,M60:M61)</f>
        <v>0</v>
      </c>
      <c r="N62" s="27"/>
      <c r="O62" s="27"/>
      <c r="P62" s="27"/>
      <c r="Q62" s="27"/>
      <c r="R62" s="27">
        <f>SUBTOTAL(9,R60:R61)</f>
        <v>0</v>
      </c>
      <c r="S62" s="27">
        <f>SUBTOTAL(9,S60:S61)</f>
        <v>0</v>
      </c>
      <c r="T62" s="27">
        <f>SUBTOTAL(9,T60:T61)</f>
        <v>0</v>
      </c>
      <c r="U62" s="6"/>
      <c r="V62" s="203">
        <f t="shared" si="0"/>
        <v>69179881553.300003</v>
      </c>
      <c r="W62" s="93">
        <v>1149988125</v>
      </c>
      <c r="X62" s="93">
        <v>1149988125</v>
      </c>
      <c r="Y62" s="93">
        <v>687988125</v>
      </c>
    </row>
    <row r="63" spans="1:25" ht="16.5" x14ac:dyDescent="0.3">
      <c r="A63" s="208"/>
      <c r="B63" s="14"/>
      <c r="C63" s="52"/>
      <c r="D63" s="15"/>
      <c r="E63" s="24"/>
      <c r="F63" s="24"/>
      <c r="G63" s="17"/>
      <c r="H63" s="27"/>
      <c r="I63" s="34"/>
      <c r="J63" s="145"/>
      <c r="K63" s="31"/>
      <c r="L63" s="128"/>
      <c r="M63" s="27"/>
      <c r="N63" s="27"/>
      <c r="O63" s="27"/>
      <c r="P63" s="27"/>
      <c r="Q63" s="27"/>
      <c r="R63" s="27"/>
      <c r="S63" s="27"/>
      <c r="T63" s="27"/>
      <c r="U63" s="6"/>
      <c r="V63" s="203">
        <f t="shared" si="0"/>
        <v>0</v>
      </c>
    </row>
    <row r="64" spans="1:25" ht="16.5" x14ac:dyDescent="0.3">
      <c r="A64" s="208"/>
      <c r="B64" s="14"/>
      <c r="C64" s="52"/>
      <c r="D64" s="15" t="s">
        <v>88</v>
      </c>
      <c r="E64" s="24"/>
      <c r="F64" s="24"/>
      <c r="G64" s="17" t="s">
        <v>25</v>
      </c>
      <c r="H64" s="27">
        <f>+[49]Sheet1!$G$59</f>
        <v>113630</v>
      </c>
      <c r="I64" s="34"/>
      <c r="J64" s="145"/>
      <c r="K64" s="31"/>
      <c r="L64" s="128">
        <f>+[49]Sheet1!$K$70</f>
        <v>0</v>
      </c>
      <c r="M64" s="27">
        <f>+[49]Sheet1!$L$70</f>
        <v>0</v>
      </c>
      <c r="N64" s="27"/>
      <c r="O64" s="27"/>
      <c r="P64" s="27"/>
      <c r="Q64" s="27"/>
      <c r="R64" s="27">
        <f>+[49]Sheet1!$Q$70</f>
        <v>0</v>
      </c>
      <c r="S64" s="27">
        <f>+[49]Sheet1!$R$70</f>
        <v>0</v>
      </c>
      <c r="T64" s="27">
        <f>+[49]Sheet1!$S$70</f>
        <v>0</v>
      </c>
      <c r="U64" s="6"/>
      <c r="V64" s="203">
        <f t="shared" si="0"/>
        <v>-728622738</v>
      </c>
      <c r="W64" s="93">
        <v>728736368</v>
      </c>
      <c r="X64" s="93">
        <v>1313042045</v>
      </c>
      <c r="Y64" s="93">
        <v>1313042045</v>
      </c>
    </row>
    <row r="65" spans="1:25" ht="16.5" x14ac:dyDescent="0.3">
      <c r="A65" s="208"/>
      <c r="B65" s="14"/>
      <c r="C65" s="52"/>
      <c r="D65" s="90" t="s">
        <v>80</v>
      </c>
      <c r="E65" s="79"/>
      <c r="F65" s="79"/>
      <c r="G65" s="96" t="s">
        <v>25</v>
      </c>
      <c r="H65" s="80">
        <f>+[49]Sheet1!$G$66</f>
        <v>0</v>
      </c>
      <c r="I65" s="97"/>
      <c r="J65" s="82"/>
      <c r="K65" s="83"/>
      <c r="L65" s="118"/>
      <c r="M65" s="97"/>
      <c r="N65" s="97"/>
      <c r="O65" s="97"/>
      <c r="P65" s="97"/>
      <c r="Q65" s="97"/>
      <c r="R65" s="97"/>
      <c r="S65" s="97"/>
      <c r="T65" s="97"/>
      <c r="U65" s="6"/>
      <c r="V65" s="203">
        <f t="shared" si="0"/>
        <v>-653413161</v>
      </c>
      <c r="W65" s="93">
        <v>653413161</v>
      </c>
    </row>
    <row r="66" spans="1:25" ht="16.5" x14ac:dyDescent="0.3">
      <c r="A66" s="208"/>
      <c r="B66" s="14"/>
      <c r="C66" s="52"/>
      <c r="D66" s="15" t="s">
        <v>76</v>
      </c>
      <c r="E66" s="24"/>
      <c r="F66" s="24"/>
      <c r="G66" s="17"/>
      <c r="H66" s="27">
        <f>SUBTOTAL(9,H64:H65)</f>
        <v>113630</v>
      </c>
      <c r="I66" s="34"/>
      <c r="J66" s="145"/>
      <c r="K66" s="31"/>
      <c r="L66" s="117"/>
      <c r="M66" s="27">
        <f>SUBTOTAL(9,M64:M65)</f>
        <v>0</v>
      </c>
      <c r="N66" s="34"/>
      <c r="O66" s="34"/>
      <c r="P66" s="34"/>
      <c r="Q66" s="34"/>
      <c r="R66" s="27">
        <f>SUBTOTAL(9,R64:R65)</f>
        <v>0</v>
      </c>
      <c r="S66" s="27">
        <f>SUBTOTAL(9,S64:S65)</f>
        <v>0</v>
      </c>
      <c r="T66" s="27">
        <f>SUBTOTAL(9,T64:T65)</f>
        <v>0</v>
      </c>
      <c r="U66" s="6"/>
      <c r="V66" s="203">
        <f t="shared" si="0"/>
        <v>-1382035899</v>
      </c>
      <c r="W66" s="93">
        <v>1382149529</v>
      </c>
      <c r="X66" s="93">
        <v>1313042045</v>
      </c>
      <c r="Y66" s="93">
        <v>1313042045</v>
      </c>
    </row>
    <row r="67" spans="1:25" ht="16.5" x14ac:dyDescent="0.3">
      <c r="A67" s="208"/>
      <c r="B67" s="14"/>
      <c r="C67" s="52"/>
      <c r="D67" s="15"/>
      <c r="E67" s="24"/>
      <c r="F67" s="24"/>
      <c r="G67" s="17"/>
      <c r="H67" s="27"/>
      <c r="I67" s="34"/>
      <c r="J67" s="145"/>
      <c r="K67" s="31"/>
      <c r="L67" s="117"/>
      <c r="M67" s="27"/>
      <c r="N67" s="34"/>
      <c r="O67" s="34"/>
      <c r="P67" s="34"/>
      <c r="Q67" s="34"/>
      <c r="R67" s="27"/>
      <c r="S67" s="27"/>
      <c r="T67" s="27"/>
      <c r="U67" s="6"/>
      <c r="V67" s="203">
        <f t="shared" si="0"/>
        <v>0</v>
      </c>
    </row>
    <row r="68" spans="1:25" ht="16.5" x14ac:dyDescent="0.3">
      <c r="A68" s="208"/>
      <c r="B68" s="14"/>
      <c r="C68" s="52"/>
      <c r="D68" s="15">
        <f>+[49]Sheet1!$C$72</f>
        <v>0</v>
      </c>
      <c r="E68" s="24"/>
      <c r="F68" s="24"/>
      <c r="G68" s="17" t="s">
        <v>25</v>
      </c>
      <c r="H68" s="27">
        <f>+[49]Sheet1!$G$76</f>
        <v>0</v>
      </c>
      <c r="I68" s="34"/>
      <c r="J68" s="145"/>
      <c r="K68" s="31"/>
      <c r="L68" s="128">
        <f>+[49]Sheet1!$K$76</f>
        <v>0</v>
      </c>
      <c r="M68" s="27">
        <f>+[49]Sheet1!$L$76</f>
        <v>0</v>
      </c>
      <c r="N68" s="27"/>
      <c r="O68" s="27"/>
      <c r="P68" s="27"/>
      <c r="Q68" s="27"/>
      <c r="R68" s="27">
        <f>+[49]Sheet1!$Q$75</f>
        <v>3748250</v>
      </c>
      <c r="S68" s="27">
        <f>+M68</f>
        <v>0</v>
      </c>
      <c r="T68" s="27">
        <f>+H68-M68</f>
        <v>0</v>
      </c>
      <c r="U68" s="6"/>
      <c r="V68" s="203">
        <f t="shared" si="0"/>
        <v>-74965000</v>
      </c>
      <c r="W68" s="93">
        <v>74965000</v>
      </c>
      <c r="X68" s="93">
        <v>0</v>
      </c>
      <c r="Y68" s="93">
        <v>0</v>
      </c>
    </row>
    <row r="69" spans="1:25" ht="16.5" x14ac:dyDescent="0.3">
      <c r="A69" s="208"/>
      <c r="B69" s="14"/>
      <c r="C69" s="52"/>
      <c r="D69" s="101" t="s">
        <v>73</v>
      </c>
      <c r="E69" s="137"/>
      <c r="F69" s="137"/>
      <c r="G69" s="103"/>
      <c r="H69" s="104">
        <f>+H58+H62+H66+H68</f>
        <v>140026864861.60001</v>
      </c>
      <c r="I69" s="105"/>
      <c r="J69" s="106"/>
      <c r="K69" s="138"/>
      <c r="L69" s="119"/>
      <c r="M69" s="104">
        <f>+M58+M62+M66+M68</f>
        <v>3443439569</v>
      </c>
      <c r="N69" s="105"/>
      <c r="O69" s="105"/>
      <c r="P69" s="105"/>
      <c r="Q69" s="105"/>
      <c r="R69" s="104">
        <f>+R58+R62+R66+R68</f>
        <v>3447187819</v>
      </c>
      <c r="S69" s="104">
        <f>+S58+S62+S66+S68</f>
        <v>0</v>
      </c>
      <c r="T69" s="104">
        <f>+T58+T62+T66+T68</f>
        <v>0</v>
      </c>
      <c r="U69" s="6"/>
      <c r="V69" s="203">
        <f t="shared" si="0"/>
        <v>67722880654.300003</v>
      </c>
      <c r="W69" s="93">
        <v>72303984207.300003</v>
      </c>
      <c r="X69" s="93">
        <v>68189730439</v>
      </c>
      <c r="Y69" s="93">
        <v>66840553013</v>
      </c>
    </row>
    <row r="70" spans="1:25" ht="16.5" x14ac:dyDescent="0.3">
      <c r="A70" s="208"/>
      <c r="B70" s="76"/>
      <c r="C70" s="111"/>
      <c r="D70" s="90"/>
      <c r="E70" s="79"/>
      <c r="F70" s="79"/>
      <c r="G70" s="96"/>
      <c r="H70" s="97"/>
      <c r="I70" s="97"/>
      <c r="J70" s="82"/>
      <c r="K70" s="83"/>
      <c r="L70" s="118"/>
      <c r="M70" s="97"/>
      <c r="N70" s="97"/>
      <c r="O70" s="97"/>
      <c r="P70" s="97"/>
      <c r="Q70" s="97"/>
      <c r="R70" s="97"/>
      <c r="S70" s="97"/>
      <c r="T70" s="97"/>
      <c r="U70" s="112"/>
      <c r="V70" s="203">
        <f t="shared" si="0"/>
        <v>0</v>
      </c>
    </row>
    <row r="71" spans="1:25" ht="16.5" x14ac:dyDescent="0.3">
      <c r="A71" s="208"/>
      <c r="B71" s="14"/>
      <c r="C71" s="52"/>
      <c r="D71" s="15"/>
      <c r="E71" s="24"/>
      <c r="F71" s="24"/>
      <c r="G71" s="17"/>
      <c r="H71" s="34"/>
      <c r="I71" s="34"/>
      <c r="J71" s="145"/>
      <c r="K71" s="31"/>
      <c r="L71" s="117"/>
      <c r="M71" s="34"/>
      <c r="N71" s="34"/>
      <c r="O71" s="34"/>
      <c r="P71" s="34"/>
      <c r="Q71" s="34"/>
      <c r="R71" s="34"/>
      <c r="S71" s="34"/>
      <c r="T71" s="34"/>
      <c r="U71" s="6"/>
      <c r="V71" s="203"/>
    </row>
    <row r="72" spans="1:25" ht="16.5" x14ac:dyDescent="0.3">
      <c r="A72" s="208"/>
      <c r="B72" s="14"/>
      <c r="C72" s="52"/>
      <c r="D72" s="15" t="s">
        <v>87</v>
      </c>
      <c r="E72" s="24"/>
      <c r="F72" s="24"/>
      <c r="G72" s="17" t="s">
        <v>26</v>
      </c>
      <c r="H72" s="34" t="e">
        <f>+[49]Sheet1!#REF!</f>
        <v>#REF!</v>
      </c>
      <c r="I72" s="34"/>
      <c r="J72" s="145"/>
      <c r="K72" s="31"/>
      <c r="L72" s="128">
        <f>+[49]Sheet1!$K$57</f>
        <v>0</v>
      </c>
      <c r="M72" s="34">
        <f>+[49]Sheet1!$L$57</f>
        <v>0</v>
      </c>
      <c r="N72" s="34"/>
      <c r="O72" s="34"/>
      <c r="P72" s="34"/>
      <c r="Q72" s="34"/>
      <c r="R72" s="34">
        <f>+[49]Sheet1!$Q$57</f>
        <v>0</v>
      </c>
      <c r="S72" s="34">
        <f>+[49]Sheet1!$R$57</f>
        <v>0</v>
      </c>
      <c r="T72" s="34">
        <f>+[49]Sheet1!$S$57</f>
        <v>0</v>
      </c>
      <c r="U72" s="6"/>
      <c r="V72" s="203" t="e">
        <f t="shared" si="0"/>
        <v>#REF!</v>
      </c>
      <c r="W72" s="93">
        <v>91630</v>
      </c>
      <c r="X72" s="93">
        <v>113630</v>
      </c>
      <c r="Y72" s="93">
        <v>113630</v>
      </c>
    </row>
    <row r="73" spans="1:25" ht="16.5" x14ac:dyDescent="0.3">
      <c r="A73" s="208"/>
      <c r="B73" s="14"/>
      <c r="C73" s="52"/>
      <c r="D73" s="90" t="s">
        <v>80</v>
      </c>
      <c r="E73" s="79"/>
      <c r="F73" s="79"/>
      <c r="G73" s="96" t="s">
        <v>26</v>
      </c>
      <c r="H73" s="97">
        <f>+[49]Sheet1!$G$52</f>
        <v>0</v>
      </c>
      <c r="I73" s="97"/>
      <c r="J73" s="82"/>
      <c r="K73" s="83"/>
      <c r="L73" s="118"/>
      <c r="M73" s="97"/>
      <c r="N73" s="97"/>
      <c r="O73" s="97"/>
      <c r="P73" s="97"/>
      <c r="Q73" s="97"/>
      <c r="R73" s="97"/>
      <c r="S73" s="97"/>
      <c r="T73" s="97"/>
      <c r="U73" s="6"/>
      <c r="V73" s="203">
        <f t="shared" si="0"/>
        <v>-22000</v>
      </c>
      <c r="W73" s="93">
        <v>22000</v>
      </c>
    </row>
    <row r="74" spans="1:25" ht="16.5" x14ac:dyDescent="0.3">
      <c r="A74" s="208"/>
      <c r="B74" s="14"/>
      <c r="C74" s="52"/>
      <c r="D74" s="15" t="s">
        <v>76</v>
      </c>
      <c r="E74" s="24"/>
      <c r="F74" s="24"/>
      <c r="G74" s="17" t="s">
        <v>26</v>
      </c>
      <c r="H74" s="34" t="e">
        <f>SUBTOTAL(9,H72:H73)</f>
        <v>#REF!</v>
      </c>
      <c r="I74" s="34"/>
      <c r="J74" s="145"/>
      <c r="K74" s="31"/>
      <c r="L74" s="117"/>
      <c r="M74" s="34">
        <f>SUBTOTAL(9,M72:M73)</f>
        <v>0</v>
      </c>
      <c r="N74" s="34"/>
      <c r="O74" s="34"/>
      <c r="P74" s="34"/>
      <c r="Q74" s="34"/>
      <c r="R74" s="34">
        <f>SUBTOTAL(9,R72:R73)</f>
        <v>0</v>
      </c>
      <c r="S74" s="34">
        <f>SUBTOTAL(9,S72:S73)</f>
        <v>0</v>
      </c>
      <c r="T74" s="34">
        <f>SUBTOTAL(9,T72:T73)</f>
        <v>0</v>
      </c>
      <c r="U74" s="6"/>
      <c r="V74" s="203" t="e">
        <f t="shared" si="0"/>
        <v>#REF!</v>
      </c>
      <c r="W74" s="93">
        <v>113630</v>
      </c>
      <c r="X74" s="93">
        <v>113630</v>
      </c>
      <c r="Y74" s="93">
        <v>113630</v>
      </c>
    </row>
    <row r="75" spans="1:25" ht="16.5" x14ac:dyDescent="0.3">
      <c r="A75" s="208"/>
      <c r="B75" s="14"/>
      <c r="C75" s="52"/>
      <c r="D75" s="15"/>
      <c r="E75" s="24"/>
      <c r="F75" s="24"/>
      <c r="G75" s="17"/>
      <c r="H75" s="34"/>
      <c r="I75" s="34"/>
      <c r="J75" s="145"/>
      <c r="K75" s="31"/>
      <c r="L75" s="117"/>
      <c r="M75" s="34"/>
      <c r="N75" s="34"/>
      <c r="O75" s="34"/>
      <c r="P75" s="34"/>
      <c r="Q75" s="34"/>
      <c r="R75" s="34"/>
      <c r="S75" s="34"/>
      <c r="T75" s="34"/>
      <c r="U75" s="6"/>
      <c r="V75" s="203">
        <f t="shared" si="0"/>
        <v>0</v>
      </c>
    </row>
    <row r="76" spans="1:25" ht="16.5" x14ac:dyDescent="0.3">
      <c r="A76" s="208"/>
      <c r="B76" s="14"/>
      <c r="C76" s="52" t="s">
        <v>138</v>
      </c>
      <c r="D76" s="15" t="str">
        <f>+[50]Sheet1!$C$9</f>
        <v>Pen : 017/APJ/MRK/UMUM/E/03-14</v>
      </c>
      <c r="E76" s="24"/>
      <c r="F76" s="24"/>
      <c r="G76" s="17"/>
      <c r="H76" s="27">
        <f>+[50]Sheet1!$G$26</f>
        <v>1304500000</v>
      </c>
      <c r="I76" s="34"/>
      <c r="J76" s="145"/>
      <c r="K76" s="31"/>
      <c r="L76" s="128">
        <f>+[50]Sheet1!$K$26</f>
        <v>1</v>
      </c>
      <c r="M76" s="27">
        <f>+[50]Sheet1!$L$26</f>
        <v>1304500000</v>
      </c>
      <c r="N76" s="34"/>
      <c r="O76" s="34"/>
      <c r="P76" s="34"/>
      <c r="Q76" s="34"/>
      <c r="R76" s="27">
        <f>+[51]Sheet1!$Q$26</f>
        <v>1582790000</v>
      </c>
      <c r="S76" s="27">
        <f>+[51]Sheet1!$R$26</f>
        <v>0</v>
      </c>
      <c r="T76" s="27">
        <f>+H76-M76</f>
        <v>0</v>
      </c>
      <c r="U76" s="6"/>
      <c r="V76" s="203">
        <f t="shared" si="0"/>
        <v>0</v>
      </c>
      <c r="W76" s="93">
        <v>1304500000</v>
      </c>
      <c r="X76" s="93">
        <v>1304500000</v>
      </c>
      <c r="Y76" s="93">
        <v>954500000</v>
      </c>
    </row>
    <row r="77" spans="1:25" ht="16.5" x14ac:dyDescent="0.3">
      <c r="A77" s="208"/>
      <c r="B77" s="14"/>
      <c r="C77" s="52"/>
      <c r="D77" s="15" t="str">
        <f>+[50]Sheet1!$C$11</f>
        <v>GEREJA SANTO YOHANES CILANGKAP</v>
      </c>
      <c r="E77" s="24"/>
      <c r="F77" s="24"/>
      <c r="G77" s="17"/>
      <c r="H77" s="34"/>
      <c r="I77" s="34"/>
      <c r="J77" s="145"/>
      <c r="K77" s="31"/>
      <c r="L77" s="117"/>
      <c r="M77" s="34"/>
      <c r="N77" s="34"/>
      <c r="O77" s="34"/>
      <c r="P77" s="34"/>
      <c r="Q77" s="34"/>
      <c r="R77" s="34"/>
      <c r="S77" s="34"/>
      <c r="T77" s="34"/>
      <c r="U77" s="6"/>
      <c r="V77" s="203">
        <f t="shared" ref="V77" si="2">+H77-W77</f>
        <v>0</v>
      </c>
    </row>
    <row r="78" spans="1:25" ht="16.5" x14ac:dyDescent="0.3">
      <c r="A78" s="208"/>
      <c r="B78" s="14"/>
      <c r="C78" s="52"/>
      <c r="D78" s="15"/>
      <c r="E78" s="24"/>
      <c r="F78" s="24"/>
      <c r="G78" s="17"/>
      <c r="H78" s="34"/>
      <c r="I78" s="34"/>
      <c r="J78" s="145"/>
      <c r="K78" s="31"/>
      <c r="L78" s="117"/>
      <c r="M78" s="34"/>
      <c r="N78" s="34"/>
      <c r="O78" s="34"/>
      <c r="P78" s="34"/>
      <c r="Q78" s="34"/>
      <c r="R78" s="34"/>
      <c r="S78" s="34"/>
      <c r="T78" s="34"/>
      <c r="U78" s="6"/>
    </row>
    <row r="79" spans="1:25" ht="16.5" x14ac:dyDescent="0.3">
      <c r="A79" s="208"/>
      <c r="B79" s="14"/>
      <c r="C79" s="55"/>
      <c r="D79" s="417" t="s">
        <v>47</v>
      </c>
      <c r="E79" s="418"/>
      <c r="F79" s="418"/>
      <c r="G79" s="419"/>
      <c r="H79" s="156">
        <f>+H76+H69+H48+H40+H29+H23+H20</f>
        <v>221211370542.41501</v>
      </c>
      <c r="I79" s="156"/>
      <c r="J79" s="157"/>
      <c r="K79" s="158"/>
      <c r="L79" s="159"/>
      <c r="M79" s="156">
        <f>+M76+M69+M48+M40+M29+M23+M20</f>
        <v>60448727401.209251</v>
      </c>
      <c r="N79" s="156" t="e">
        <f>SUM(N20:N78)-N80</f>
        <v>#REF!</v>
      </c>
      <c r="O79" s="156" t="e">
        <f>SUM(O20:O78)-O80</f>
        <v>#REF!</v>
      </c>
      <c r="P79" s="156" t="e">
        <f>SUM(P20:P78)-P80</f>
        <v>#REF!</v>
      </c>
      <c r="Q79" s="156" t="e">
        <f>SUM(Q20:Q78)-Q80</f>
        <v>#REF!</v>
      </c>
      <c r="R79" s="156">
        <f>+R76+R69+R48+R40+R29+R23+R20</f>
        <v>59162871313.209251</v>
      </c>
      <c r="S79" s="156">
        <f>+S76+S69+S48+S40+S29+S23+S20</f>
        <v>1567894338</v>
      </c>
      <c r="T79" s="156">
        <f>+T76+T69+T48+T40+T29+T23+T20</f>
        <v>2</v>
      </c>
      <c r="U79" s="59"/>
      <c r="W79" s="93">
        <v>244187727281</v>
      </c>
      <c r="X79" s="93">
        <v>222919790473.45999</v>
      </c>
      <c r="Y79" s="93">
        <v>218697455732.07999</v>
      </c>
    </row>
    <row r="80" spans="1:25" ht="16.5" x14ac:dyDescent="0.3">
      <c r="A80" s="208"/>
      <c r="B80" s="76"/>
      <c r="C80" s="60"/>
      <c r="D80" s="420"/>
      <c r="E80" s="421"/>
      <c r="F80" s="421"/>
      <c r="G80" s="422"/>
      <c r="H80" s="167" t="e">
        <f>+H74+H53+H32+H24+H21</f>
        <v>#REF!</v>
      </c>
      <c r="I80" s="162"/>
      <c r="J80" s="163"/>
      <c r="K80" s="164"/>
      <c r="L80" s="165"/>
      <c r="M80" s="167">
        <f>+M74+M53+M32+M24+M21</f>
        <v>1249607.1099999999</v>
      </c>
      <c r="N80" s="167" t="e">
        <f>+N65+N51+N30+N24+#REF!+N21</f>
        <v>#REF!</v>
      </c>
      <c r="O80" s="167" t="e">
        <f>+O65+O51+O30+O24+#REF!+O21</f>
        <v>#REF!</v>
      </c>
      <c r="P80" s="167" t="e">
        <f>+P65+P51+P30+P24+#REF!+P21</f>
        <v>#REF!</v>
      </c>
      <c r="Q80" s="167" t="e">
        <f>+Q65+Q51+Q30+Q24+#REF!+Q21</f>
        <v>#REF!</v>
      </c>
      <c r="R80" s="167">
        <f>+R74+R53+R32+R24+R21</f>
        <v>1190618.1099999999</v>
      </c>
      <c r="S80" s="167">
        <f>+S74+S53+S32+S24+S21</f>
        <v>58989</v>
      </c>
      <c r="T80" s="167">
        <f>+T74+T53+T32+T24+T21</f>
        <v>1.0249999999650754</v>
      </c>
      <c r="U80" s="66"/>
      <c r="W80" s="93">
        <v>5511237.9140000008</v>
      </c>
      <c r="X80" s="93">
        <v>5133231.8714499995</v>
      </c>
      <c r="Y80" s="93">
        <v>5098416.8414500002</v>
      </c>
    </row>
    <row r="81" spans="1:25" ht="16.5" x14ac:dyDescent="0.3">
      <c r="A81" s="208"/>
      <c r="B81" s="14"/>
      <c r="C81" s="52"/>
      <c r="D81" s="18"/>
      <c r="E81" s="24"/>
      <c r="F81" s="24"/>
      <c r="G81" s="23"/>
      <c r="H81" s="27"/>
      <c r="I81" s="34"/>
      <c r="J81" s="145"/>
      <c r="K81" s="31"/>
      <c r="L81" s="115"/>
      <c r="M81" s="27"/>
      <c r="N81" s="27"/>
      <c r="O81" s="27"/>
      <c r="P81" s="27"/>
      <c r="Q81" s="27"/>
      <c r="R81" s="27"/>
      <c r="S81" s="27"/>
      <c r="T81" s="27"/>
      <c r="U81" s="6"/>
    </row>
    <row r="82" spans="1:25" ht="16.5" x14ac:dyDescent="0.3">
      <c r="A82" s="208"/>
      <c r="B82" s="437"/>
      <c r="C82" s="52"/>
      <c r="D82" s="423" t="s">
        <v>139</v>
      </c>
      <c r="E82" s="424"/>
      <c r="F82" s="424"/>
      <c r="G82" s="425"/>
      <c r="H82" s="27"/>
      <c r="I82" s="34"/>
      <c r="J82" s="145"/>
      <c r="K82" s="31"/>
      <c r="L82" s="115"/>
      <c r="M82" s="27"/>
      <c r="N82" s="27"/>
      <c r="O82" s="27"/>
      <c r="P82" s="27"/>
      <c r="Q82" s="27"/>
      <c r="R82" s="27"/>
      <c r="S82" s="27"/>
      <c r="T82" s="27"/>
      <c r="U82" s="6"/>
    </row>
    <row r="83" spans="1:25" ht="16.5" x14ac:dyDescent="0.3">
      <c r="A83" s="208"/>
      <c r="B83" s="437"/>
      <c r="C83" s="52"/>
      <c r="D83" s="423"/>
      <c r="E83" s="424"/>
      <c r="F83" s="424"/>
      <c r="G83" s="425"/>
      <c r="H83" s="27"/>
      <c r="I83" s="34"/>
      <c r="J83" s="145"/>
      <c r="K83" s="31"/>
      <c r="L83" s="115"/>
      <c r="M83" s="27"/>
      <c r="N83" s="27"/>
      <c r="O83" s="27"/>
      <c r="P83" s="27"/>
      <c r="Q83" s="27"/>
      <c r="R83" s="27"/>
      <c r="S83" s="27"/>
      <c r="T83" s="27"/>
      <c r="U83" s="6"/>
    </row>
    <row r="84" spans="1:25" ht="16.5" x14ac:dyDescent="0.3">
      <c r="A84" s="208"/>
      <c r="B84" s="14"/>
      <c r="C84" s="121" t="s">
        <v>48</v>
      </c>
      <c r="D84" s="15" t="s">
        <v>49</v>
      </c>
      <c r="E84" s="16"/>
      <c r="F84" s="24"/>
      <c r="G84" s="23"/>
      <c r="H84" s="27"/>
      <c r="I84" s="34"/>
      <c r="J84" s="145"/>
      <c r="K84" s="31"/>
      <c r="L84" s="115"/>
      <c r="M84" s="27"/>
      <c r="N84" s="27"/>
      <c r="O84" s="27"/>
      <c r="P84" s="27"/>
      <c r="Q84" s="27"/>
      <c r="R84" s="27"/>
      <c r="S84" s="27"/>
      <c r="T84" s="27"/>
      <c r="U84" s="6"/>
    </row>
    <row r="85" spans="1:25" ht="16.5" x14ac:dyDescent="0.3">
      <c r="A85" s="208"/>
      <c r="B85" s="14"/>
      <c r="C85" s="52"/>
      <c r="D85" s="15" t="s">
        <v>116</v>
      </c>
      <c r="E85" s="16"/>
      <c r="F85" s="16"/>
      <c r="G85" s="17" t="s">
        <v>25</v>
      </c>
      <c r="H85" s="27">
        <f>+[65]Sheet1!$G$10</f>
        <v>0</v>
      </c>
      <c r="I85" s="34"/>
      <c r="J85" s="145"/>
      <c r="K85" s="31"/>
      <c r="L85" s="132" t="str">
        <f>+[65]Sheet1!$K$25</f>
        <v>Ret 2,5%</v>
      </c>
      <c r="M85" s="27">
        <f>+[65]Sheet1!$L$25</f>
        <v>41020563873.300003</v>
      </c>
      <c r="N85" s="27">
        <f>+[65]Sheet1!$G$63</f>
        <v>0</v>
      </c>
      <c r="O85" s="27">
        <f>+[65]Sheet1!$G$63</f>
        <v>0</v>
      </c>
      <c r="P85" s="27">
        <f>+[65]Sheet1!$G$63</f>
        <v>0</v>
      </c>
      <c r="Q85" s="27">
        <f>+[65]Sheet1!$G$63</f>
        <v>0</v>
      </c>
      <c r="R85" s="27">
        <f>+[65]Sheet1!$Q$25</f>
        <v>41020563873.300003</v>
      </c>
      <c r="S85" s="27">
        <f>+[65]Sheet1!$R$25</f>
        <v>0</v>
      </c>
      <c r="T85" s="27" t="str">
        <f>+[65]Sheet1!$S$25</f>
        <v>LUNAS</v>
      </c>
      <c r="U85" s="6"/>
      <c r="V85" s="203">
        <f t="shared" ref="V85:V143" si="3">+H85-W85</f>
        <v>-37063125000</v>
      </c>
      <c r="W85" s="93">
        <v>37063125000</v>
      </c>
      <c r="X85" s="93">
        <v>39995049776.650002</v>
      </c>
      <c r="Y85" s="93">
        <v>38969535680</v>
      </c>
    </row>
    <row r="86" spans="1:25" ht="16.5" x14ac:dyDescent="0.3">
      <c r="A86" s="208"/>
      <c r="B86" s="14"/>
      <c r="C86" s="52"/>
      <c r="D86" s="90" t="s">
        <v>80</v>
      </c>
      <c r="E86" s="94"/>
      <c r="F86" s="94"/>
      <c r="G86" s="96" t="s">
        <v>25</v>
      </c>
      <c r="H86" s="80">
        <f>+[65]Sheet1!$G$21</f>
        <v>0</v>
      </c>
      <c r="I86" s="97"/>
      <c r="J86" s="82"/>
      <c r="K86" s="98"/>
      <c r="L86" s="118"/>
      <c r="M86" s="80"/>
      <c r="N86" s="80"/>
      <c r="O86" s="80"/>
      <c r="P86" s="80"/>
      <c r="Q86" s="80"/>
      <c r="R86" s="80"/>
      <c r="S86" s="80"/>
      <c r="T86" s="80"/>
      <c r="U86" s="6"/>
      <c r="V86" s="203">
        <f t="shared" si="3"/>
        <v>-3957438873.3000002</v>
      </c>
      <c r="W86" s="93">
        <v>3957438873.3000002</v>
      </c>
    </row>
    <row r="87" spans="1:25" ht="16.5" x14ac:dyDescent="0.3">
      <c r="A87" s="208"/>
      <c r="B87" s="14"/>
      <c r="C87" s="52"/>
      <c r="D87" s="15" t="s">
        <v>76</v>
      </c>
      <c r="E87" s="16"/>
      <c r="F87" s="16"/>
      <c r="G87" s="17" t="s">
        <v>25</v>
      </c>
      <c r="H87" s="27">
        <f>SUBTOTAL(9,H85:H86)</f>
        <v>0</v>
      </c>
      <c r="I87" s="34"/>
      <c r="J87" s="145"/>
      <c r="K87" s="95"/>
      <c r="L87" s="117"/>
      <c r="M87" s="27">
        <f>SUBTOTAL(9,M85:M86)</f>
        <v>41020563873.300003</v>
      </c>
      <c r="N87" s="27"/>
      <c r="O87" s="27"/>
      <c r="P87" s="27"/>
      <c r="Q87" s="27"/>
      <c r="R87" s="27">
        <f>SUBTOTAL(9,R85:R86)</f>
        <v>41020563873.300003</v>
      </c>
      <c r="S87" s="27">
        <f>SUBTOTAL(9,S85:S86)</f>
        <v>0</v>
      </c>
      <c r="T87" s="27">
        <f>SUBTOTAL(9,T85:T86)</f>
        <v>0</v>
      </c>
      <c r="U87" s="6"/>
      <c r="V87" s="203">
        <f t="shared" si="3"/>
        <v>-41020563873.300003</v>
      </c>
      <c r="W87" s="93">
        <v>41020563873.300003</v>
      </c>
      <c r="X87" s="93">
        <v>39995049776.650002</v>
      </c>
      <c r="Y87" s="93">
        <v>38969535680</v>
      </c>
    </row>
    <row r="88" spans="1:25" ht="16.5" x14ac:dyDescent="0.3">
      <c r="A88" s="208"/>
      <c r="B88" s="14"/>
      <c r="C88" s="52"/>
      <c r="D88" s="15"/>
      <c r="E88" s="16"/>
      <c r="F88" s="16"/>
      <c r="G88" s="17"/>
      <c r="H88" s="27"/>
      <c r="I88" s="34"/>
      <c r="J88" s="145"/>
      <c r="K88" s="95"/>
      <c r="L88" s="117"/>
      <c r="M88" s="27"/>
      <c r="N88" s="27"/>
      <c r="O88" s="27"/>
      <c r="P88" s="27"/>
      <c r="Q88" s="27"/>
      <c r="R88" s="27"/>
      <c r="S88" s="27"/>
      <c r="T88" s="27"/>
      <c r="U88" s="6"/>
      <c r="V88" s="203">
        <f t="shared" si="3"/>
        <v>0</v>
      </c>
    </row>
    <row r="89" spans="1:25" ht="16.5" x14ac:dyDescent="0.3">
      <c r="A89" s="208"/>
      <c r="B89" s="14"/>
      <c r="C89" s="52"/>
      <c r="D89" s="15" t="s">
        <v>117</v>
      </c>
      <c r="E89" s="16"/>
      <c r="F89" s="16"/>
      <c r="G89" s="17" t="s">
        <v>25</v>
      </c>
      <c r="H89" s="27">
        <f>+[65]Sheet1!$G$27</f>
        <v>12354375000</v>
      </c>
      <c r="I89" s="34"/>
      <c r="J89" s="145"/>
      <c r="K89" s="95"/>
      <c r="L89" s="132" t="str">
        <f>+[65]Sheet1!$K$43</f>
        <v>Ret 2,5%</v>
      </c>
      <c r="M89" s="27">
        <f>+[65]Sheet1!$L$43</f>
        <v>13818653472</v>
      </c>
      <c r="N89" s="27">
        <f>+[65]Sheet1!$G$63</f>
        <v>0</v>
      </c>
      <c r="O89" s="27">
        <f>+[65]Sheet1!$G$63</f>
        <v>0</v>
      </c>
      <c r="P89" s="27">
        <f>+[65]Sheet1!$G$63</f>
        <v>0</v>
      </c>
      <c r="Q89" s="27">
        <f>+[65]Sheet1!$G$63</f>
        <v>0</v>
      </c>
      <c r="R89" s="27">
        <f>+[65]Sheet1!$Q$43</f>
        <v>13818653472</v>
      </c>
      <c r="S89" s="27">
        <f>+[65]Sheet1!$R$43</f>
        <v>0</v>
      </c>
      <c r="T89" s="27" t="str">
        <f>+[65]Sheet1!$S$43</f>
        <v>LUNAS</v>
      </c>
      <c r="U89" s="6"/>
      <c r="V89" s="203">
        <f t="shared" si="3"/>
        <v>0</v>
      </c>
      <c r="W89" s="93">
        <v>12354375000</v>
      </c>
      <c r="X89" s="93">
        <v>13473187137</v>
      </c>
      <c r="Y89" s="93">
        <v>13127720800</v>
      </c>
    </row>
    <row r="90" spans="1:25" ht="16.5" x14ac:dyDescent="0.3">
      <c r="A90" s="208"/>
      <c r="B90" s="14"/>
      <c r="C90" s="52"/>
      <c r="D90" s="90" t="s">
        <v>80</v>
      </c>
      <c r="E90" s="94"/>
      <c r="F90" s="94"/>
      <c r="G90" s="96" t="s">
        <v>25</v>
      </c>
      <c r="H90" s="80">
        <f>+[65]Sheet1!$G$38</f>
        <v>1464278471.7</v>
      </c>
      <c r="I90" s="97"/>
      <c r="J90" s="82"/>
      <c r="K90" s="98"/>
      <c r="L90" s="118"/>
      <c r="M90" s="80"/>
      <c r="N90" s="80"/>
      <c r="O90" s="80"/>
      <c r="P90" s="80"/>
      <c r="Q90" s="80"/>
      <c r="R90" s="80"/>
      <c r="S90" s="80"/>
      <c r="T90" s="80"/>
      <c r="U90" s="6"/>
      <c r="V90" s="203">
        <f t="shared" si="3"/>
        <v>0</v>
      </c>
      <c r="W90" s="93">
        <v>1464278471.7</v>
      </c>
    </row>
    <row r="91" spans="1:25" ht="16.5" x14ac:dyDescent="0.3">
      <c r="A91" s="208"/>
      <c r="B91" s="14"/>
      <c r="C91" s="52"/>
      <c r="D91" s="15" t="s">
        <v>76</v>
      </c>
      <c r="E91" s="16"/>
      <c r="F91" s="16"/>
      <c r="G91" s="17" t="s">
        <v>25</v>
      </c>
      <c r="H91" s="27">
        <f>SUBTOTAL(9,H89:H90)</f>
        <v>13818653471.700001</v>
      </c>
      <c r="I91" s="34"/>
      <c r="J91" s="145"/>
      <c r="K91" s="95"/>
      <c r="L91" s="117"/>
      <c r="M91" s="27">
        <f>SUBTOTAL(9,M89:M90)</f>
        <v>13818653472</v>
      </c>
      <c r="N91" s="27"/>
      <c r="O91" s="27"/>
      <c r="P91" s="27"/>
      <c r="Q91" s="27"/>
      <c r="R91" s="27">
        <f>SUBTOTAL(9,R89:R90)</f>
        <v>13818653472</v>
      </c>
      <c r="S91" s="27">
        <f>SUBTOTAL(9,S89:S90)</f>
        <v>0</v>
      </c>
      <c r="T91" s="27">
        <f>SUBTOTAL(9,T89:T90)</f>
        <v>0</v>
      </c>
      <c r="U91" s="6"/>
      <c r="V91" s="203">
        <f t="shared" si="3"/>
        <v>0</v>
      </c>
      <c r="W91" s="93">
        <v>13818653471.700001</v>
      </c>
      <c r="X91" s="93">
        <v>13473187137</v>
      </c>
      <c r="Y91" s="93">
        <v>13127720800</v>
      </c>
    </row>
    <row r="92" spans="1:25" ht="16.5" x14ac:dyDescent="0.3">
      <c r="A92" s="208"/>
      <c r="B92" s="14"/>
      <c r="C92" s="52"/>
      <c r="D92" s="15"/>
      <c r="E92" s="16"/>
      <c r="F92" s="16"/>
      <c r="G92" s="17"/>
      <c r="H92" s="27"/>
      <c r="I92" s="34"/>
      <c r="J92" s="145"/>
      <c r="K92" s="95"/>
      <c r="L92" s="117"/>
      <c r="M92" s="27"/>
      <c r="N92" s="27"/>
      <c r="O92" s="27"/>
      <c r="P92" s="27"/>
      <c r="Q92" s="27"/>
      <c r="R92" s="27"/>
      <c r="S92" s="27"/>
      <c r="T92" s="27"/>
      <c r="U92" s="6"/>
      <c r="V92" s="203">
        <f t="shared" si="3"/>
        <v>0</v>
      </c>
    </row>
    <row r="93" spans="1:25" ht="16.5" x14ac:dyDescent="0.3">
      <c r="A93" s="208"/>
      <c r="B93" s="14"/>
      <c r="C93" s="52"/>
      <c r="D93" s="15" t="s">
        <v>118</v>
      </c>
      <c r="E93" s="16"/>
      <c r="F93" s="16"/>
      <c r="G93" s="17" t="s">
        <v>25</v>
      </c>
      <c r="H93" s="27">
        <f>+[65]Sheet1!$G$53</f>
        <v>8497604731.000001</v>
      </c>
      <c r="I93" s="34"/>
      <c r="J93" s="145"/>
      <c r="K93" s="95"/>
      <c r="L93" s="128" t="str">
        <f>+[65]Sheet1!$K$53</f>
        <v>RET 5%</v>
      </c>
      <c r="M93" s="27">
        <f>+[65]Sheet1!$L$53</f>
        <v>8497604731</v>
      </c>
      <c r="N93" s="27">
        <f>+[65]Sheet1!$G$50</f>
        <v>0</v>
      </c>
      <c r="O93" s="27">
        <f>+[65]Sheet1!$G$50</f>
        <v>0</v>
      </c>
      <c r="P93" s="27">
        <f>+[65]Sheet1!$G$50</f>
        <v>0</v>
      </c>
      <c r="Q93" s="27">
        <f>+[65]Sheet1!$G$50</f>
        <v>0</v>
      </c>
      <c r="R93" s="27">
        <f>+[65]Sheet1!$Q$53</f>
        <v>8497604731</v>
      </c>
      <c r="S93" s="27">
        <f>+[65]Sheet1!$R$53</f>
        <v>0</v>
      </c>
      <c r="T93" s="27">
        <f>+[65]Sheet1!$S$53</f>
        <v>0</v>
      </c>
      <c r="U93" s="6"/>
      <c r="V93" s="203">
        <f t="shared" si="3"/>
        <v>0</v>
      </c>
      <c r="W93" s="93">
        <v>8497604731.000001</v>
      </c>
      <c r="X93" s="93">
        <v>7811305457</v>
      </c>
      <c r="Y93" s="93">
        <v>7811305457</v>
      </c>
    </row>
    <row r="94" spans="1:25" ht="16.5" x14ac:dyDescent="0.3">
      <c r="A94" s="208"/>
      <c r="B94" s="14"/>
      <c r="C94" s="52"/>
      <c r="D94" s="15" t="s">
        <v>92</v>
      </c>
      <c r="E94" s="16"/>
      <c r="F94" s="16"/>
      <c r="G94" s="17"/>
      <c r="H94" s="27"/>
      <c r="I94" s="34"/>
      <c r="J94" s="145"/>
      <c r="K94" s="95"/>
      <c r="L94" s="117"/>
      <c r="M94" s="27"/>
      <c r="N94" s="27"/>
      <c r="O94" s="27"/>
      <c r="P94" s="27"/>
      <c r="Q94" s="27"/>
      <c r="R94" s="27"/>
      <c r="S94" s="27"/>
      <c r="T94" s="27"/>
      <c r="U94" s="6"/>
      <c r="V94" s="203">
        <f t="shared" si="3"/>
        <v>0</v>
      </c>
    </row>
    <row r="95" spans="1:25" ht="16.5" x14ac:dyDescent="0.3">
      <c r="A95" s="208"/>
      <c r="B95" s="14"/>
      <c r="C95" s="52"/>
      <c r="D95" s="15" t="s">
        <v>119</v>
      </c>
      <c r="E95" s="16"/>
      <c r="F95" s="16"/>
      <c r="G95" s="17" t="s">
        <v>25</v>
      </c>
      <c r="H95" s="27">
        <f>+[65]Sheet1!$G$61</f>
        <v>305008000</v>
      </c>
      <c r="I95" s="34"/>
      <c r="J95" s="145"/>
      <c r="K95" s="95"/>
      <c r="L95" s="128" t="str">
        <f>+[65]Sheet1!$K$61</f>
        <v>RET 5%</v>
      </c>
      <c r="M95" s="27">
        <f>+[65]Sheet1!$L$61</f>
        <v>305008000</v>
      </c>
      <c r="N95" s="27"/>
      <c r="O95" s="27"/>
      <c r="P95" s="27"/>
      <c r="Q95" s="27"/>
      <c r="R95" s="27">
        <f>+[65]Sheet1!$Q$61</f>
        <v>305008000</v>
      </c>
      <c r="S95" s="27">
        <f>+[65]Sheet1!$R$61</f>
        <v>0</v>
      </c>
      <c r="T95" s="27" t="str">
        <f>+[65]Sheet1!$S$61</f>
        <v>LUNAS</v>
      </c>
      <c r="U95" s="6"/>
      <c r="V95" s="203">
        <f t="shared" si="3"/>
        <v>0</v>
      </c>
      <c r="W95" s="93">
        <v>305008000</v>
      </c>
      <c r="X95" s="93">
        <v>289757600</v>
      </c>
      <c r="Y95" s="93">
        <v>289757600</v>
      </c>
    </row>
    <row r="96" spans="1:25" ht="16.5" x14ac:dyDescent="0.3">
      <c r="A96" s="208"/>
      <c r="B96" s="14"/>
      <c r="C96" s="52"/>
      <c r="D96" s="90" t="s">
        <v>93</v>
      </c>
      <c r="E96" s="94"/>
      <c r="F96" s="94"/>
      <c r="G96" s="96"/>
      <c r="H96" s="80"/>
      <c r="I96" s="97"/>
      <c r="J96" s="82"/>
      <c r="K96" s="98"/>
      <c r="L96" s="118"/>
      <c r="M96" s="80"/>
      <c r="N96" s="80"/>
      <c r="O96" s="80"/>
      <c r="P96" s="80"/>
      <c r="Q96" s="80"/>
      <c r="R96" s="80"/>
      <c r="S96" s="80"/>
      <c r="T96" s="80"/>
      <c r="U96" s="6"/>
      <c r="V96" s="203">
        <f t="shared" si="3"/>
        <v>0</v>
      </c>
    </row>
    <row r="97" spans="1:25" ht="16.5" x14ac:dyDescent="0.3">
      <c r="A97" s="208"/>
      <c r="B97" s="14"/>
      <c r="C97" s="52"/>
      <c r="D97" s="101" t="s">
        <v>73</v>
      </c>
      <c r="E97" s="102"/>
      <c r="F97" s="102"/>
      <c r="G97" s="103" t="s">
        <v>25</v>
      </c>
      <c r="H97" s="104">
        <f>SUBTOTAL(9,H85:H96)</f>
        <v>22621266202.700001</v>
      </c>
      <c r="I97" s="105"/>
      <c r="J97" s="106"/>
      <c r="K97" s="107"/>
      <c r="L97" s="119"/>
      <c r="M97" s="104">
        <f t="shared" ref="M97:T97" si="4">SUBTOTAL(9,M85:M96)</f>
        <v>63641830076.300003</v>
      </c>
      <c r="N97" s="104">
        <f t="shared" si="4"/>
        <v>0</v>
      </c>
      <c r="O97" s="104">
        <f t="shared" si="4"/>
        <v>0</v>
      </c>
      <c r="P97" s="104">
        <f t="shared" si="4"/>
        <v>0</v>
      </c>
      <c r="Q97" s="104">
        <f t="shared" si="4"/>
        <v>0</v>
      </c>
      <c r="R97" s="104">
        <f t="shared" si="4"/>
        <v>63641830076.300003</v>
      </c>
      <c r="S97" s="104">
        <f t="shared" si="4"/>
        <v>0</v>
      </c>
      <c r="T97" s="104">
        <f t="shared" si="4"/>
        <v>0</v>
      </c>
      <c r="U97" s="6"/>
      <c r="V97" s="203">
        <f t="shared" si="3"/>
        <v>-41020563873.300003</v>
      </c>
      <c r="W97" s="93">
        <v>63641830076</v>
      </c>
      <c r="X97" s="93">
        <v>61569299970.650002</v>
      </c>
      <c r="Y97" s="93">
        <v>60198319537</v>
      </c>
    </row>
    <row r="98" spans="1:25" ht="16.5" x14ac:dyDescent="0.3">
      <c r="A98" s="208"/>
      <c r="B98" s="14"/>
      <c r="C98" s="52"/>
      <c r="D98" s="15"/>
      <c r="E98" s="16"/>
      <c r="F98" s="16"/>
      <c r="G98" s="17"/>
      <c r="H98" s="27"/>
      <c r="I98" s="34"/>
      <c r="J98" s="145"/>
      <c r="K98" s="95"/>
      <c r="L98" s="117"/>
      <c r="M98" s="27"/>
      <c r="N98" s="27"/>
      <c r="O98" s="27"/>
      <c r="P98" s="27"/>
      <c r="Q98" s="27"/>
      <c r="R98" s="27"/>
      <c r="S98" s="27"/>
      <c r="T98" s="27"/>
      <c r="U98" s="6"/>
      <c r="V98" s="203">
        <f t="shared" si="3"/>
        <v>0</v>
      </c>
    </row>
    <row r="99" spans="1:25" ht="16.5" x14ac:dyDescent="0.3">
      <c r="A99" s="208"/>
      <c r="B99" s="14"/>
      <c r="C99" s="52"/>
      <c r="D99" s="15"/>
      <c r="E99" s="16"/>
      <c r="F99" s="16"/>
      <c r="G99" s="17"/>
      <c r="H99" s="27"/>
      <c r="I99" s="34"/>
      <c r="J99" s="145"/>
      <c r="K99" s="95"/>
      <c r="L99" s="117"/>
      <c r="M99" s="27"/>
      <c r="N99" s="27"/>
      <c r="O99" s="27"/>
      <c r="P99" s="27"/>
      <c r="Q99" s="27"/>
      <c r="R99" s="27"/>
      <c r="S99" s="27"/>
      <c r="T99" s="27"/>
      <c r="U99" s="6"/>
      <c r="V99" s="203"/>
    </row>
    <row r="100" spans="1:25" ht="16.5" x14ac:dyDescent="0.3">
      <c r="A100" s="208"/>
      <c r="B100" s="14"/>
      <c r="C100" s="52"/>
      <c r="D100" s="15"/>
      <c r="E100" s="16"/>
      <c r="F100" s="16"/>
      <c r="G100" s="17"/>
      <c r="H100" s="27"/>
      <c r="I100" s="34"/>
      <c r="J100" s="145"/>
      <c r="K100" s="95"/>
      <c r="L100" s="117"/>
      <c r="M100" s="27"/>
      <c r="N100" s="27"/>
      <c r="O100" s="27"/>
      <c r="P100" s="27"/>
      <c r="Q100" s="27"/>
      <c r="R100" s="27"/>
      <c r="S100" s="27"/>
      <c r="T100" s="27"/>
      <c r="U100" s="6"/>
      <c r="V100" s="203"/>
    </row>
    <row r="101" spans="1:25" ht="16.5" x14ac:dyDescent="0.3">
      <c r="A101" s="208"/>
      <c r="B101" s="14"/>
      <c r="C101" s="52"/>
      <c r="D101" s="15"/>
      <c r="E101" s="16"/>
      <c r="F101" s="16"/>
      <c r="G101" s="17"/>
      <c r="H101" s="27"/>
      <c r="I101" s="34"/>
      <c r="J101" s="145"/>
      <c r="K101" s="95"/>
      <c r="L101" s="117"/>
      <c r="M101" s="27"/>
      <c r="N101" s="27"/>
      <c r="O101" s="27"/>
      <c r="P101" s="27"/>
      <c r="Q101" s="27"/>
      <c r="R101" s="27"/>
      <c r="S101" s="27"/>
      <c r="T101" s="27"/>
      <c r="U101" s="6"/>
      <c r="V101" s="203"/>
    </row>
    <row r="102" spans="1:25" ht="16.5" x14ac:dyDescent="0.3">
      <c r="A102" s="208"/>
      <c r="B102" s="14"/>
      <c r="C102" s="52"/>
      <c r="D102" s="15"/>
      <c r="E102" s="16"/>
      <c r="F102" s="16"/>
      <c r="G102" s="17"/>
      <c r="H102" s="27"/>
      <c r="I102" s="34"/>
      <c r="J102" s="145"/>
      <c r="K102" s="95"/>
      <c r="L102" s="117"/>
      <c r="M102" s="27"/>
      <c r="N102" s="27"/>
      <c r="O102" s="27"/>
      <c r="P102" s="27"/>
      <c r="Q102" s="27"/>
      <c r="R102" s="27"/>
      <c r="S102" s="27"/>
      <c r="T102" s="27"/>
      <c r="U102" s="6"/>
      <c r="V102" s="203"/>
    </row>
    <row r="103" spans="1:25" ht="16.5" x14ac:dyDescent="0.3">
      <c r="A103" s="208"/>
      <c r="B103" s="14"/>
      <c r="C103" s="52"/>
      <c r="D103" s="15"/>
      <c r="E103" s="16"/>
      <c r="F103" s="16"/>
      <c r="G103" s="17"/>
      <c r="H103" s="27"/>
      <c r="I103" s="34"/>
      <c r="J103" s="145"/>
      <c r="K103" s="95"/>
      <c r="L103" s="117"/>
      <c r="M103" s="27"/>
      <c r="N103" s="27"/>
      <c r="O103" s="27"/>
      <c r="P103" s="27"/>
      <c r="Q103" s="27"/>
      <c r="R103" s="27"/>
      <c r="S103" s="27"/>
      <c r="T103" s="27"/>
      <c r="U103" s="6"/>
      <c r="V103" s="203"/>
    </row>
    <row r="104" spans="1:25" ht="16.5" x14ac:dyDescent="0.3">
      <c r="A104" s="208"/>
      <c r="B104" s="14"/>
      <c r="C104" s="52"/>
      <c r="D104" s="15"/>
      <c r="E104" s="16"/>
      <c r="F104" s="16"/>
      <c r="G104" s="17"/>
      <c r="H104" s="27"/>
      <c r="I104" s="34"/>
      <c r="J104" s="145"/>
      <c r="K104" s="95"/>
      <c r="L104" s="117"/>
      <c r="M104" s="27"/>
      <c r="N104" s="27"/>
      <c r="O104" s="27"/>
      <c r="P104" s="27"/>
      <c r="Q104" s="27"/>
      <c r="R104" s="27"/>
      <c r="S104" s="27"/>
      <c r="T104" s="27"/>
      <c r="U104" s="6"/>
      <c r="V104" s="203"/>
    </row>
    <row r="105" spans="1:25" ht="16.5" x14ac:dyDescent="0.3">
      <c r="A105" s="208"/>
      <c r="B105" s="76"/>
      <c r="C105" s="111"/>
      <c r="D105" s="90"/>
      <c r="E105" s="94"/>
      <c r="F105" s="94"/>
      <c r="G105" s="96"/>
      <c r="H105" s="80"/>
      <c r="I105" s="97"/>
      <c r="J105" s="82"/>
      <c r="K105" s="98"/>
      <c r="L105" s="118"/>
      <c r="M105" s="80"/>
      <c r="N105" s="80"/>
      <c r="O105" s="80"/>
      <c r="P105" s="80"/>
      <c r="Q105" s="80"/>
      <c r="R105" s="80"/>
      <c r="S105" s="80"/>
      <c r="T105" s="80"/>
      <c r="U105" s="112"/>
      <c r="V105" s="203"/>
    </row>
    <row r="106" spans="1:25" ht="16.5" x14ac:dyDescent="0.3">
      <c r="A106" s="208"/>
      <c r="B106" s="14"/>
      <c r="C106" s="52"/>
      <c r="D106" s="15"/>
      <c r="E106" s="16"/>
      <c r="F106" s="16"/>
      <c r="G106" s="17"/>
      <c r="H106" s="27"/>
      <c r="I106" s="34"/>
      <c r="J106" s="145"/>
      <c r="K106" s="95"/>
      <c r="L106" s="117"/>
      <c r="M106" s="27"/>
      <c r="N106" s="27"/>
      <c r="O106" s="27"/>
      <c r="P106" s="27"/>
      <c r="Q106" s="27"/>
      <c r="R106" s="27"/>
      <c r="S106" s="27"/>
      <c r="T106" s="27"/>
      <c r="U106" s="6"/>
      <c r="V106" s="203"/>
    </row>
    <row r="107" spans="1:25" ht="16.5" x14ac:dyDescent="0.3">
      <c r="A107" s="208"/>
      <c r="B107" s="14"/>
      <c r="C107" s="121" t="s">
        <v>50</v>
      </c>
      <c r="D107" s="15" t="s">
        <v>51</v>
      </c>
      <c r="E107" s="22"/>
      <c r="F107" s="22"/>
      <c r="G107" s="17"/>
      <c r="H107" s="27"/>
      <c r="I107" s="34"/>
      <c r="J107" s="145"/>
      <c r="K107" s="31"/>
      <c r="L107" s="117"/>
      <c r="M107" s="27"/>
      <c r="N107" s="27"/>
      <c r="O107" s="27"/>
      <c r="P107" s="27"/>
      <c r="Q107" s="27"/>
      <c r="R107" s="27"/>
      <c r="S107" s="27"/>
      <c r="T107" s="27"/>
      <c r="U107" s="6"/>
      <c r="V107" s="203">
        <f t="shared" si="3"/>
        <v>0</v>
      </c>
    </row>
    <row r="108" spans="1:25" ht="16.5" x14ac:dyDescent="0.3">
      <c r="A108" s="208"/>
      <c r="B108" s="14"/>
      <c r="C108" s="52"/>
      <c r="D108" s="15" t="s">
        <v>120</v>
      </c>
      <c r="E108" s="22"/>
      <c r="F108" s="22"/>
      <c r="G108" s="17" t="s">
        <v>25</v>
      </c>
      <c r="H108" s="27">
        <f>+[66]Sheet1!G7</f>
        <v>51865000000.000008</v>
      </c>
      <c r="I108" s="34"/>
      <c r="J108" s="145"/>
      <c r="K108" s="31"/>
      <c r="L108" s="128">
        <f>+[66]Sheet1!K32</f>
        <v>1</v>
      </c>
      <c r="M108" s="27">
        <f>+[66]Sheet1!L32</f>
        <v>58113286044</v>
      </c>
      <c r="N108" s="27"/>
      <c r="O108" s="27"/>
      <c r="P108" s="27"/>
      <c r="Q108" s="27"/>
      <c r="R108" s="27">
        <f>+[66]Sheet1!Q32</f>
        <v>58113286044</v>
      </c>
      <c r="S108" s="27">
        <f>+[66]Sheet1!R32</f>
        <v>0</v>
      </c>
      <c r="T108" s="27">
        <f>+[66]Sheet1!$S$32</f>
        <v>0</v>
      </c>
      <c r="U108" s="6"/>
      <c r="V108" s="203">
        <f t="shared" si="3"/>
        <v>0</v>
      </c>
      <c r="W108" s="93">
        <v>51865000000.000008</v>
      </c>
      <c r="X108" s="93">
        <v>55207621742</v>
      </c>
      <c r="Y108" s="93">
        <v>54734521969</v>
      </c>
    </row>
    <row r="109" spans="1:25" ht="16.5" x14ac:dyDescent="0.3">
      <c r="A109" s="208"/>
      <c r="B109" s="14"/>
      <c r="C109" s="52"/>
      <c r="D109" s="90" t="s">
        <v>80</v>
      </c>
      <c r="E109" s="100"/>
      <c r="F109" s="100"/>
      <c r="G109" s="96" t="s">
        <v>25</v>
      </c>
      <c r="H109" s="80">
        <f>+[66]Sheet1!$G$27</f>
        <v>6248286044</v>
      </c>
      <c r="I109" s="97"/>
      <c r="J109" s="82"/>
      <c r="K109" s="83"/>
      <c r="L109" s="118"/>
      <c r="M109" s="80"/>
      <c r="N109" s="80"/>
      <c r="O109" s="80"/>
      <c r="P109" s="80"/>
      <c r="Q109" s="80"/>
      <c r="R109" s="80"/>
      <c r="S109" s="80"/>
      <c r="T109" s="80"/>
      <c r="U109" s="6"/>
      <c r="V109" s="203">
        <f t="shared" si="3"/>
        <v>2</v>
      </c>
      <c r="W109" s="93">
        <v>6248286042</v>
      </c>
    </row>
    <row r="110" spans="1:25" ht="16.5" x14ac:dyDescent="0.3">
      <c r="A110" s="208"/>
      <c r="B110" s="14"/>
      <c r="C110" s="52"/>
      <c r="D110" s="15" t="s">
        <v>76</v>
      </c>
      <c r="E110" s="16"/>
      <c r="F110" s="16"/>
      <c r="G110" s="17" t="s">
        <v>25</v>
      </c>
      <c r="H110" s="27">
        <f>SUBTOTAL(9,H108:H109)</f>
        <v>58113286044.000008</v>
      </c>
      <c r="I110" s="34"/>
      <c r="J110" s="145"/>
      <c r="K110" s="95"/>
      <c r="L110" s="117"/>
      <c r="M110" s="27">
        <f>SUBTOTAL(9,M108:M109)</f>
        <v>58113286044</v>
      </c>
      <c r="N110" s="27"/>
      <c r="O110" s="27"/>
      <c r="P110" s="27"/>
      <c r="Q110" s="27"/>
      <c r="R110" s="27">
        <f>SUBTOTAL(9,R108:R109)</f>
        <v>58113286044</v>
      </c>
      <c r="S110" s="27">
        <f>SUBTOTAL(9,S108:S109)</f>
        <v>0</v>
      </c>
      <c r="T110" s="27">
        <f>SUBTOTAL(9,T108:T109)</f>
        <v>0</v>
      </c>
      <c r="U110" s="6"/>
      <c r="V110" s="203">
        <f t="shared" si="3"/>
        <v>2</v>
      </c>
      <c r="W110" s="93">
        <v>58113286042.000008</v>
      </c>
      <c r="X110" s="93">
        <v>55207621742</v>
      </c>
      <c r="Y110" s="93">
        <v>54734521969</v>
      </c>
    </row>
    <row r="111" spans="1:25" ht="16.5" x14ac:dyDescent="0.3">
      <c r="A111" s="208"/>
      <c r="B111" s="14"/>
      <c r="C111" s="52"/>
      <c r="D111" s="15"/>
      <c r="E111" s="16"/>
      <c r="F111" s="16"/>
      <c r="G111" s="17"/>
      <c r="H111" s="27"/>
      <c r="I111" s="34"/>
      <c r="J111" s="145"/>
      <c r="K111" s="95"/>
      <c r="L111" s="117"/>
      <c r="M111" s="27"/>
      <c r="N111" s="27"/>
      <c r="O111" s="27"/>
      <c r="P111" s="27"/>
      <c r="Q111" s="27"/>
      <c r="R111" s="27"/>
      <c r="S111" s="27"/>
      <c r="T111" s="27"/>
      <c r="U111" s="6"/>
      <c r="V111" s="203">
        <f t="shared" si="3"/>
        <v>0</v>
      </c>
    </row>
    <row r="112" spans="1:25" ht="16.5" x14ac:dyDescent="0.3">
      <c r="A112" s="208"/>
      <c r="B112" s="14"/>
      <c r="C112" s="52"/>
      <c r="D112" s="92" t="s">
        <v>121</v>
      </c>
      <c r="E112" s="16"/>
      <c r="F112" s="16"/>
      <c r="G112" s="17" t="s">
        <v>25</v>
      </c>
      <c r="H112" s="27">
        <f>+[66]Sheet1!$G$37</f>
        <v>47850000000.000008</v>
      </c>
      <c r="I112" s="34"/>
      <c r="J112" s="145"/>
      <c r="K112" s="95"/>
      <c r="L112" s="128">
        <f>+[66]Sheet1!K69</f>
        <v>1</v>
      </c>
      <c r="M112" s="27">
        <f>+[66]Sheet1!L69</f>
        <v>50651312528</v>
      </c>
      <c r="N112" s="27"/>
      <c r="O112" s="27"/>
      <c r="P112" s="27"/>
      <c r="Q112" s="27"/>
      <c r="R112" s="27">
        <f>+[66]Sheet1!Q69</f>
        <v>50651312528</v>
      </c>
      <c r="S112" s="27">
        <f>+[66]Sheet1!R69</f>
        <v>0</v>
      </c>
      <c r="T112" s="27">
        <f>+[66]Sheet1!S69</f>
        <v>0</v>
      </c>
      <c r="U112" s="6"/>
      <c r="V112" s="203">
        <f t="shared" si="3"/>
        <v>0</v>
      </c>
      <c r="W112" s="93">
        <v>47850000000.000008</v>
      </c>
      <c r="X112" s="93">
        <v>48118746902</v>
      </c>
      <c r="Y112" s="93">
        <v>44750418677</v>
      </c>
    </row>
    <row r="113" spans="1:25" ht="16.5" x14ac:dyDescent="0.3">
      <c r="A113" s="208"/>
      <c r="B113" s="14"/>
      <c r="C113" s="52"/>
      <c r="D113" s="90" t="s">
        <v>80</v>
      </c>
      <c r="E113" s="100"/>
      <c r="F113" s="100"/>
      <c r="G113" s="96" t="s">
        <v>25</v>
      </c>
      <c r="H113" s="80">
        <f>+[66]Sheet1!$G$65</f>
        <v>2801312527.999999</v>
      </c>
      <c r="I113" s="97"/>
      <c r="J113" s="82"/>
      <c r="K113" s="83"/>
      <c r="L113" s="118"/>
      <c r="M113" s="80"/>
      <c r="N113" s="80"/>
      <c r="O113" s="80"/>
      <c r="P113" s="80"/>
      <c r="Q113" s="80"/>
      <c r="R113" s="80"/>
      <c r="S113" s="80"/>
      <c r="T113" s="80"/>
      <c r="U113" s="6"/>
      <c r="V113" s="203">
        <f t="shared" si="3"/>
        <v>0</v>
      </c>
      <c r="W113" s="93">
        <v>2801312527.999999</v>
      </c>
    </row>
    <row r="114" spans="1:25" ht="16.5" x14ac:dyDescent="0.3">
      <c r="A114" s="208"/>
      <c r="B114" s="14"/>
      <c r="C114" s="52"/>
      <c r="D114" s="15" t="s">
        <v>76</v>
      </c>
      <c r="E114" s="16"/>
      <c r="F114" s="16"/>
      <c r="G114" s="17" t="s">
        <v>25</v>
      </c>
      <c r="H114" s="27">
        <f>+H112+H113</f>
        <v>50651312528.000008</v>
      </c>
      <c r="I114" s="34"/>
      <c r="J114" s="145"/>
      <c r="K114" s="95"/>
      <c r="L114" s="117"/>
      <c r="M114" s="27">
        <f>SUBTOTAL(9,M112:M113)</f>
        <v>50651312528</v>
      </c>
      <c r="N114" s="27"/>
      <c r="O114" s="27"/>
      <c r="P114" s="27"/>
      <c r="Q114" s="27"/>
      <c r="R114" s="27">
        <f>SUBTOTAL(9,R112:R113)</f>
        <v>50651312528</v>
      </c>
      <c r="S114" s="27">
        <f>SUBTOTAL(9,S112:S113)</f>
        <v>0</v>
      </c>
      <c r="T114" s="27">
        <f>SUBTOTAL(9,T112:T113)</f>
        <v>0</v>
      </c>
      <c r="U114" s="6"/>
      <c r="V114" s="203">
        <f t="shared" si="3"/>
        <v>0</v>
      </c>
      <c r="W114" s="93">
        <v>50651312528.000008</v>
      </c>
      <c r="X114" s="93">
        <v>48118746902</v>
      </c>
      <c r="Y114" s="93">
        <v>44750418677</v>
      </c>
    </row>
    <row r="115" spans="1:25" ht="16.5" x14ac:dyDescent="0.3">
      <c r="A115" s="208"/>
      <c r="B115" s="14"/>
      <c r="C115" s="52"/>
      <c r="D115" s="101" t="s">
        <v>73</v>
      </c>
      <c r="E115" s="102"/>
      <c r="F115" s="102"/>
      <c r="G115" s="103" t="s">
        <v>25</v>
      </c>
      <c r="H115" s="104">
        <f>+H110+H114</f>
        <v>108764598572.00002</v>
      </c>
      <c r="I115" s="105"/>
      <c r="J115" s="106"/>
      <c r="K115" s="107"/>
      <c r="L115" s="119"/>
      <c r="M115" s="104">
        <f>+M110+M114</f>
        <v>108764598572</v>
      </c>
      <c r="N115" s="104">
        <f>SUBTOTAL(9,N108:N114)</f>
        <v>0</v>
      </c>
      <c r="O115" s="104">
        <f>SUBTOTAL(9,O108:O114)</f>
        <v>0</v>
      </c>
      <c r="P115" s="104">
        <f>SUBTOTAL(9,P108:P114)</f>
        <v>0</v>
      </c>
      <c r="Q115" s="104">
        <f>SUBTOTAL(9,Q108:Q114)</f>
        <v>0</v>
      </c>
      <c r="R115" s="104">
        <f>+R110+R114</f>
        <v>108764598572</v>
      </c>
      <c r="S115" s="104">
        <f>+S110+S114</f>
        <v>0</v>
      </c>
      <c r="T115" s="104">
        <f>+T110+T114</f>
        <v>0</v>
      </c>
      <c r="U115" s="6"/>
      <c r="V115" s="203">
        <f t="shared" si="3"/>
        <v>-699093483</v>
      </c>
      <c r="W115" s="93">
        <v>109463692055.00002</v>
      </c>
      <c r="X115" s="93">
        <v>104025462129</v>
      </c>
      <c r="Y115" s="93">
        <v>99873822794</v>
      </c>
    </row>
    <row r="116" spans="1:25" ht="16.5" x14ac:dyDescent="0.3">
      <c r="A116" s="208"/>
      <c r="B116" s="14"/>
      <c r="C116" s="52"/>
      <c r="D116" s="15"/>
      <c r="E116" s="16"/>
      <c r="F116" s="16"/>
      <c r="G116" s="17"/>
      <c r="H116" s="27"/>
      <c r="I116" s="34"/>
      <c r="J116" s="145"/>
      <c r="K116" s="95"/>
      <c r="L116" s="117"/>
      <c r="M116" s="27"/>
      <c r="N116" s="27"/>
      <c r="O116" s="27"/>
      <c r="P116" s="27"/>
      <c r="Q116" s="27"/>
      <c r="R116" s="27"/>
      <c r="S116" s="27"/>
      <c r="T116" s="27"/>
      <c r="U116" s="6"/>
      <c r="V116" s="203">
        <f t="shared" si="3"/>
        <v>0</v>
      </c>
    </row>
    <row r="117" spans="1:25" ht="16.5" x14ac:dyDescent="0.3">
      <c r="A117" s="208"/>
      <c r="B117" s="14"/>
      <c r="C117" s="121" t="s">
        <v>56</v>
      </c>
      <c r="D117" s="15" t="s">
        <v>57</v>
      </c>
      <c r="E117" s="24"/>
      <c r="F117" s="24"/>
      <c r="G117" s="54"/>
      <c r="H117" s="27"/>
      <c r="I117" s="46"/>
      <c r="J117" s="145"/>
      <c r="K117" s="38"/>
      <c r="L117" s="115"/>
      <c r="M117" s="27"/>
      <c r="N117" s="27"/>
      <c r="O117" s="27"/>
      <c r="P117" s="27"/>
      <c r="Q117" s="27"/>
      <c r="R117" s="27"/>
      <c r="S117" s="27"/>
      <c r="T117" s="27"/>
      <c r="U117" s="6"/>
      <c r="V117" s="203">
        <f t="shared" si="3"/>
        <v>0</v>
      </c>
    </row>
    <row r="118" spans="1:25" ht="16.5" x14ac:dyDescent="0.3">
      <c r="A118" s="208"/>
      <c r="B118" s="14"/>
      <c r="C118" s="52"/>
      <c r="D118" s="15" t="s">
        <v>123</v>
      </c>
      <c r="E118" s="24"/>
      <c r="F118" s="24"/>
      <c r="G118" s="54" t="s">
        <v>25</v>
      </c>
      <c r="H118" s="27">
        <f>+[52]Sheet1!$F$9</f>
        <v>53987036000</v>
      </c>
      <c r="I118" s="46"/>
      <c r="J118" s="145"/>
      <c r="K118" s="38"/>
      <c r="L118" s="117">
        <f>+[52]Sheet1!$J$63</f>
        <v>0.99129999999999996</v>
      </c>
      <c r="M118" s="146">
        <f>+[52]Sheet1!$K$63</f>
        <v>56060205130</v>
      </c>
      <c r="N118" s="27">
        <f>+[52]Sheet1!$G$35</f>
        <v>419970000</v>
      </c>
      <c r="O118" s="27">
        <f>+[52]Sheet1!$G$35</f>
        <v>419970000</v>
      </c>
      <c r="P118" s="27">
        <f>+[52]Sheet1!$G$35</f>
        <v>419970000</v>
      </c>
      <c r="Q118" s="27">
        <f>+[52]Sheet1!$G$35</f>
        <v>419970000</v>
      </c>
      <c r="R118" s="27">
        <f>+[52]Sheet1!$P$63</f>
        <v>55677405130</v>
      </c>
      <c r="S118" s="27">
        <f>+[52]Sheet1!$Q$63</f>
        <v>382800000</v>
      </c>
      <c r="T118" s="27">
        <f>+[52]Sheet1!$R$63</f>
        <v>1</v>
      </c>
      <c r="U118" s="6"/>
      <c r="V118" s="203">
        <f t="shared" si="3"/>
        <v>0</v>
      </c>
      <c r="W118" s="93">
        <v>53987036000</v>
      </c>
      <c r="X118" s="93">
        <v>52839046393</v>
      </c>
      <c r="Y118" s="93">
        <v>52362253773</v>
      </c>
    </row>
    <row r="119" spans="1:25" ht="16.5" x14ac:dyDescent="0.3">
      <c r="A119" s="208"/>
      <c r="B119" s="14"/>
      <c r="C119" s="52"/>
      <c r="D119" s="90" t="s">
        <v>94</v>
      </c>
      <c r="E119" s="79"/>
      <c r="F119" s="79"/>
      <c r="G119" s="91" t="s">
        <v>25</v>
      </c>
      <c r="H119" s="80">
        <f>+[52]Sheet1!$F$57</f>
        <v>2073169131</v>
      </c>
      <c r="I119" s="81"/>
      <c r="J119" s="82"/>
      <c r="K119" s="109"/>
      <c r="L119" s="116"/>
      <c r="M119" s="80"/>
      <c r="N119" s="80"/>
      <c r="O119" s="80"/>
      <c r="P119" s="80"/>
      <c r="Q119" s="80"/>
      <c r="R119" s="80"/>
      <c r="S119" s="80"/>
      <c r="T119" s="80" t="s">
        <v>135</v>
      </c>
      <c r="U119" s="6"/>
      <c r="V119" s="203">
        <f t="shared" si="3"/>
        <v>0</v>
      </c>
      <c r="W119" s="93">
        <v>2073169131</v>
      </c>
    </row>
    <row r="120" spans="1:25" ht="16.5" x14ac:dyDescent="0.3">
      <c r="A120" s="208"/>
      <c r="B120" s="14"/>
      <c r="C120" s="52"/>
      <c r="D120" s="15" t="s">
        <v>76</v>
      </c>
      <c r="E120" s="24"/>
      <c r="F120" s="24"/>
      <c r="G120" s="54" t="s">
        <v>25</v>
      </c>
      <c r="H120" s="27">
        <f>SUBTOTAL(9,H118:H119)</f>
        <v>56060205131</v>
      </c>
      <c r="I120" s="46"/>
      <c r="J120" s="145"/>
      <c r="K120" s="38"/>
      <c r="L120" s="115"/>
      <c r="M120" s="27">
        <f>SUBTOTAL(9,M118:M119)</f>
        <v>56060205130</v>
      </c>
      <c r="N120" s="27"/>
      <c r="O120" s="27"/>
      <c r="P120" s="27"/>
      <c r="Q120" s="27"/>
      <c r="R120" s="27">
        <f>SUBTOTAL(9,R118:R119)</f>
        <v>55677405130</v>
      </c>
      <c r="S120" s="27">
        <f>SUBTOTAL(9,S118:S119)</f>
        <v>382800000</v>
      </c>
      <c r="T120" s="27">
        <f>SUBTOTAL(9,T118:T119)</f>
        <v>1</v>
      </c>
      <c r="U120" s="6"/>
      <c r="V120" s="203">
        <f t="shared" si="3"/>
        <v>0</v>
      </c>
      <c r="W120" s="93">
        <v>56060205131</v>
      </c>
      <c r="X120" s="93">
        <v>52839046393</v>
      </c>
      <c r="Y120" s="93">
        <v>52362253773</v>
      </c>
    </row>
    <row r="121" spans="1:25" ht="16.5" x14ac:dyDescent="0.3">
      <c r="A121" s="208"/>
      <c r="B121" s="14"/>
      <c r="C121" s="52"/>
      <c r="D121" s="15" t="s">
        <v>94</v>
      </c>
      <c r="E121" s="24"/>
      <c r="F121" s="24"/>
      <c r="G121" s="54"/>
      <c r="H121" s="27"/>
      <c r="I121" s="46"/>
      <c r="J121" s="145"/>
      <c r="K121" s="38"/>
      <c r="L121" s="115"/>
      <c r="M121" s="27"/>
      <c r="N121" s="27"/>
      <c r="O121" s="27"/>
      <c r="P121" s="27"/>
      <c r="Q121" s="27"/>
      <c r="R121" s="27"/>
      <c r="S121" s="27"/>
      <c r="T121" s="27"/>
      <c r="U121" s="6"/>
      <c r="V121" s="203">
        <f t="shared" si="3"/>
        <v>0</v>
      </c>
    </row>
    <row r="122" spans="1:25" ht="16.5" x14ac:dyDescent="0.3">
      <c r="A122" s="208"/>
      <c r="B122" s="14"/>
      <c r="C122" s="52"/>
      <c r="D122" s="15" t="s">
        <v>102</v>
      </c>
      <c r="E122" s="24"/>
      <c r="F122" s="24"/>
      <c r="G122" s="54" t="s">
        <v>25</v>
      </c>
      <c r="H122" s="27">
        <f>+[52]Sheet1!$F$72</f>
        <v>526240000.00000006</v>
      </c>
      <c r="I122" s="46"/>
      <c r="J122" s="145"/>
      <c r="K122" s="38"/>
      <c r="L122" s="128">
        <f>+[52]Sheet1!$J$72</f>
        <v>1</v>
      </c>
      <c r="M122" s="27">
        <f>+[52]Sheet1!$K$72</f>
        <v>526240000</v>
      </c>
      <c r="N122" s="27">
        <f>+[52]Sheet1!$G$48</f>
        <v>-569540000</v>
      </c>
      <c r="O122" s="27">
        <f>+[52]Sheet1!$G$48</f>
        <v>-569540000</v>
      </c>
      <c r="P122" s="27">
        <f>+[52]Sheet1!$G$48</f>
        <v>-569540000</v>
      </c>
      <c r="Q122" s="27">
        <f>+[52]Sheet1!$G$48</f>
        <v>-569540000</v>
      </c>
      <c r="R122" s="27">
        <f>+[52]Sheet1!$P$72</f>
        <v>526240000</v>
      </c>
      <c r="S122" s="27">
        <f>+[52]Sheet1!$Q$72</f>
        <v>0</v>
      </c>
      <c r="T122" s="27">
        <f>+[52]Sheet1!$R$72</f>
        <v>0</v>
      </c>
      <c r="U122" s="6"/>
      <c r="V122" s="203">
        <f t="shared" si="3"/>
        <v>0</v>
      </c>
      <c r="W122" s="93">
        <v>526240000.00000006</v>
      </c>
      <c r="X122" s="93">
        <v>526240000</v>
      </c>
      <c r="Y122" s="93">
        <v>526240000</v>
      </c>
    </row>
    <row r="123" spans="1:25" ht="16.5" x14ac:dyDescent="0.3">
      <c r="A123" s="208"/>
      <c r="B123" s="14"/>
      <c r="C123" s="52"/>
      <c r="D123" s="15" t="s">
        <v>149</v>
      </c>
      <c r="E123" s="24"/>
      <c r="F123" s="24"/>
      <c r="G123" s="54" t="s">
        <v>25</v>
      </c>
      <c r="H123" s="27">
        <f>+[52]Sheet1!$F$79</f>
        <v>269500000</v>
      </c>
      <c r="I123" s="46"/>
      <c r="J123" s="145"/>
      <c r="K123" s="38"/>
      <c r="L123" s="128">
        <f>+[52]Sheet1!$J$79</f>
        <v>1</v>
      </c>
      <c r="M123" s="27">
        <f>+[52]Sheet1!$K$79</f>
        <v>269500000</v>
      </c>
      <c r="N123" s="27" t="e">
        <f>+[52]Sheet1!#REF!</f>
        <v>#REF!</v>
      </c>
      <c r="O123" s="27" t="e">
        <f>+[52]Sheet1!#REF!</f>
        <v>#REF!</v>
      </c>
      <c r="P123" s="27" t="e">
        <f>+[52]Sheet1!#REF!</f>
        <v>#REF!</v>
      </c>
      <c r="Q123" s="27" t="e">
        <f>+[52]Sheet1!#REF!</f>
        <v>#REF!</v>
      </c>
      <c r="R123" s="27">
        <f>+[52]Sheet1!$P$79</f>
        <v>269500000</v>
      </c>
      <c r="S123" s="27">
        <f>+[52]Sheet1!$Q$79</f>
        <v>0</v>
      </c>
      <c r="T123" s="27">
        <f>+[52]Sheet1!$R$79</f>
        <v>0</v>
      </c>
      <c r="U123" s="6"/>
      <c r="V123" s="203">
        <f t="shared" si="3"/>
        <v>0</v>
      </c>
      <c r="W123" s="93">
        <v>269500000</v>
      </c>
      <c r="X123" s="93">
        <v>269500000</v>
      </c>
      <c r="Y123" s="93">
        <v>269500000</v>
      </c>
    </row>
    <row r="124" spans="1:25" ht="16.5" x14ac:dyDescent="0.3">
      <c r="A124" s="208"/>
      <c r="B124" s="14"/>
      <c r="C124" s="52"/>
      <c r="D124" s="15" t="s">
        <v>150</v>
      </c>
      <c r="E124" s="24"/>
      <c r="F124" s="24"/>
      <c r="G124" s="54" t="s">
        <v>25</v>
      </c>
      <c r="H124" s="27">
        <f>+[52]Sheet1!$F$86</f>
        <v>26334000.000000004</v>
      </c>
      <c r="I124" s="46"/>
      <c r="J124" s="145"/>
      <c r="K124" s="38"/>
      <c r="L124" s="128">
        <f>+[52]Sheet1!$J$86</f>
        <v>1</v>
      </c>
      <c r="M124" s="27">
        <f>+[52]Sheet1!$K$86</f>
        <v>26334000</v>
      </c>
      <c r="N124" s="27" t="e">
        <f>+[52]Sheet1!#REF!</f>
        <v>#REF!</v>
      </c>
      <c r="O124" s="27" t="e">
        <f>+[52]Sheet1!#REF!</f>
        <v>#REF!</v>
      </c>
      <c r="P124" s="27" t="e">
        <f>+[52]Sheet1!#REF!</f>
        <v>#REF!</v>
      </c>
      <c r="Q124" s="27" t="e">
        <f>+[52]Sheet1!#REF!</f>
        <v>#REF!</v>
      </c>
      <c r="R124" s="27">
        <f>+[52]Sheet1!$P$86</f>
        <v>26334000</v>
      </c>
      <c r="S124" s="27">
        <f>+[52]Sheet1!$Q$86</f>
        <v>0</v>
      </c>
      <c r="T124" s="27">
        <f>+[52]Sheet1!$R$86</f>
        <v>0</v>
      </c>
      <c r="U124" s="6"/>
      <c r="V124" s="203">
        <f t="shared" si="3"/>
        <v>0</v>
      </c>
      <c r="W124" s="93">
        <v>26334000.000000004</v>
      </c>
      <c r="X124" s="93">
        <v>26334000</v>
      </c>
      <c r="Y124" s="93">
        <v>26334000</v>
      </c>
    </row>
    <row r="125" spans="1:25" ht="16.5" x14ac:dyDescent="0.3">
      <c r="A125" s="208"/>
      <c r="B125" s="14"/>
      <c r="C125" s="52"/>
      <c r="D125" s="15" t="s">
        <v>151</v>
      </c>
      <c r="E125" s="24"/>
      <c r="F125" s="24"/>
      <c r="G125" s="54" t="s">
        <v>25</v>
      </c>
      <c r="H125" s="27">
        <f>+[52]Sheet1!$F$92</f>
        <v>219857000.00000003</v>
      </c>
      <c r="I125" s="46"/>
      <c r="J125" s="145"/>
      <c r="K125" s="38"/>
      <c r="L125" s="128">
        <f>+[52]Sheet1!$J$90</f>
        <v>1</v>
      </c>
      <c r="M125" s="27">
        <f>+[52]Sheet1!$K$92</f>
        <v>219857000</v>
      </c>
      <c r="N125" s="27" t="e">
        <f>+[52]Sheet1!#REF!</f>
        <v>#REF!</v>
      </c>
      <c r="O125" s="27" t="e">
        <f>+[52]Sheet1!#REF!</f>
        <v>#REF!</v>
      </c>
      <c r="P125" s="27" t="e">
        <f>+[52]Sheet1!#REF!</f>
        <v>#REF!</v>
      </c>
      <c r="Q125" s="27" t="e">
        <f>+[52]Sheet1!#REF!</f>
        <v>#REF!</v>
      </c>
      <c r="R125" s="27">
        <f>+[52]Sheet1!$P$92</f>
        <v>219857000</v>
      </c>
      <c r="S125" s="27">
        <f>+[52]Sheet1!$Q$92</f>
        <v>0</v>
      </c>
      <c r="T125" s="27">
        <f>+[52]Sheet1!$R$92</f>
        <v>0</v>
      </c>
      <c r="U125" s="6"/>
      <c r="V125" s="203">
        <f t="shared" si="3"/>
        <v>0</v>
      </c>
      <c r="W125" s="93">
        <v>219857000.00000003</v>
      </c>
      <c r="X125" s="93">
        <v>219857000</v>
      </c>
      <c r="Y125" s="93">
        <v>219857000</v>
      </c>
    </row>
    <row r="126" spans="1:25" ht="16.5" x14ac:dyDescent="0.3">
      <c r="A126" s="208"/>
      <c r="B126" s="14"/>
      <c r="C126" s="52"/>
      <c r="D126" s="15" t="s">
        <v>152</v>
      </c>
      <c r="E126" s="24"/>
      <c r="F126" s="24"/>
      <c r="G126" s="54" t="s">
        <v>25</v>
      </c>
      <c r="H126" s="27">
        <f>+[52]Sheet1!$F$98</f>
        <v>197175000.00000003</v>
      </c>
      <c r="I126" s="46"/>
      <c r="J126" s="145"/>
      <c r="K126" s="38"/>
      <c r="L126" s="128">
        <f>+[52]Sheet1!$J$98</f>
        <v>1</v>
      </c>
      <c r="M126" s="27">
        <f>+[52]Sheet1!$K$98</f>
        <v>197175000</v>
      </c>
      <c r="N126" s="27" t="e">
        <f>+[52]Sheet1!#REF!</f>
        <v>#REF!</v>
      </c>
      <c r="O126" s="27" t="e">
        <f>+[52]Sheet1!#REF!</f>
        <v>#REF!</v>
      </c>
      <c r="P126" s="27" t="e">
        <f>+[52]Sheet1!#REF!</f>
        <v>#REF!</v>
      </c>
      <c r="Q126" s="27" t="e">
        <f>+[52]Sheet1!#REF!</f>
        <v>#REF!</v>
      </c>
      <c r="R126" s="27">
        <f>+[52]Sheet1!$P$98</f>
        <v>197175000</v>
      </c>
      <c r="S126" s="27">
        <f>+[52]Sheet1!$Q$98</f>
        <v>0</v>
      </c>
      <c r="T126" s="27">
        <f>+[52]Sheet1!$R$98</f>
        <v>0</v>
      </c>
      <c r="U126" s="6"/>
      <c r="V126" s="203">
        <f t="shared" si="3"/>
        <v>0</v>
      </c>
      <c r="W126" s="93">
        <v>197175000.00000003</v>
      </c>
      <c r="X126" s="93">
        <v>197175000</v>
      </c>
      <c r="Y126" s="93">
        <v>197175000</v>
      </c>
    </row>
    <row r="127" spans="1:25" ht="16.5" x14ac:dyDescent="0.3">
      <c r="A127" s="208"/>
      <c r="B127" s="14"/>
      <c r="C127" s="52"/>
      <c r="D127" s="15" t="s">
        <v>103</v>
      </c>
      <c r="E127" s="24"/>
      <c r="F127" s="24"/>
      <c r="G127" s="54" t="s">
        <v>25</v>
      </c>
      <c r="H127" s="27">
        <f>+[52]Sheet1!$F$105</f>
        <v>154660000</v>
      </c>
      <c r="I127" s="46"/>
      <c r="J127" s="145"/>
      <c r="K127" s="38"/>
      <c r="L127" s="128">
        <f>+[52]Sheet1!$J$105</f>
        <v>0.95</v>
      </c>
      <c r="M127" s="27">
        <f>+[52]Sheet1!$K$105</f>
        <v>154660000</v>
      </c>
      <c r="N127" s="27" t="e">
        <f>+[52]Sheet1!#REF!</f>
        <v>#REF!</v>
      </c>
      <c r="O127" s="27" t="e">
        <f>+[52]Sheet1!#REF!</f>
        <v>#REF!</v>
      </c>
      <c r="P127" s="27" t="e">
        <f>+[52]Sheet1!#REF!</f>
        <v>#REF!</v>
      </c>
      <c r="Q127" s="27" t="e">
        <f>+[52]Sheet1!#REF!</f>
        <v>#REF!</v>
      </c>
      <c r="R127" s="27">
        <f>+[52]Sheet1!$P$105</f>
        <v>154660000</v>
      </c>
      <c r="S127" s="27">
        <f>+[52]Sheet1!$Q$105</f>
        <v>0</v>
      </c>
      <c r="T127" s="27">
        <f>+[52]Sheet1!$R$105</f>
        <v>0</v>
      </c>
      <c r="U127" s="6"/>
      <c r="V127" s="203">
        <f t="shared" si="3"/>
        <v>-8140000</v>
      </c>
      <c r="W127" s="93">
        <v>162800000</v>
      </c>
      <c r="X127" s="93">
        <v>154660000</v>
      </c>
      <c r="Y127" s="93">
        <v>154660000</v>
      </c>
    </row>
    <row r="128" spans="1:25" ht="16.5" x14ac:dyDescent="0.3">
      <c r="A128" s="208"/>
      <c r="B128" s="14"/>
      <c r="C128" s="52"/>
      <c r="D128" s="15" t="s">
        <v>155</v>
      </c>
      <c r="E128" s="24"/>
      <c r="F128" s="24"/>
      <c r="G128" s="54" t="s">
        <v>25</v>
      </c>
      <c r="H128" s="27">
        <f>+[52]Sheet1!$F$111</f>
        <v>19382000</v>
      </c>
      <c r="I128" s="46"/>
      <c r="J128" s="145"/>
      <c r="K128" s="38"/>
      <c r="L128" s="128">
        <f>+[52]Sheet1!$J$111</f>
        <v>1</v>
      </c>
      <c r="M128" s="27">
        <f>+[52]Sheet1!$K$111</f>
        <v>19382000</v>
      </c>
      <c r="N128" s="27" t="e">
        <f>+[52]Sheet1!#REF!</f>
        <v>#REF!</v>
      </c>
      <c r="O128" s="27" t="e">
        <f>+[52]Sheet1!#REF!</f>
        <v>#REF!</v>
      </c>
      <c r="P128" s="27" t="e">
        <f>+[52]Sheet1!#REF!</f>
        <v>#REF!</v>
      </c>
      <c r="Q128" s="27" t="e">
        <f>+[52]Sheet1!#REF!</f>
        <v>#REF!</v>
      </c>
      <c r="R128" s="27">
        <f>+[52]Sheet1!$P$111</f>
        <v>19382000</v>
      </c>
      <c r="S128" s="27">
        <f>+[52]Sheet1!$Q$111</f>
        <v>0</v>
      </c>
      <c r="T128" s="27">
        <f>+[52]Sheet1!$R$111</f>
        <v>0</v>
      </c>
      <c r="U128" s="6"/>
      <c r="V128" s="203">
        <f t="shared" si="3"/>
        <v>0</v>
      </c>
      <c r="W128" s="93">
        <v>19382000</v>
      </c>
      <c r="X128" s="93">
        <v>19382000</v>
      </c>
      <c r="Y128" s="93">
        <v>19382000</v>
      </c>
    </row>
    <row r="129" spans="1:25" ht="16.5" x14ac:dyDescent="0.3">
      <c r="A129" s="208"/>
      <c r="B129" s="14"/>
      <c r="C129" s="52"/>
      <c r="D129" s="15" t="str">
        <f>+[52]Sheet1!$B$113</f>
        <v>PO : US/170108 Tanggal 09/02/2017</v>
      </c>
      <c r="E129" s="24"/>
      <c r="F129" s="24"/>
      <c r="G129" s="54" t="s">
        <v>25</v>
      </c>
      <c r="H129" s="27">
        <f>+[52]Sheet1!$F$118</f>
        <v>33814000</v>
      </c>
      <c r="I129" s="46"/>
      <c r="J129" s="145"/>
      <c r="K129" s="38"/>
      <c r="L129" s="128">
        <f>+[52]Sheet1!$J$118</f>
        <v>1</v>
      </c>
      <c r="M129" s="27">
        <f>+[52]Sheet1!$K$118</f>
        <v>33814000</v>
      </c>
      <c r="N129" s="27"/>
      <c r="O129" s="27"/>
      <c r="P129" s="27"/>
      <c r="Q129" s="27"/>
      <c r="R129" s="27">
        <f>+[52]Sheet1!$P$118</f>
        <v>33814000</v>
      </c>
      <c r="S129" s="27">
        <f>+[52]Sheet1!$Q$118</f>
        <v>0</v>
      </c>
      <c r="T129" s="27">
        <f>+[52]Sheet1!$R$118</f>
        <v>0</v>
      </c>
      <c r="U129" s="6"/>
      <c r="V129" s="203">
        <f t="shared" si="3"/>
        <v>33814000</v>
      </c>
    </row>
    <row r="130" spans="1:25" ht="16.5" x14ac:dyDescent="0.3">
      <c r="A130" s="208"/>
      <c r="B130" s="14"/>
      <c r="C130" s="52"/>
      <c r="D130" s="15" t="str">
        <f>+[52]Sheet1!$B$120</f>
        <v>WO : 0093/ABP-WO/APJ/V/2017</v>
      </c>
      <c r="E130" s="24"/>
      <c r="F130" s="24"/>
      <c r="G130" s="54" t="s">
        <v>25</v>
      </c>
      <c r="H130" s="206">
        <f>+[52]Sheet1!$F$124</f>
        <v>13200000.000000002</v>
      </c>
      <c r="I130" s="46"/>
      <c r="J130" s="145"/>
      <c r="K130" s="38"/>
      <c r="L130" s="128">
        <f>+[52]Sheet1!$J$124</f>
        <v>1</v>
      </c>
      <c r="M130" s="27">
        <f>+[52]Sheet1!$K$124</f>
        <v>13200000</v>
      </c>
      <c r="N130" s="27"/>
      <c r="O130" s="27"/>
      <c r="P130" s="27"/>
      <c r="Q130" s="27"/>
      <c r="R130" s="27">
        <f>+[52]Sheet1!$P$124</f>
        <v>13200000</v>
      </c>
      <c r="S130" s="27">
        <f>+[52]Sheet1!$Q$124</f>
        <v>0</v>
      </c>
      <c r="T130" s="27">
        <f>+[52]Sheet1!$R$124</f>
        <v>0</v>
      </c>
      <c r="U130" s="6"/>
      <c r="V130" s="203"/>
    </row>
    <row r="131" spans="1:25" ht="16.5" x14ac:dyDescent="0.3">
      <c r="A131" s="208"/>
      <c r="B131" s="14"/>
      <c r="C131" s="52"/>
      <c r="D131" s="15" t="s">
        <v>181</v>
      </c>
      <c r="E131" s="24"/>
      <c r="F131" s="24"/>
      <c r="G131" s="54" t="s">
        <v>25</v>
      </c>
      <c r="H131" s="206">
        <f>+[52]Sheet1!$F$126</f>
        <v>110000000.00000001</v>
      </c>
      <c r="I131" s="46"/>
      <c r="J131" s="145"/>
      <c r="K131" s="38"/>
      <c r="L131" s="128">
        <f>+[52]Sheet1!$J$126</f>
        <v>1</v>
      </c>
      <c r="M131" s="27">
        <f>+[52]Sheet1!$K$126</f>
        <v>110000000</v>
      </c>
      <c r="N131" s="27"/>
      <c r="O131" s="27"/>
      <c r="P131" s="27"/>
      <c r="Q131" s="27"/>
      <c r="R131" s="27">
        <f>+[52]Sheet1!$P$126</f>
        <v>110000000</v>
      </c>
      <c r="S131" s="27">
        <f>+[52]Sheet1!$Q$126</f>
        <v>0</v>
      </c>
      <c r="T131" s="27">
        <f>+[52]Sheet1!$R$126</f>
        <v>0</v>
      </c>
      <c r="U131" s="6"/>
      <c r="V131" s="203"/>
    </row>
    <row r="132" spans="1:25" ht="16.5" x14ac:dyDescent="0.3">
      <c r="A132" s="208"/>
      <c r="B132" s="14"/>
      <c r="C132" s="52"/>
      <c r="D132" s="15" t="s">
        <v>104</v>
      </c>
      <c r="E132" s="24"/>
      <c r="F132" s="24"/>
      <c r="G132" s="54" t="s">
        <v>25</v>
      </c>
      <c r="H132" s="207">
        <f>+[52]Sheet1!$F$137</f>
        <v>369527054</v>
      </c>
      <c r="I132" s="46"/>
      <c r="J132" s="145"/>
      <c r="K132" s="125"/>
      <c r="L132" s="128">
        <f>+[52]Sheet1!$J$137</f>
        <v>1</v>
      </c>
      <c r="M132" s="27">
        <f>+[52]Sheet1!$K$137</f>
        <v>369527054</v>
      </c>
      <c r="N132" s="27" t="e">
        <f>+[52]Sheet1!#REF!</f>
        <v>#REF!</v>
      </c>
      <c r="O132" s="27" t="e">
        <f>+[52]Sheet1!#REF!</f>
        <v>#REF!</v>
      </c>
      <c r="P132" s="27" t="e">
        <f>+[52]Sheet1!#REF!</f>
        <v>#REF!</v>
      </c>
      <c r="Q132" s="27" t="e">
        <f>+[52]Sheet1!#REF!</f>
        <v>#REF!</v>
      </c>
      <c r="R132" s="27">
        <f>+[52]Sheet1!$P$137</f>
        <v>369527054</v>
      </c>
      <c r="S132" s="27">
        <f>+[52]Sheet1!$Q$131</f>
        <v>0</v>
      </c>
      <c r="T132" s="27">
        <f>+[52]Sheet1!$R$131</f>
        <v>0</v>
      </c>
      <c r="U132" s="6"/>
      <c r="V132" s="203">
        <f t="shared" si="3"/>
        <v>0</v>
      </c>
      <c r="W132" s="93">
        <v>369527054</v>
      </c>
      <c r="X132" s="93">
        <v>369527054</v>
      </c>
      <c r="Y132" s="93">
        <v>369527054</v>
      </c>
    </row>
    <row r="133" spans="1:25" ht="16.5" x14ac:dyDescent="0.3">
      <c r="A133" s="208"/>
      <c r="B133" s="14"/>
      <c r="C133" s="52"/>
      <c r="D133" s="90" t="s">
        <v>98</v>
      </c>
      <c r="E133" s="79"/>
      <c r="F133" s="79"/>
      <c r="G133" s="91" t="s">
        <v>25</v>
      </c>
      <c r="H133" s="80">
        <f>+[52]Sheet1!$F$142</f>
        <v>77000000</v>
      </c>
      <c r="I133" s="81"/>
      <c r="J133" s="82"/>
      <c r="K133" s="109"/>
      <c r="L133" s="131">
        <f>+[52]Sheet1!$J$142</f>
        <v>1</v>
      </c>
      <c r="M133" s="80">
        <f>+[52]Sheet1!$K$142</f>
        <v>77000000</v>
      </c>
      <c r="N133" s="80" t="e">
        <f>+[52]Sheet1!#REF!</f>
        <v>#REF!</v>
      </c>
      <c r="O133" s="80" t="e">
        <f>+[52]Sheet1!#REF!</f>
        <v>#REF!</v>
      </c>
      <c r="P133" s="80" t="e">
        <f>+[52]Sheet1!#REF!</f>
        <v>#REF!</v>
      </c>
      <c r="Q133" s="80" t="e">
        <f>+[52]Sheet1!#REF!</f>
        <v>#REF!</v>
      </c>
      <c r="R133" s="80">
        <f>+[52]Sheet1!$P$142</f>
        <v>77000000</v>
      </c>
      <c r="S133" s="80">
        <f>+[52]Sheet1!$Q$137</f>
        <v>0</v>
      </c>
      <c r="T133" s="80">
        <f>+[52]Sheet1!$R$142</f>
        <v>0</v>
      </c>
      <c r="U133" s="6"/>
      <c r="V133" s="203">
        <f t="shared" si="3"/>
        <v>0</v>
      </c>
      <c r="W133" s="93">
        <v>77000000</v>
      </c>
      <c r="X133" s="93">
        <v>77000000</v>
      </c>
      <c r="Y133" s="93">
        <v>77000000</v>
      </c>
    </row>
    <row r="134" spans="1:25" ht="16.5" x14ac:dyDescent="0.3">
      <c r="A134" s="208"/>
      <c r="B134" s="14"/>
      <c r="C134" s="52"/>
      <c r="D134" s="15" t="s">
        <v>73</v>
      </c>
      <c r="E134" s="24"/>
      <c r="F134" s="24"/>
      <c r="G134" s="54" t="s">
        <v>25</v>
      </c>
      <c r="H134" s="27">
        <f>SUBTOTAL(9,H118:H133)</f>
        <v>58076894185</v>
      </c>
      <c r="I134" s="46"/>
      <c r="J134" s="145"/>
      <c r="K134" s="38"/>
      <c r="L134" s="115"/>
      <c r="M134" s="27">
        <f>SUBTOTAL(9,M118:M133)</f>
        <v>58076894184</v>
      </c>
      <c r="N134" s="27" t="e">
        <f>SUBTOTAL(9,N118:N132)</f>
        <v>#REF!</v>
      </c>
      <c r="O134" s="27" t="e">
        <f>SUBTOTAL(9,O118:O132)</f>
        <v>#REF!</v>
      </c>
      <c r="P134" s="27" t="e">
        <f>SUBTOTAL(9,P118:P132)</f>
        <v>#REF!</v>
      </c>
      <c r="Q134" s="27" t="e">
        <f>SUBTOTAL(9,Q118:Q132)</f>
        <v>#REF!</v>
      </c>
      <c r="R134" s="27">
        <f>SUBTOTAL(9,R118:R133)</f>
        <v>57694094184</v>
      </c>
      <c r="S134" s="27">
        <f>SUBTOTAL(9,S118:S132)</f>
        <v>382800000</v>
      </c>
      <c r="T134" s="27">
        <f>SUBTOTAL(9,T118:T133)</f>
        <v>1</v>
      </c>
      <c r="U134" s="6"/>
      <c r="V134" s="203">
        <f t="shared" si="3"/>
        <v>148874000</v>
      </c>
      <c r="W134" s="93">
        <v>57928020185</v>
      </c>
      <c r="X134" s="93">
        <v>54698721447</v>
      </c>
      <c r="Y134" s="93">
        <v>54221928827</v>
      </c>
    </row>
    <row r="135" spans="1:25" ht="16.5" x14ac:dyDescent="0.3">
      <c r="A135" s="208"/>
      <c r="B135" s="14"/>
      <c r="C135" s="52"/>
      <c r="D135" s="18"/>
      <c r="E135" s="24"/>
      <c r="F135" s="24"/>
      <c r="G135" s="23"/>
      <c r="H135" s="46"/>
      <c r="I135" s="46"/>
      <c r="J135" s="145"/>
      <c r="K135" s="95"/>
      <c r="L135" s="115"/>
      <c r="M135" s="50"/>
      <c r="N135" s="47"/>
      <c r="O135" s="47"/>
      <c r="P135" s="47"/>
      <c r="Q135" s="47"/>
      <c r="R135" s="48"/>
      <c r="S135" s="49"/>
      <c r="T135" s="49"/>
      <c r="U135" s="6"/>
      <c r="V135" s="203"/>
    </row>
    <row r="136" spans="1:25" ht="16.5" x14ac:dyDescent="0.3">
      <c r="A136" s="208"/>
      <c r="B136" s="14"/>
      <c r="C136" s="52" t="s">
        <v>175</v>
      </c>
      <c r="D136" s="15" t="s">
        <v>176</v>
      </c>
      <c r="E136" s="24"/>
      <c r="F136" s="24"/>
      <c r="G136" s="54" t="s">
        <v>25</v>
      </c>
      <c r="H136" s="27">
        <v>4117262600</v>
      </c>
      <c r="I136" s="46"/>
      <c r="J136" s="145"/>
      <c r="K136" s="95"/>
      <c r="L136" s="53">
        <v>1</v>
      </c>
      <c r="M136" s="88">
        <f>+H136</f>
        <v>4117262600</v>
      </c>
      <c r="N136" s="47"/>
      <c r="O136" s="47"/>
      <c r="P136" s="47"/>
      <c r="Q136" s="47"/>
      <c r="R136" s="28">
        <v>374296600</v>
      </c>
      <c r="S136" s="32">
        <f>+H136-R136</f>
        <v>3742966000</v>
      </c>
      <c r="T136" s="49"/>
      <c r="U136" s="6"/>
      <c r="V136" s="203">
        <f t="shared" si="3"/>
        <v>4117262600</v>
      </c>
    </row>
    <row r="137" spans="1:25" ht="16.5" x14ac:dyDescent="0.3">
      <c r="A137" s="208"/>
      <c r="B137" s="14"/>
      <c r="C137" s="52"/>
      <c r="D137" s="18"/>
      <c r="E137" s="24"/>
      <c r="F137" s="24"/>
      <c r="G137" s="23"/>
      <c r="H137" s="46"/>
      <c r="I137" s="46"/>
      <c r="J137" s="145"/>
      <c r="K137" s="95"/>
      <c r="L137" s="115"/>
      <c r="M137" s="50"/>
      <c r="N137" s="47"/>
      <c r="O137" s="47"/>
      <c r="P137" s="47"/>
      <c r="Q137" s="47"/>
      <c r="R137" s="48"/>
      <c r="S137" s="49"/>
      <c r="T137" s="49"/>
      <c r="U137" s="6"/>
      <c r="V137" s="203">
        <f t="shared" si="3"/>
        <v>0</v>
      </c>
    </row>
    <row r="138" spans="1:25" ht="16.5" x14ac:dyDescent="0.3">
      <c r="A138" s="208"/>
      <c r="B138" s="14"/>
      <c r="C138" s="52"/>
      <c r="D138" s="18"/>
      <c r="E138" s="24"/>
      <c r="F138" s="24"/>
      <c r="G138" s="23"/>
      <c r="H138" s="46"/>
      <c r="I138" s="46"/>
      <c r="J138" s="145"/>
      <c r="K138" s="95"/>
      <c r="L138" s="115"/>
      <c r="M138" s="50"/>
      <c r="N138" s="47"/>
      <c r="O138" s="47"/>
      <c r="P138" s="47"/>
      <c r="Q138" s="47"/>
      <c r="R138" s="48"/>
      <c r="S138" s="49"/>
      <c r="T138" s="49"/>
      <c r="U138" s="6"/>
      <c r="V138" s="203"/>
    </row>
    <row r="139" spans="1:25" ht="16.5" x14ac:dyDescent="0.3">
      <c r="A139" s="208"/>
      <c r="B139" s="14"/>
      <c r="C139" s="52"/>
      <c r="D139" s="18"/>
      <c r="E139" s="24"/>
      <c r="F139" s="24"/>
      <c r="G139" s="23"/>
      <c r="H139" s="46"/>
      <c r="I139" s="46"/>
      <c r="J139" s="145"/>
      <c r="K139" s="95"/>
      <c r="L139" s="115"/>
      <c r="M139" s="50"/>
      <c r="N139" s="47"/>
      <c r="O139" s="47"/>
      <c r="P139" s="47"/>
      <c r="Q139" s="47"/>
      <c r="R139" s="48"/>
      <c r="S139" s="49"/>
      <c r="T139" s="49"/>
      <c r="U139" s="6"/>
      <c r="V139" s="203"/>
    </row>
    <row r="140" spans="1:25" ht="16.5" x14ac:dyDescent="0.3">
      <c r="A140" s="208"/>
      <c r="B140" s="76"/>
      <c r="C140" s="111"/>
      <c r="D140" s="144"/>
      <c r="E140" s="79"/>
      <c r="F140" s="79"/>
      <c r="G140" s="147"/>
      <c r="H140" s="81"/>
      <c r="I140" s="81"/>
      <c r="J140" s="82"/>
      <c r="K140" s="98"/>
      <c r="L140" s="116"/>
      <c r="M140" s="84"/>
      <c r="N140" s="85"/>
      <c r="O140" s="85"/>
      <c r="P140" s="85"/>
      <c r="Q140" s="85"/>
      <c r="R140" s="86"/>
      <c r="S140" s="87"/>
      <c r="T140" s="87"/>
      <c r="U140" s="112"/>
      <c r="V140" s="203"/>
    </row>
    <row r="141" spans="1:25" ht="16.5" x14ac:dyDescent="0.3">
      <c r="A141" s="208"/>
      <c r="B141" s="14"/>
      <c r="C141" s="52"/>
      <c r="D141" s="18"/>
      <c r="E141" s="24"/>
      <c r="F141" s="24"/>
      <c r="G141" s="23"/>
      <c r="H141" s="46"/>
      <c r="I141" s="46"/>
      <c r="J141" s="145"/>
      <c r="K141" s="95"/>
      <c r="L141" s="115"/>
      <c r="M141" s="50"/>
      <c r="N141" s="47"/>
      <c r="O141" s="47"/>
      <c r="P141" s="47"/>
      <c r="Q141" s="47"/>
      <c r="R141" s="48"/>
      <c r="S141" s="49"/>
      <c r="T141" s="49"/>
      <c r="U141" s="6"/>
      <c r="V141" s="203"/>
    </row>
    <row r="142" spans="1:25" ht="16.5" x14ac:dyDescent="0.3">
      <c r="A142" s="208"/>
      <c r="B142" s="14"/>
      <c r="C142" s="121" t="s">
        <v>14</v>
      </c>
      <c r="D142" s="15" t="s">
        <v>58</v>
      </c>
      <c r="E142" s="24"/>
      <c r="F142" s="24"/>
      <c r="G142" s="54"/>
      <c r="H142" s="27"/>
      <c r="I142" s="46"/>
      <c r="J142" s="145"/>
      <c r="K142" s="38"/>
      <c r="L142" s="115"/>
      <c r="M142" s="27"/>
      <c r="N142" s="27"/>
      <c r="O142" s="27"/>
      <c r="P142" s="27"/>
      <c r="Q142" s="27"/>
      <c r="R142" s="27"/>
      <c r="S142" s="27"/>
      <c r="T142" s="27"/>
      <c r="U142" s="6"/>
      <c r="V142" s="203">
        <f t="shared" si="3"/>
        <v>0</v>
      </c>
    </row>
    <row r="143" spans="1:25" ht="16.5" x14ac:dyDescent="0.3">
      <c r="A143" s="208"/>
      <c r="B143" s="14"/>
      <c r="C143" s="52"/>
      <c r="D143" s="15" t="s">
        <v>124</v>
      </c>
      <c r="E143" s="24"/>
      <c r="F143" s="24"/>
      <c r="G143" s="54" t="s">
        <v>25</v>
      </c>
      <c r="H143" s="27">
        <f>+[67]Sheet1!$G$9</f>
        <v>81455880000</v>
      </c>
      <c r="I143" s="46"/>
      <c r="J143" s="145"/>
      <c r="K143" s="38"/>
      <c r="L143" s="117" t="str">
        <f>+[67]Sheet1!$K$35</f>
        <v>RET 2,5%</v>
      </c>
      <c r="M143" s="27">
        <f>+[67]Sheet1!L35</f>
        <v>79535663086</v>
      </c>
      <c r="N143" s="27"/>
      <c r="O143" s="27"/>
      <c r="P143" s="27"/>
      <c r="Q143" s="27"/>
      <c r="R143" s="27">
        <f>+[67]Sheet1!Q35</f>
        <v>79535663086</v>
      </c>
      <c r="S143" s="27">
        <f>+[67]Sheet1!R35</f>
        <v>0</v>
      </c>
      <c r="T143" s="27">
        <f>+H145-M143</f>
        <v>15.399993896484375</v>
      </c>
      <c r="U143" s="6"/>
      <c r="V143" s="203">
        <f t="shared" si="3"/>
        <v>0</v>
      </c>
      <c r="W143" s="93">
        <v>81455880000</v>
      </c>
      <c r="X143" s="93">
        <v>77546336509</v>
      </c>
      <c r="Y143" s="93">
        <v>77546336509</v>
      </c>
    </row>
    <row r="144" spans="1:25" ht="16.5" x14ac:dyDescent="0.3">
      <c r="A144" s="208"/>
      <c r="B144" s="14"/>
      <c r="C144" s="52"/>
      <c r="D144" s="90" t="s">
        <v>96</v>
      </c>
      <c r="E144" s="79"/>
      <c r="F144" s="79"/>
      <c r="G144" s="91" t="s">
        <v>25</v>
      </c>
      <c r="H144" s="80">
        <f>+[67]Sheet1!$G$20</f>
        <v>-1920216898.5999999</v>
      </c>
      <c r="I144" s="81"/>
      <c r="J144" s="82"/>
      <c r="K144" s="109"/>
      <c r="L144" s="116"/>
      <c r="M144" s="80"/>
      <c r="N144" s="80"/>
      <c r="O144" s="80"/>
      <c r="P144" s="80"/>
      <c r="Q144" s="80"/>
      <c r="R144" s="80"/>
      <c r="S144" s="80"/>
      <c r="T144" s="80"/>
      <c r="U144" s="6"/>
      <c r="V144" s="203"/>
      <c r="W144" s="93">
        <v>-1955119900</v>
      </c>
    </row>
    <row r="145" spans="1:25" ht="16.5" x14ac:dyDescent="0.3">
      <c r="A145" s="208"/>
      <c r="B145" s="14"/>
      <c r="C145" s="52"/>
      <c r="D145" s="15" t="s">
        <v>76</v>
      </c>
      <c r="E145" s="24"/>
      <c r="F145" s="24"/>
      <c r="G145" s="54" t="s">
        <v>25</v>
      </c>
      <c r="H145" s="27">
        <f>+H143+H144</f>
        <v>79535663101.399994</v>
      </c>
      <c r="I145" s="46"/>
      <c r="J145" s="145"/>
      <c r="K145" s="125"/>
      <c r="L145" s="115" t="str">
        <f>+L143</f>
        <v>RET 2,5%</v>
      </c>
      <c r="M145" s="27">
        <f>+M143+M144</f>
        <v>79535663086</v>
      </c>
      <c r="N145" s="27"/>
      <c r="O145" s="27"/>
      <c r="P145" s="27"/>
      <c r="Q145" s="27"/>
      <c r="R145" s="27">
        <f>+R143+R144</f>
        <v>79535663086</v>
      </c>
      <c r="S145" s="27">
        <f>+S143+S144</f>
        <v>0</v>
      </c>
      <c r="T145" s="27">
        <f>+H145-M145</f>
        <v>15.399993896484375</v>
      </c>
      <c r="U145" s="6"/>
      <c r="V145" s="203"/>
      <c r="W145" s="93">
        <v>79500760100</v>
      </c>
      <c r="X145" s="93">
        <v>77546336509</v>
      </c>
      <c r="Y145" s="93">
        <v>77546336509</v>
      </c>
    </row>
    <row r="146" spans="1:25" ht="16.5" x14ac:dyDescent="0.3">
      <c r="A146" s="208"/>
      <c r="B146" s="14"/>
      <c r="C146" s="52"/>
      <c r="D146" s="15"/>
      <c r="E146" s="24"/>
      <c r="F146" s="24"/>
      <c r="G146" s="54"/>
      <c r="H146" s="27"/>
      <c r="I146" s="46"/>
      <c r="J146" s="145"/>
      <c r="K146" s="125"/>
      <c r="L146" s="115"/>
      <c r="M146" s="27"/>
      <c r="N146" s="27"/>
      <c r="O146" s="27"/>
      <c r="P146" s="27"/>
      <c r="Q146" s="27"/>
      <c r="R146" s="27"/>
      <c r="S146" s="27"/>
      <c r="T146" s="27"/>
      <c r="U146" s="6"/>
      <c r="V146" s="203"/>
    </row>
    <row r="147" spans="1:25" ht="16.5" x14ac:dyDescent="0.3">
      <c r="A147" s="208"/>
      <c r="B147" s="14"/>
      <c r="C147" s="52"/>
      <c r="D147" s="15" t="s">
        <v>58</v>
      </c>
      <c r="E147" s="24"/>
      <c r="F147" s="24"/>
      <c r="G147" s="54"/>
      <c r="H147" s="34"/>
      <c r="I147" s="34"/>
      <c r="J147" s="37"/>
      <c r="K147" s="37"/>
      <c r="L147" s="115"/>
      <c r="M147" s="34"/>
      <c r="N147" s="34"/>
      <c r="O147" s="34"/>
      <c r="P147" s="34"/>
      <c r="Q147" s="34"/>
      <c r="R147" s="34"/>
      <c r="S147" s="34"/>
      <c r="T147" s="34"/>
      <c r="U147" s="6"/>
      <c r="V147" s="203"/>
    </row>
    <row r="148" spans="1:25" ht="16.5" x14ac:dyDescent="0.3">
      <c r="A148" s="208"/>
      <c r="B148" s="14"/>
      <c r="C148" s="52"/>
      <c r="D148" s="15" t="s">
        <v>124</v>
      </c>
      <c r="E148" s="24"/>
      <c r="F148" s="24"/>
      <c r="G148" s="54" t="s">
        <v>26</v>
      </c>
      <c r="H148" s="34">
        <f>+[67]Sheet1!$G$45</f>
        <v>0</v>
      </c>
      <c r="I148" s="34"/>
      <c r="J148" s="37"/>
      <c r="K148" s="37"/>
      <c r="L148" s="117">
        <f>+[67]Sheet1!$K$82</f>
        <v>6.4999999999999997E-3</v>
      </c>
      <c r="M148" s="34">
        <f>+[67]Sheet1!$L$82</f>
        <v>37392.959999999999</v>
      </c>
      <c r="N148" s="34">
        <f>+[67]Sheet1!$G$78</f>
        <v>0</v>
      </c>
      <c r="O148" s="34">
        <f>+[67]Sheet1!$G$78</f>
        <v>0</v>
      </c>
      <c r="P148" s="34">
        <f>+[67]Sheet1!$G$78</f>
        <v>0</v>
      </c>
      <c r="Q148" s="34">
        <f>+[67]Sheet1!$G$78</f>
        <v>0</v>
      </c>
      <c r="R148" s="34">
        <f>+[67]Sheet1!$Q$82</f>
        <v>37392.959999999999</v>
      </c>
      <c r="S148" s="34">
        <f>+[67]Sheet1!$R$82</f>
        <v>0</v>
      </c>
      <c r="T148" s="34">
        <f>+[67]Sheet1!$S$82</f>
        <v>0</v>
      </c>
      <c r="U148" s="6"/>
      <c r="V148" s="203"/>
      <c r="W148" s="93">
        <v>2810896</v>
      </c>
      <c r="X148" s="93">
        <v>3194901.8800000004</v>
      </c>
      <c r="Y148" s="93">
        <v>3194901.8800000004</v>
      </c>
    </row>
    <row r="149" spans="1:25" ht="16.5" x14ac:dyDescent="0.3">
      <c r="A149" s="208"/>
      <c r="B149" s="14"/>
      <c r="C149" s="52"/>
      <c r="D149" s="90" t="s">
        <v>80</v>
      </c>
      <c r="E149" s="79"/>
      <c r="F149" s="79"/>
      <c r="G149" s="91" t="s">
        <v>26</v>
      </c>
      <c r="H149" s="97">
        <f>+[67]Sheet1!$G$56</f>
        <v>0</v>
      </c>
      <c r="I149" s="97"/>
      <c r="J149" s="110"/>
      <c r="K149" s="110"/>
      <c r="L149" s="116"/>
      <c r="M149" s="97"/>
      <c r="N149" s="97"/>
      <c r="O149" s="97"/>
      <c r="P149" s="97"/>
      <c r="Q149" s="97"/>
      <c r="R149" s="97"/>
      <c r="S149" s="97"/>
      <c r="T149" s="97"/>
      <c r="U149" s="6"/>
      <c r="V149" s="203"/>
      <c r="W149" s="93">
        <v>465967.9</v>
      </c>
    </row>
    <row r="150" spans="1:25" ht="16.5" x14ac:dyDescent="0.3">
      <c r="A150" s="208"/>
      <c r="B150" s="14"/>
      <c r="C150" s="52"/>
      <c r="D150" s="15" t="s">
        <v>76</v>
      </c>
      <c r="E150" s="24"/>
      <c r="F150" s="24"/>
      <c r="G150" s="54" t="s">
        <v>26</v>
      </c>
      <c r="H150" s="34">
        <f>SUBTOTAL(9,H148:H149)</f>
        <v>0</v>
      </c>
      <c r="I150" s="34"/>
      <c r="J150" s="37"/>
      <c r="K150" s="37"/>
      <c r="L150" s="115"/>
      <c r="M150" s="34">
        <f>SUBTOTAL(9,M148:M149)</f>
        <v>37392.959999999999</v>
      </c>
      <c r="N150" s="34"/>
      <c r="O150" s="34"/>
      <c r="P150" s="34"/>
      <c r="Q150" s="34"/>
      <c r="R150" s="34">
        <f>SUBTOTAL(9,R148:R149)</f>
        <v>37392.959999999999</v>
      </c>
      <c r="S150" s="34">
        <f>SUBTOTAL(9,S148:S149)</f>
        <v>0</v>
      </c>
      <c r="T150" s="34">
        <f>SUBTOTAL(9,T148:T149)</f>
        <v>0</v>
      </c>
      <c r="U150" s="6"/>
      <c r="V150" s="203"/>
      <c r="W150" s="93">
        <v>3276863.9</v>
      </c>
      <c r="X150" s="93">
        <v>3194901.8800000004</v>
      </c>
      <c r="Y150" s="93">
        <v>3194901.8800000004</v>
      </c>
    </row>
    <row r="151" spans="1:25" ht="16.5" x14ac:dyDescent="0.3">
      <c r="A151" s="208"/>
      <c r="B151" s="14"/>
      <c r="C151" s="52"/>
      <c r="D151" s="90"/>
      <c r="E151" s="79"/>
      <c r="F151" s="79"/>
      <c r="G151" s="91"/>
      <c r="H151" s="97"/>
      <c r="I151" s="97"/>
      <c r="J151" s="110"/>
      <c r="K151" s="110"/>
      <c r="L151" s="116"/>
      <c r="M151" s="97"/>
      <c r="N151" s="97"/>
      <c r="O151" s="97"/>
      <c r="P151" s="97"/>
      <c r="Q151" s="97"/>
      <c r="R151" s="97"/>
      <c r="S151" s="97"/>
      <c r="T151" s="97"/>
      <c r="U151" s="112"/>
      <c r="V151" s="203">
        <f t="shared" ref="V151:V159" si="5">+H151-W151</f>
        <v>0</v>
      </c>
    </row>
    <row r="152" spans="1:25" ht="16.5" x14ac:dyDescent="0.3">
      <c r="A152" s="208"/>
      <c r="B152" s="14"/>
      <c r="C152" s="52"/>
      <c r="D152" s="15"/>
      <c r="E152" s="24"/>
      <c r="F152" s="24"/>
      <c r="G152" s="54"/>
      <c r="H152" s="34"/>
      <c r="I152" s="34"/>
      <c r="J152" s="37"/>
      <c r="K152" s="37"/>
      <c r="L152" s="115"/>
      <c r="M152" s="34"/>
      <c r="N152" s="34"/>
      <c r="O152" s="34"/>
      <c r="P152" s="34"/>
      <c r="Q152" s="34"/>
      <c r="R152" s="34"/>
      <c r="S152" s="34"/>
      <c r="T152" s="34"/>
      <c r="U152" s="6"/>
      <c r="V152" s="203">
        <f t="shared" si="5"/>
        <v>0</v>
      </c>
    </row>
    <row r="153" spans="1:25" ht="16.5" x14ac:dyDescent="0.3">
      <c r="A153" s="208"/>
      <c r="B153" s="14"/>
      <c r="C153" s="52"/>
      <c r="D153" s="15" t="s">
        <v>58</v>
      </c>
      <c r="E153" s="24"/>
      <c r="F153" s="24"/>
      <c r="G153" s="54"/>
      <c r="H153" s="46"/>
      <c r="I153" s="46"/>
      <c r="J153" s="145"/>
      <c r="K153" s="31"/>
      <c r="L153" s="115"/>
      <c r="M153" s="46"/>
      <c r="N153" s="46"/>
      <c r="O153" s="46"/>
      <c r="P153" s="46"/>
      <c r="Q153" s="46"/>
      <c r="R153" s="46"/>
      <c r="S153" s="46"/>
      <c r="T153" s="46"/>
      <c r="U153" s="6"/>
      <c r="V153" s="203">
        <f t="shared" si="5"/>
        <v>0</v>
      </c>
    </row>
    <row r="154" spans="1:25" ht="16.5" x14ac:dyDescent="0.3">
      <c r="A154" s="208"/>
      <c r="B154" s="14"/>
      <c r="C154" s="52"/>
      <c r="D154" s="15" t="s">
        <v>124</v>
      </c>
      <c r="E154" s="24"/>
      <c r="F154" s="24"/>
      <c r="G154" s="54" t="s">
        <v>59</v>
      </c>
      <c r="H154" s="46">
        <f>+[67]Sheet1!$G$84</f>
        <v>0</v>
      </c>
      <c r="I154" s="46"/>
      <c r="J154" s="145"/>
      <c r="K154" s="31"/>
      <c r="L154" s="117">
        <f>+[67]Sheet1!$K$111</f>
        <v>0</v>
      </c>
      <c r="M154" s="46">
        <f>+[67]Sheet1!L111</f>
        <v>0</v>
      </c>
      <c r="N154" s="46">
        <f>+[67]Sheet1!$G$107</f>
        <v>0</v>
      </c>
      <c r="O154" s="46">
        <f>+[67]Sheet1!$G$107</f>
        <v>0</v>
      </c>
      <c r="P154" s="46">
        <f>+[67]Sheet1!$G$107</f>
        <v>0</v>
      </c>
      <c r="Q154" s="46">
        <f>+[67]Sheet1!$G$107</f>
        <v>0</v>
      </c>
      <c r="R154" s="46">
        <f>+[67]Sheet1!Q111</f>
        <v>0</v>
      </c>
      <c r="S154" s="46">
        <f>+[67]Sheet1!$R$111</f>
        <v>0</v>
      </c>
      <c r="T154" s="46">
        <f>+[67]Sheet1!S111</f>
        <v>0</v>
      </c>
      <c r="U154" s="6"/>
      <c r="V154" s="203">
        <f t="shared" si="5"/>
        <v>-9414867</v>
      </c>
      <c r="W154" s="93">
        <v>9414867</v>
      </c>
      <c r="X154" s="93">
        <v>9243790.5200000033</v>
      </c>
      <c r="Y154" s="93">
        <v>9243790.5200000033</v>
      </c>
    </row>
    <row r="155" spans="1:25" ht="16.5" x14ac:dyDescent="0.3">
      <c r="A155" s="208"/>
      <c r="B155" s="14"/>
      <c r="C155" s="52"/>
      <c r="D155" s="90" t="s">
        <v>80</v>
      </c>
      <c r="E155" s="79"/>
      <c r="F155" s="79"/>
      <c r="G155" s="91" t="s">
        <v>59</v>
      </c>
      <c r="H155" s="81">
        <f>+[67]Sheet1!$G$93</f>
        <v>0</v>
      </c>
      <c r="I155" s="81"/>
      <c r="J155" s="82"/>
      <c r="K155" s="83"/>
      <c r="L155" s="116"/>
      <c r="M155" s="81"/>
      <c r="N155" s="81"/>
      <c r="O155" s="81"/>
      <c r="P155" s="81"/>
      <c r="Q155" s="81"/>
      <c r="R155" s="81"/>
      <c r="S155" s="81"/>
      <c r="T155" s="81"/>
      <c r="U155" s="6"/>
      <c r="V155" s="203">
        <f t="shared" si="5"/>
        <v>-66003.600000000006</v>
      </c>
      <c r="W155" s="93">
        <v>66003.600000000006</v>
      </c>
    </row>
    <row r="156" spans="1:25" ht="16.5" x14ac:dyDescent="0.3">
      <c r="A156" s="208"/>
      <c r="B156" s="14"/>
      <c r="C156" s="52"/>
      <c r="D156" s="15" t="s">
        <v>76</v>
      </c>
      <c r="E156" s="24"/>
      <c r="F156" s="24"/>
      <c r="G156" s="54" t="s">
        <v>59</v>
      </c>
      <c r="H156" s="46">
        <f>SUBTOTAL(9,H154:H155)</f>
        <v>0</v>
      </c>
      <c r="I156" s="46"/>
      <c r="J156" s="145"/>
      <c r="K156" s="31"/>
      <c r="L156" s="115"/>
      <c r="M156" s="46">
        <f t="shared" ref="M156:T156" si="6">SUBTOTAL(9,M154:M155)</f>
        <v>0</v>
      </c>
      <c r="N156" s="46">
        <f t="shared" si="6"/>
        <v>0</v>
      </c>
      <c r="O156" s="46">
        <f t="shared" si="6"/>
        <v>0</v>
      </c>
      <c r="P156" s="46">
        <f t="shared" si="6"/>
        <v>0</v>
      </c>
      <c r="Q156" s="46">
        <f t="shared" si="6"/>
        <v>0</v>
      </c>
      <c r="R156" s="46">
        <f t="shared" si="6"/>
        <v>0</v>
      </c>
      <c r="S156" s="46">
        <f t="shared" si="6"/>
        <v>0</v>
      </c>
      <c r="T156" s="46">
        <f t="shared" si="6"/>
        <v>0</v>
      </c>
      <c r="U156" s="6"/>
      <c r="V156" s="203">
        <f t="shared" si="5"/>
        <v>-9480870.5999999996</v>
      </c>
      <c r="W156" s="93">
        <v>9480870.5999999996</v>
      </c>
      <c r="X156" s="93">
        <v>9243790.5200000033</v>
      </c>
      <c r="Y156" s="93">
        <v>9243790.5200000033</v>
      </c>
    </row>
    <row r="157" spans="1:25" ht="16.5" x14ac:dyDescent="0.3">
      <c r="A157" s="208"/>
      <c r="B157" s="14"/>
      <c r="C157" s="52"/>
      <c r="D157" s="15"/>
      <c r="E157" s="24"/>
      <c r="F157" s="24"/>
      <c r="G157" s="54"/>
      <c r="H157" s="46"/>
      <c r="I157" s="46"/>
      <c r="J157" s="145"/>
      <c r="K157" s="31"/>
      <c r="L157" s="115"/>
      <c r="M157" s="46"/>
      <c r="N157" s="46"/>
      <c r="O157" s="46"/>
      <c r="P157" s="46"/>
      <c r="Q157" s="46"/>
      <c r="R157" s="46"/>
      <c r="S157" s="46"/>
      <c r="T157" s="46"/>
      <c r="U157" s="6"/>
      <c r="V157" s="203">
        <f t="shared" si="5"/>
        <v>0</v>
      </c>
    </row>
    <row r="158" spans="1:25" ht="16.5" x14ac:dyDescent="0.3">
      <c r="A158" s="208"/>
      <c r="B158" s="14"/>
      <c r="C158" s="52" t="s">
        <v>135</v>
      </c>
      <c r="D158" s="15"/>
      <c r="E158" s="24"/>
      <c r="F158" s="24"/>
      <c r="G158" s="54"/>
      <c r="H158" s="46"/>
      <c r="I158" s="46"/>
      <c r="J158" s="145"/>
      <c r="K158" s="31"/>
      <c r="L158" s="115"/>
      <c r="M158" s="46"/>
      <c r="N158" s="46"/>
      <c r="O158" s="46"/>
      <c r="P158" s="46"/>
      <c r="Q158" s="46"/>
      <c r="R158" s="46"/>
      <c r="S158" s="46"/>
      <c r="T158" s="46"/>
      <c r="U158" s="6"/>
      <c r="V158" s="203">
        <f t="shared" si="5"/>
        <v>0</v>
      </c>
    </row>
    <row r="159" spans="1:25" ht="16.5" x14ac:dyDescent="0.3">
      <c r="A159" s="208"/>
      <c r="B159" s="14"/>
      <c r="C159" s="52"/>
      <c r="D159" s="15"/>
      <c r="E159" s="24"/>
      <c r="F159" s="24"/>
      <c r="G159" s="54"/>
      <c r="H159" s="46"/>
      <c r="I159" s="46"/>
      <c r="J159" s="145"/>
      <c r="K159" s="31"/>
      <c r="L159" s="115"/>
      <c r="M159" s="46"/>
      <c r="N159" s="46"/>
      <c r="O159" s="46"/>
      <c r="P159" s="46"/>
      <c r="Q159" s="46"/>
      <c r="R159" s="46"/>
      <c r="S159" s="46"/>
      <c r="T159" s="46"/>
      <c r="U159" s="6"/>
      <c r="V159" s="203">
        <f t="shared" si="5"/>
        <v>0</v>
      </c>
    </row>
    <row r="160" spans="1:25" ht="16.5" x14ac:dyDescent="0.3">
      <c r="A160" s="208"/>
      <c r="B160" s="14"/>
      <c r="C160" s="52"/>
      <c r="D160" s="15"/>
      <c r="E160" s="24"/>
      <c r="F160" s="24"/>
      <c r="G160" s="54"/>
      <c r="H160" s="46"/>
      <c r="I160" s="46"/>
      <c r="J160" s="145"/>
      <c r="K160" s="31"/>
      <c r="L160" s="115"/>
      <c r="M160" s="46"/>
      <c r="N160" s="46"/>
      <c r="O160" s="46"/>
      <c r="P160" s="46"/>
      <c r="Q160" s="46"/>
      <c r="R160" s="46"/>
      <c r="S160" s="46"/>
      <c r="T160" s="46"/>
      <c r="U160" s="6"/>
    </row>
    <row r="161" spans="1:25" ht="16.5" x14ac:dyDescent="0.3">
      <c r="A161" s="208"/>
      <c r="B161" s="14"/>
      <c r="C161" s="52"/>
      <c r="D161" s="15"/>
      <c r="E161" s="24"/>
      <c r="F161" s="24"/>
      <c r="G161" s="54"/>
      <c r="H161" s="46"/>
      <c r="I161" s="46"/>
      <c r="J161" s="145"/>
      <c r="K161" s="31"/>
      <c r="L161" s="115"/>
      <c r="M161" s="46"/>
      <c r="N161" s="46"/>
      <c r="O161" s="46"/>
      <c r="P161" s="46"/>
      <c r="Q161" s="46"/>
      <c r="R161" s="46"/>
      <c r="S161" s="46"/>
      <c r="T161" s="46"/>
      <c r="U161" s="6"/>
    </row>
    <row r="162" spans="1:25" ht="16.5" x14ac:dyDescent="0.3">
      <c r="A162" s="208"/>
      <c r="B162" s="14"/>
      <c r="C162" s="52"/>
      <c r="D162" s="15"/>
      <c r="E162" s="24"/>
      <c r="F162" s="24"/>
      <c r="G162" s="54"/>
      <c r="H162" s="46"/>
      <c r="I162" s="46"/>
      <c r="J162" s="145"/>
      <c r="K162" s="31"/>
      <c r="L162" s="115"/>
      <c r="M162" s="46"/>
      <c r="N162" s="46"/>
      <c r="O162" s="46"/>
      <c r="P162" s="46"/>
      <c r="Q162" s="46"/>
      <c r="R162" s="46"/>
      <c r="S162" s="46"/>
      <c r="T162" s="46"/>
      <c r="U162" s="6"/>
    </row>
    <row r="163" spans="1:25" ht="16.5" x14ac:dyDescent="0.3">
      <c r="A163" s="208"/>
      <c r="B163" s="14"/>
      <c r="C163" s="52"/>
      <c r="D163" s="15"/>
      <c r="E163" s="24"/>
      <c r="F163" s="24"/>
      <c r="G163" s="54"/>
      <c r="H163" s="46"/>
      <c r="I163" s="46"/>
      <c r="J163" s="145"/>
      <c r="K163" s="31"/>
      <c r="L163" s="115"/>
      <c r="M163" s="46"/>
      <c r="N163" s="46"/>
      <c r="O163" s="46"/>
      <c r="P163" s="46"/>
      <c r="Q163" s="46"/>
      <c r="R163" s="46"/>
      <c r="S163" s="46"/>
      <c r="T163" s="46"/>
      <c r="U163" s="6"/>
    </row>
    <row r="164" spans="1:25" ht="16.5" x14ac:dyDescent="0.3">
      <c r="A164" s="208"/>
      <c r="B164" s="14"/>
      <c r="C164" s="55"/>
      <c r="D164" s="417" t="s">
        <v>60</v>
      </c>
      <c r="E164" s="418"/>
      <c r="F164" s="418"/>
      <c r="G164" s="419"/>
      <c r="H164" s="156">
        <f>+H145+H134+H115+H97+H136</f>
        <v>273115684661.10004</v>
      </c>
      <c r="I164" s="156"/>
      <c r="J164" s="157"/>
      <c r="K164" s="158"/>
      <c r="L164" s="159"/>
      <c r="M164" s="156">
        <f>+M145+M134+M115+M97+M136</f>
        <v>314136248518.29999</v>
      </c>
      <c r="N164" s="156" t="e">
        <f>SUM(N51:N156)-N166</f>
        <v>#REF!</v>
      </c>
      <c r="O164" s="156" t="e">
        <f>SUM(O51:O156)-O166</f>
        <v>#REF!</v>
      </c>
      <c r="P164" s="156" t="e">
        <f>SUM(P51:P156)-P166</f>
        <v>#REF!</v>
      </c>
      <c r="Q164" s="156" t="e">
        <f>SUM(Q51:Q156)-Q166</f>
        <v>#REF!</v>
      </c>
      <c r="R164" s="156">
        <f>+R145+R134+R115+R97+R136</f>
        <v>310010482518.29999</v>
      </c>
      <c r="S164" s="156">
        <f>+S145+S134+S115+S97+S136</f>
        <v>4125766000</v>
      </c>
      <c r="T164" s="156">
        <f>+T145+T134+T115+T97+T136</f>
        <v>16.399993896484375</v>
      </c>
      <c r="U164" s="151"/>
      <c r="W164" s="93">
        <v>353418944811.10004</v>
      </c>
      <c r="X164" s="93">
        <v>338594735423.65002</v>
      </c>
      <c r="Y164" s="93">
        <v>330278717072</v>
      </c>
    </row>
    <row r="165" spans="1:25" ht="16.5" x14ac:dyDescent="0.3">
      <c r="A165" s="208"/>
      <c r="B165" s="14"/>
      <c r="C165" s="69"/>
      <c r="D165" s="433"/>
      <c r="E165" s="434"/>
      <c r="F165" s="434"/>
      <c r="G165" s="435"/>
      <c r="H165" s="168">
        <f>+H150</f>
        <v>0</v>
      </c>
      <c r="I165" s="168"/>
      <c r="J165" s="169"/>
      <c r="K165" s="169"/>
      <c r="L165" s="170"/>
      <c r="M165" s="168">
        <f>+M150</f>
        <v>37392.959999999999</v>
      </c>
      <c r="N165" s="168"/>
      <c r="O165" s="168"/>
      <c r="P165" s="168"/>
      <c r="Q165" s="168"/>
      <c r="R165" s="168">
        <f>+R150</f>
        <v>37392.959999999999</v>
      </c>
      <c r="S165" s="168">
        <f>+S150</f>
        <v>0</v>
      </c>
      <c r="T165" s="168">
        <f>+T150</f>
        <v>0</v>
      </c>
      <c r="U165" s="152"/>
      <c r="W165" s="93">
        <v>3276863.9</v>
      </c>
      <c r="X165" s="93">
        <v>3194901.8800000004</v>
      </c>
      <c r="Y165" s="93">
        <v>3194901.8800000004</v>
      </c>
    </row>
    <row r="166" spans="1:25" ht="16.5" x14ac:dyDescent="0.3">
      <c r="A166" s="208"/>
      <c r="B166" s="76"/>
      <c r="C166" s="126"/>
      <c r="D166" s="420"/>
      <c r="E166" s="421"/>
      <c r="F166" s="421"/>
      <c r="G166" s="422"/>
      <c r="H166" s="171">
        <f>+H156</f>
        <v>0</v>
      </c>
      <c r="I166" s="172"/>
      <c r="J166" s="173"/>
      <c r="K166" s="173"/>
      <c r="L166" s="165"/>
      <c r="M166" s="171">
        <f>+M156</f>
        <v>0</v>
      </c>
      <c r="N166" s="171" t="e">
        <f>+N153+N142+#REF!+N85+#REF!+#REF!</f>
        <v>#REF!</v>
      </c>
      <c r="O166" s="171" t="e">
        <f>+O153+O142+#REF!+O85+#REF!+#REF!</f>
        <v>#REF!</v>
      </c>
      <c r="P166" s="171" t="e">
        <f>+P153+P142+#REF!+P85+#REF!+#REF!</f>
        <v>#REF!</v>
      </c>
      <c r="Q166" s="171" t="e">
        <f>+Q153+Q142+#REF!+Q85+#REF!+#REF!</f>
        <v>#REF!</v>
      </c>
      <c r="R166" s="171">
        <f>+R156</f>
        <v>0</v>
      </c>
      <c r="S166" s="171">
        <f>+S156</f>
        <v>0</v>
      </c>
      <c r="T166" s="171">
        <f>+T156</f>
        <v>0</v>
      </c>
      <c r="U166" s="153"/>
      <c r="W166" s="93">
        <v>9480870.5999999996</v>
      </c>
      <c r="X166" s="93">
        <v>9243790.5200000033</v>
      </c>
      <c r="Y166" s="93">
        <v>9243790.5200000033</v>
      </c>
    </row>
  </sheetData>
  <mergeCells count="11">
    <mergeCell ref="B5:B6"/>
    <mergeCell ref="D5:G6"/>
    <mergeCell ref="B1:U1"/>
    <mergeCell ref="D4:G4"/>
    <mergeCell ref="D164:G166"/>
    <mergeCell ref="D15:G16"/>
    <mergeCell ref="B18:B19"/>
    <mergeCell ref="D18:G19"/>
    <mergeCell ref="D79:G80"/>
    <mergeCell ref="B82:B83"/>
    <mergeCell ref="D82:G83"/>
  </mergeCells>
  <pageMargins left="0.27559055118110237" right="0.23622047244094491" top="0.35433070866141736" bottom="0.43307086614173229" header="0.19685039370078741" footer="0.19685039370078741"/>
  <pageSetup paperSize="9" scale="90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PERINCIAN TAHUNAN)</vt:lpstr>
      <vt:lpstr>PERINCIAN PROYEK</vt:lpstr>
      <vt:lpstr>Sheet2</vt:lpstr>
      <vt:lpstr>Sheet3</vt:lpstr>
      <vt:lpstr>Sheet1</vt:lpstr>
      <vt:lpstr>'PERINCIAN PROYEK'!Print_Area</vt:lpstr>
      <vt:lpstr>'PERINCIAN TAHUNAN)'!Print_Area</vt:lpstr>
      <vt:lpstr>Sheet2!Print_Area</vt:lpstr>
      <vt:lpstr>'PERINCIAN PROYEK'!Print_Titles</vt:lpstr>
      <vt:lpstr>Sheet2!Print_Titles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Untung</dc:creator>
  <cp:lastModifiedBy>Untung Suradi</cp:lastModifiedBy>
  <cp:lastPrinted>2019-10-30T07:24:49Z</cp:lastPrinted>
  <dcterms:created xsi:type="dcterms:W3CDTF">2016-02-01T03:44:17Z</dcterms:created>
  <dcterms:modified xsi:type="dcterms:W3CDTF">2019-10-31T02:53:26Z</dcterms:modified>
</cp:coreProperties>
</file>