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1295" windowHeight="5580" tabRatio="597" activeTab="5"/>
  </bookViews>
  <sheets>
    <sheet name="AKB" sheetId="4" r:id="rId1"/>
    <sheet name="GIP" sheetId="6" r:id="rId2"/>
    <sheet name="GBL" sheetId="54" r:id="rId3"/>
    <sheet name="GBL (2)" sheetId="60" r:id="rId4"/>
    <sheet name="VENT" sheetId="61" r:id="rId5"/>
    <sheet name="HMP" sheetId="52" r:id="rId6"/>
    <sheet name="HJP.TG" sheetId="11" r:id="rId7"/>
    <sheet name="JKP" sheetId="12" r:id="rId8"/>
    <sheet name="LIKIN" sheetId="62" r:id="rId9"/>
    <sheet name="MAM" sheetId="8" r:id="rId10"/>
    <sheet name="MCM" sheetId="9" r:id="rId11"/>
    <sheet name="OCHIAI" sheetId="13" r:id="rId12"/>
    <sheet name="PSC" sheetId="29" r:id="rId13"/>
    <sheet name="ROOT" sheetId="55" r:id="rId14"/>
    <sheet name="SAN" sheetId="17" r:id="rId15"/>
    <sheet name="SIGMA" sheetId="15" r:id="rId16"/>
    <sheet name="TAIYO" sheetId="56" r:id="rId17"/>
    <sheet name="T.BOON" sheetId="14" r:id="rId18"/>
    <sheet name="ZHE JIANG" sheetId="59" r:id="rId19"/>
    <sheet name="ZUNLI" sheetId="58" r:id="rId20"/>
    <sheet name="VTG" sheetId="57" r:id="rId21"/>
  </sheets>
  <definedNames>
    <definedName name="_xlnm.Print_Area" localSheetId="0">AKB!$B$1:$G$58</definedName>
    <definedName name="_xlnm.Print_Area" localSheetId="2">GBL!$B$1:$I$71</definedName>
    <definedName name="_xlnm.Print_Area" localSheetId="3">'GBL (2)'!$B$1:$I$68</definedName>
    <definedName name="_xlnm.Print_Area" localSheetId="1">GIP!$B$1:$G$76</definedName>
    <definedName name="_xlnm.Print_Area" localSheetId="6">HJP.TG!$B$1:$G$44</definedName>
    <definedName name="_xlnm.Print_Area" localSheetId="5">HMP!$B$1:$G$155</definedName>
    <definedName name="_xlnm.Print_Area" localSheetId="7">JKP!$B$1:$G$46</definedName>
    <definedName name="_xlnm.Print_Area" localSheetId="8">LIKIN!$B$1:$G$9</definedName>
    <definedName name="_xlnm.Print_Area" localSheetId="9">MAM!$B$1:$G$11</definedName>
    <definedName name="_xlnm.Print_Area" localSheetId="10">MCM!$B$1:$G$9</definedName>
    <definedName name="_xlnm.Print_Area" localSheetId="11">OCHIAI!$B$1:$G$26</definedName>
    <definedName name="_xlnm.Print_Area" localSheetId="12">PSC!$B$1:$G$9</definedName>
    <definedName name="_xlnm.Print_Area" localSheetId="13">ROOT!$B$1:$I$8</definedName>
    <definedName name="_xlnm.Print_Area" localSheetId="14">SAN!$B$1:$G$9</definedName>
    <definedName name="_xlnm.Print_Area" localSheetId="15">SIGMA!$B$1:$G$25</definedName>
    <definedName name="_xlnm.Print_Area" localSheetId="17">T.BOON!$B$1:$G$8</definedName>
    <definedName name="_xlnm.Print_Area" localSheetId="16">TAIYO!$B$1:$I$15</definedName>
    <definedName name="_xlnm.Print_Area" localSheetId="4">VENT!$B$1:$I$31</definedName>
    <definedName name="_xlnm.Print_Area" localSheetId="20">VTG!$B$1:$I$11</definedName>
    <definedName name="_xlnm.Print_Area" localSheetId="18">'ZHE JIANG'!$B$1:$I$16</definedName>
    <definedName name="_xlnm.Print_Area" localSheetId="19">ZUNLI!$B$1:$I$10</definedName>
    <definedName name="_xlnm.Print_Titles" localSheetId="0">AKB!$1:$5</definedName>
    <definedName name="_xlnm.Print_Titles" localSheetId="2">GBL!$1:$5</definedName>
    <definedName name="_xlnm.Print_Titles" localSheetId="3">'GBL (2)'!$1:$5</definedName>
    <definedName name="_xlnm.Print_Titles" localSheetId="1">GIP!$1:$5</definedName>
    <definedName name="_xlnm.Print_Titles" localSheetId="6">HJP.TG!$1:$5</definedName>
    <definedName name="_xlnm.Print_Titles" localSheetId="5">HMP!$1:$5</definedName>
    <definedName name="_xlnm.Print_Titles" localSheetId="7">JKP!$1:$5</definedName>
    <definedName name="_xlnm.Print_Titles" localSheetId="11">OCHIAI!$1:$5</definedName>
    <definedName name="_xlnm.Print_Titles" localSheetId="13">ROOT!$1:$5</definedName>
    <definedName name="_xlnm.Print_Titles" localSheetId="16">TAIYO!$1:$5</definedName>
    <definedName name="_xlnm.Print_Titles" localSheetId="4">VENT!$1:$5</definedName>
    <definedName name="_xlnm.Print_Titles" localSheetId="20">VTG!$1:$5</definedName>
    <definedName name="_xlnm.Print_Titles" localSheetId="18">'ZHE JIANG'!$1:$5</definedName>
    <definedName name="_xlnm.Print_Titles" localSheetId="19">ZUNLI!$1:$5</definedName>
  </definedNames>
  <calcPr calcId="124519"/>
</workbook>
</file>

<file path=xl/calcChain.xml><?xml version="1.0" encoding="utf-8"?>
<calcChain xmlns="http://schemas.openxmlformats.org/spreadsheetml/2006/main">
  <c r="I10" i="58"/>
  <c r="H10"/>
  <c r="J49" i="11" l="1"/>
  <c r="I49"/>
  <c r="G48"/>
  <c r="G49" s="1"/>
  <c r="L38" i="61"/>
  <c r="K38"/>
  <c r="K77" i="60"/>
  <c r="J175" i="52" l="1"/>
  <c r="I176"/>
  <c r="G175"/>
  <c r="G158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57"/>
  <c r="G156"/>
  <c r="I70" i="60"/>
  <c r="I71" s="1"/>
  <c r="I72" s="1"/>
  <c r="I73" s="1"/>
  <c r="I74" s="1"/>
  <c r="I75" s="1"/>
  <c r="I76" s="1"/>
  <c r="I69"/>
  <c r="L77"/>
  <c r="J86" i="6"/>
  <c r="G12" i="8" l="1"/>
  <c r="E158" i="52" l="1"/>
  <c r="E74" i="60"/>
  <c r="E75"/>
  <c r="G10" i="17" l="1"/>
  <c r="G9"/>
  <c r="G8"/>
  <c r="I28" i="15"/>
  <c r="I29" i="13"/>
  <c r="I48" i="12"/>
  <c r="H38" i="61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I86" i="6" l="1"/>
  <c r="I65" i="4" l="1"/>
  <c r="J65"/>
  <c r="G79" i="6"/>
  <c r="G80" s="1"/>
  <c r="G81" s="1"/>
  <c r="G82" s="1"/>
  <c r="G83" s="1"/>
  <c r="G84" s="1"/>
  <c r="G85" s="1"/>
  <c r="G86" s="1"/>
  <c r="G87" s="1"/>
  <c r="H77" i="60"/>
  <c r="H78"/>
  <c r="H79"/>
  <c r="H80"/>
  <c r="I16" i="56" l="1"/>
  <c r="H16"/>
  <c r="I17" i="59" l="1"/>
  <c r="I18" s="1"/>
  <c r="I19" s="1"/>
  <c r="I20" s="1"/>
  <c r="I21" s="1"/>
  <c r="H19"/>
  <c r="H20" s="1"/>
  <c r="H21" s="1"/>
  <c r="H18"/>
  <c r="H17"/>
  <c r="E46" i="11" l="1"/>
  <c r="I34"/>
  <c r="I76" i="6"/>
  <c r="K66" i="60"/>
  <c r="E64"/>
  <c r="I64" l="1"/>
  <c r="I65" s="1"/>
  <c r="I66" s="1"/>
  <c r="I67" s="1"/>
  <c r="L31" i="61"/>
  <c r="J155" i="52"/>
  <c r="E154"/>
  <c r="I25" i="15" l="1"/>
  <c r="J25"/>
  <c r="I23"/>
  <c r="J25" i="13"/>
  <c r="J44" i="11"/>
  <c r="I44"/>
  <c r="I155" i="52" l="1"/>
  <c r="J76" i="6"/>
  <c r="J58" i="4"/>
  <c r="K31" i="61" l="1"/>
  <c r="I25" i="13"/>
  <c r="I58" i="4"/>
  <c r="G68" i="60"/>
  <c r="H30" i="61"/>
  <c r="I30"/>
  <c r="H31"/>
  <c r="I31"/>
  <c r="I16" i="59" l="1"/>
  <c r="H16"/>
  <c r="G27" i="13" l="1"/>
  <c r="G28" s="1"/>
  <c r="G29" s="1"/>
  <c r="G30" s="1"/>
  <c r="G31" s="1"/>
  <c r="G32" s="1"/>
  <c r="G33" s="1"/>
  <c r="G40" i="11"/>
  <c r="G41" s="1"/>
  <c r="G42" s="1"/>
  <c r="G43" s="1"/>
  <c r="G44" s="1"/>
  <c r="I15" i="56"/>
  <c r="H15"/>
  <c r="G9" i="62" l="1"/>
  <c r="G10" s="1"/>
  <c r="G7"/>
  <c r="I43" i="11"/>
  <c r="I38"/>
  <c r="E126" i="52" l="1"/>
  <c r="G11" i="8" l="1"/>
  <c r="E42" i="11" l="1"/>
  <c r="H64" i="60"/>
  <c r="H65" s="1"/>
  <c r="H66" s="1"/>
  <c r="H67" s="1"/>
  <c r="H68" s="1"/>
  <c r="H63"/>
  <c r="I59" i="6" l="1"/>
  <c r="I52" i="4"/>
  <c r="J52"/>
  <c r="K25" i="61" l="1"/>
  <c r="I22" i="13" l="1"/>
  <c r="I44" i="12"/>
  <c r="J44"/>
  <c r="G124" i="52"/>
  <c r="I142"/>
  <c r="I144" s="1"/>
  <c r="L61" i="60" l="1"/>
  <c r="G70" i="6"/>
  <c r="G71" s="1"/>
  <c r="J40" i="11"/>
  <c r="E40"/>
  <c r="G38"/>
  <c r="G14" i="59" l="1"/>
  <c r="G22" i="61"/>
  <c r="G23"/>
  <c r="G24"/>
  <c r="G25"/>
  <c r="G21"/>
  <c r="L25" l="1"/>
  <c r="H15" i="59" l="1"/>
  <c r="E152" i="52"/>
  <c r="E151"/>
  <c r="I70" i="6" l="1"/>
  <c r="I69" l="1"/>
  <c r="I14" i="59" l="1"/>
  <c r="I15" s="1"/>
  <c r="H14"/>
  <c r="G10" i="8"/>
  <c r="E135" i="52"/>
  <c r="E62" i="60"/>
  <c r="E61"/>
  <c r="E60"/>
  <c r="K63" s="1"/>
  <c r="E129" i="52"/>
  <c r="E141"/>
  <c r="L20" i="61"/>
  <c r="K11" l="1"/>
  <c r="I10" l="1"/>
  <c r="I11" s="1"/>
  <c r="I12" s="1"/>
  <c r="I13" s="1"/>
  <c r="I14" s="1"/>
  <c r="I15" s="1"/>
  <c r="I16" s="1"/>
  <c r="I17" s="1"/>
  <c r="I18" s="1"/>
  <c r="I19" s="1"/>
  <c r="I20" s="1"/>
  <c r="I9"/>
  <c r="H10"/>
  <c r="H11" s="1"/>
  <c r="H12" s="1"/>
  <c r="H13" s="1"/>
  <c r="H14" s="1"/>
  <c r="H15" s="1"/>
  <c r="H16" s="1"/>
  <c r="H17" s="1"/>
  <c r="H18" s="1"/>
  <c r="H19" s="1"/>
  <c r="H20" s="1"/>
  <c r="H9"/>
  <c r="I8"/>
  <c r="H8"/>
  <c r="G9"/>
  <c r="G10"/>
  <c r="G11"/>
  <c r="L11"/>
  <c r="K20"/>
  <c r="G20"/>
  <c r="G19"/>
  <c r="G18"/>
  <c r="G17"/>
  <c r="G16"/>
  <c r="G15"/>
  <c r="G14"/>
  <c r="G13"/>
  <c r="G12"/>
  <c r="I7"/>
  <c r="H7"/>
  <c r="G51" i="60"/>
  <c r="G50"/>
  <c r="G49"/>
  <c r="M48"/>
  <c r="G48"/>
  <c r="G47"/>
  <c r="G46"/>
  <c r="K51" s="1"/>
  <c r="E45"/>
  <c r="L45" s="1"/>
  <c r="G37"/>
  <c r="E35"/>
  <c r="E34"/>
  <c r="E33"/>
  <c r="E32"/>
  <c r="K31"/>
  <c r="G31"/>
  <c r="G30"/>
  <c r="G29"/>
  <c r="G28"/>
  <c r="E26"/>
  <c r="L32" s="1"/>
  <c r="G22"/>
  <c r="L25" s="1"/>
  <c r="E21"/>
  <c r="L20"/>
  <c r="E20"/>
  <c r="E19"/>
  <c r="E18"/>
  <c r="E17"/>
  <c r="E16"/>
  <c r="E15"/>
  <c r="E11"/>
  <c r="I7"/>
  <c r="I8" s="1"/>
  <c r="I9" s="1"/>
  <c r="I10" s="1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14" i="56"/>
  <c r="I14"/>
  <c r="L59" i="60" l="1"/>
  <c r="H26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I1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L31"/>
  <c r="H21" i="61"/>
  <c r="H22" s="1"/>
  <c r="H23" s="1"/>
  <c r="H24" s="1"/>
  <c r="H25" s="1"/>
  <c r="H26" s="1"/>
  <c r="H27" s="1"/>
  <c r="H28" s="1"/>
  <c r="H29" s="1"/>
  <c r="H32" s="1"/>
  <c r="H33" s="1"/>
  <c r="H34" s="1"/>
  <c r="H35" s="1"/>
  <c r="H36" s="1"/>
  <c r="H37" s="1"/>
  <c r="I21"/>
  <c r="I22" s="1"/>
  <c r="I23" s="1"/>
  <c r="I24" s="1"/>
  <c r="I25" s="1"/>
  <c r="I26" s="1"/>
  <c r="I27" s="1"/>
  <c r="I28" s="1"/>
  <c r="I29" s="1"/>
  <c r="I32" s="1"/>
  <c r="I33" s="1"/>
  <c r="I34" s="1"/>
  <c r="I35" s="1"/>
  <c r="I36" s="1"/>
  <c r="I37" s="1"/>
  <c r="E107" i="52"/>
  <c r="E110"/>
  <c r="E118"/>
  <c r="I70" i="54"/>
  <c r="I71" s="1"/>
  <c r="H70"/>
  <c r="H71" s="1"/>
  <c r="J34" i="11"/>
  <c r="I26" i="60" l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H58"/>
  <c r="H59" s="1"/>
  <c r="H60" s="1"/>
  <c r="H61" s="1"/>
  <c r="H62" s="1"/>
  <c r="H69" s="1"/>
  <c r="H70" s="1"/>
  <c r="H71" s="1"/>
  <c r="H72" s="1"/>
  <c r="H73" s="1"/>
  <c r="H74" s="1"/>
  <c r="H75" s="1"/>
  <c r="H76" s="1"/>
  <c r="I121" i="52"/>
  <c r="I35" i="12"/>
  <c r="K71" i="54"/>
  <c r="E62"/>
  <c r="I17" i="15"/>
  <c r="I60" i="6"/>
  <c r="I49" i="60" l="1"/>
  <c r="I50" s="1"/>
  <c r="I51" s="1"/>
  <c r="I52" s="1"/>
  <c r="I53" s="1"/>
  <c r="I54" s="1"/>
  <c r="I55" s="1"/>
  <c r="I56" s="1"/>
  <c r="I57" s="1"/>
  <c r="J20" i="15"/>
  <c r="I20"/>
  <c r="J20" i="13"/>
  <c r="I20"/>
  <c r="J36" i="12"/>
  <c r="I36"/>
  <c r="J59" i="6"/>
  <c r="J45" i="4"/>
  <c r="G64" i="54"/>
  <c r="G65"/>
  <c r="G66"/>
  <c r="G67"/>
  <c r="G68"/>
  <c r="G69"/>
  <c r="G70"/>
  <c r="G71"/>
  <c r="G63"/>
  <c r="L71" s="1"/>
  <c r="I13" i="56"/>
  <c r="H13"/>
  <c r="G13"/>
  <c r="G12" i="59"/>
  <c r="I12" s="1"/>
  <c r="I13" s="1"/>
  <c r="G32" i="11"/>
  <c r="G33" s="1"/>
  <c r="H13" i="59"/>
  <c r="H12"/>
  <c r="I58" i="60" l="1"/>
  <c r="I59" s="1"/>
  <c r="I45" i="4"/>
  <c r="I60" i="60" l="1"/>
  <c r="I61" s="1"/>
  <c r="I62" s="1"/>
  <c r="I63" s="1"/>
  <c r="I68" s="1"/>
  <c r="E60" i="54"/>
  <c r="E61"/>
  <c r="E59"/>
  <c r="E57"/>
  <c r="E58"/>
  <c r="E56"/>
  <c r="L62" s="1"/>
  <c r="I77" i="60" l="1"/>
  <c r="I78" s="1"/>
  <c r="I79" s="1"/>
  <c r="I80" s="1"/>
  <c r="G9" i="8"/>
  <c r="I30" i="12" l="1"/>
  <c r="I28" i="11"/>
  <c r="K55" i="54" l="1"/>
  <c r="I19" i="6"/>
  <c r="G35"/>
  <c r="G36" s="1"/>
  <c r="G37" s="1"/>
  <c r="G38" s="1"/>
  <c r="G39" s="1"/>
  <c r="G40" s="1"/>
  <c r="G41" s="1"/>
  <c r="G42" s="1"/>
  <c r="G43" s="1"/>
  <c r="G44" s="1"/>
  <c r="G45" s="1"/>
  <c r="G46" s="1"/>
  <c r="G47" s="1"/>
  <c r="I46"/>
  <c r="I47" s="1"/>
  <c r="J30" i="12" l="1"/>
  <c r="I38" i="4"/>
  <c r="I9" i="59" l="1"/>
  <c r="H11"/>
  <c r="I10"/>
  <c r="G48" i="54" l="1"/>
  <c r="G49"/>
  <c r="G50"/>
  <c r="G51"/>
  <c r="G52"/>
  <c r="G53"/>
  <c r="G54"/>
  <c r="G55"/>
  <c r="G47"/>
  <c r="L55" s="1"/>
  <c r="G14" i="15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E46" i="54"/>
  <c r="L46" s="1"/>
  <c r="E74" i="52"/>
  <c r="H9" i="59"/>
  <c r="H10" s="1"/>
  <c r="E25" i="11"/>
  <c r="E93" i="52"/>
  <c r="E90"/>
  <c r="E80" l="1"/>
  <c r="J99" s="1"/>
  <c r="G38" i="54"/>
  <c r="I33" i="6"/>
  <c r="I24" i="12"/>
  <c r="J23" i="11"/>
  <c r="I23" l="1"/>
  <c r="G8" i="8" l="1"/>
  <c r="J32" i="4"/>
  <c r="G17" i="11" l="1"/>
  <c r="G18" s="1"/>
  <c r="G19" s="1"/>
  <c r="G20" s="1"/>
  <c r="G21" s="1"/>
  <c r="G22" s="1"/>
  <c r="G23" s="1"/>
  <c r="I34" i="6"/>
  <c r="G24" i="11" l="1"/>
  <c r="G25" s="1"/>
  <c r="G26" s="1"/>
  <c r="G27" s="1"/>
  <c r="I12" i="56"/>
  <c r="H12"/>
  <c r="I11"/>
  <c r="H11"/>
  <c r="G11"/>
  <c r="I7" i="59" l="1"/>
  <c r="H7"/>
  <c r="H8" s="1"/>
  <c r="E34" i="54"/>
  <c r="E35"/>
  <c r="E36"/>
  <c r="E33"/>
  <c r="I8" i="59" l="1"/>
  <c r="I9" i="58"/>
  <c r="H9"/>
  <c r="I10" i="56" l="1"/>
  <c r="H10"/>
  <c r="I9"/>
  <c r="H9"/>
  <c r="E69" i="52"/>
  <c r="E59"/>
  <c r="E53"/>
  <c r="E67"/>
  <c r="E61" l="1"/>
  <c r="E58"/>
  <c r="E55"/>
  <c r="E51"/>
  <c r="J70" s="1"/>
  <c r="I16" i="11"/>
  <c r="G12" i="12" l="1"/>
  <c r="G13"/>
  <c r="G14" s="1"/>
  <c r="G15" s="1"/>
  <c r="G16" s="1"/>
  <c r="G17" s="1"/>
  <c r="G18" s="1"/>
  <c r="G19" s="1"/>
  <c r="I16"/>
  <c r="K32" i="54"/>
  <c r="G30" l="1"/>
  <c r="G31"/>
  <c r="G32"/>
  <c r="G29"/>
  <c r="L32" s="1"/>
  <c r="J25" i="4" l="1"/>
  <c r="G9" i="56"/>
  <c r="G8" i="58"/>
  <c r="I8" s="1"/>
  <c r="I25" i="4"/>
  <c r="H8" i="58"/>
  <c r="E27" i="54"/>
  <c r="L33" s="1"/>
  <c r="E47" i="52" l="1"/>
  <c r="E45"/>
  <c r="E43"/>
  <c r="E39" l="1"/>
  <c r="E35" l="1"/>
  <c r="E32"/>
  <c r="E27" l="1"/>
  <c r="J48" s="1"/>
  <c r="H8" i="56"/>
  <c r="G22" i="54"/>
  <c r="E15" l="1"/>
  <c r="E11"/>
  <c r="E16" l="1"/>
  <c r="E17"/>
  <c r="E18"/>
  <c r="E19"/>
  <c r="E20"/>
  <c r="E21"/>
  <c r="E19" i="52"/>
  <c r="L9" i="56"/>
  <c r="J11" i="13"/>
  <c r="J11" i="12"/>
  <c r="J13" i="11"/>
  <c r="J16" i="4"/>
  <c r="H7" i="57"/>
  <c r="H7" i="58"/>
  <c r="I13" i="11"/>
  <c r="I11" i="6"/>
  <c r="I16" i="4"/>
  <c r="E14" i="52"/>
  <c r="J24" s="1"/>
  <c r="J25" s="1"/>
  <c r="G8" i="13"/>
  <c r="I7" i="54" l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G8" i="4"/>
  <c r="G9" s="1"/>
  <c r="G10" s="1"/>
  <c r="G11" s="1"/>
  <c r="G12" s="1"/>
  <c r="G13" s="1"/>
  <c r="H37" i="54" l="1"/>
  <c r="H38" s="1"/>
  <c r="H39" s="1"/>
  <c r="H40" s="1"/>
  <c r="H41" l="1"/>
  <c r="H42" s="1"/>
  <c r="H43" s="1"/>
  <c r="H44" s="1"/>
  <c r="J55" i="12"/>
  <c r="J63" i="11"/>
  <c r="H45" i="54" l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I63" i="11"/>
  <c r="I116" i="6"/>
  <c r="I117" s="1"/>
  <c r="I55" i="12" l="1"/>
  <c r="J196" i="52" l="1"/>
  <c r="J198" s="1"/>
  <c r="M49" i="54" l="1"/>
  <c r="I95" i="6"/>
  <c r="J21" i="13" l="1"/>
  <c r="J104" i="6"/>
  <c r="I103"/>
  <c r="I104" s="1"/>
  <c r="J58" i="11" l="1"/>
  <c r="I58"/>
  <c r="I96" i="6" l="1"/>
  <c r="I97" s="1"/>
  <c r="J15" i="13" l="1"/>
  <c r="J34" i="12" l="1"/>
  <c r="J51" i="6" l="1"/>
  <c r="I14" i="14" l="1"/>
  <c r="J31" i="4" l="1"/>
  <c r="I7" i="58" l="1"/>
  <c r="G11" i="29" l="1"/>
  <c r="G12" s="1"/>
  <c r="G13" s="1"/>
  <c r="G14" s="1"/>
  <c r="G15" s="1"/>
  <c r="G16" s="1"/>
  <c r="J53" i="52"/>
  <c r="L20" i="54" l="1"/>
  <c r="I36" l="1"/>
  <c r="I37" s="1"/>
  <c r="I38" s="1"/>
  <c r="I39" s="1"/>
  <c r="I40" s="1"/>
  <c r="J35" i="52"/>
  <c r="I41" i="54" l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G7" i="57" l="1"/>
  <c r="I7" s="1"/>
  <c r="I7" i="56"/>
  <c r="H7"/>
  <c r="I7" i="55"/>
  <c r="I8" s="1"/>
  <c r="I8" i="56" l="1"/>
  <c r="I11" i="15" l="1"/>
  <c r="I11" i="12"/>
  <c r="I9" i="14" l="1"/>
  <c r="G7" i="13" l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34" s="1"/>
  <c r="G7" i="9" l="1"/>
  <c r="G7" i="29" l="1"/>
  <c r="G8" s="1"/>
  <c r="G9" s="1"/>
  <c r="G10" s="1"/>
  <c r="G7" i="52" l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l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7" i="14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44" i="52" l="1"/>
  <c r="G45" s="1"/>
  <c r="G46" s="1"/>
  <c r="G47" s="1"/>
  <c r="G48" s="1"/>
  <c r="J36"/>
  <c r="G7" i="17"/>
  <c r="G7" i="8"/>
  <c r="G7" i="12"/>
  <c r="G8" s="1"/>
  <c r="G9" s="1"/>
  <c r="G10" s="1"/>
  <c r="G11" s="1"/>
  <c r="G20" s="1"/>
  <c r="G21" s="1"/>
  <c r="G22" s="1"/>
  <c r="G23" s="1"/>
  <c r="G24" s="1"/>
  <c r="G25" s="1"/>
  <c r="G26" s="1"/>
  <c r="G27" s="1"/>
  <c r="G28" s="1"/>
  <c r="G29" s="1"/>
  <c r="G7" i="11"/>
  <c r="G8" s="1"/>
  <c r="G9" s="1"/>
  <c r="G10" s="1"/>
  <c r="G11" s="1"/>
  <c r="G12" s="1"/>
  <c r="G13" s="1"/>
  <c r="G14" s="1"/>
  <c r="G15" s="1"/>
  <c r="G16" s="1"/>
  <c r="G28" s="1"/>
  <c r="G29" s="1"/>
  <c r="G30" s="1"/>
  <c r="G31" s="1"/>
  <c r="G34" s="1"/>
  <c r="G35" s="1"/>
  <c r="G36" s="1"/>
  <c r="G37" s="1"/>
  <c r="G39" s="1"/>
  <c r="G45" s="1"/>
  <c r="G46" s="1"/>
  <c r="G47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49" i="52" l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J71" s="1"/>
  <c r="I48"/>
  <c r="G30" i="12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" i="6"/>
  <c r="G8" s="1"/>
  <c r="G9" s="1"/>
  <c r="G10" s="1"/>
  <c r="G11" s="1"/>
  <c r="G12" s="1"/>
  <c r="G71" i="52" l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3" i="6"/>
  <c r="G14" s="1"/>
  <c r="G15" s="1"/>
  <c r="G16" s="1"/>
  <c r="G17" s="1"/>
  <c r="G18" s="1"/>
  <c r="I106" i="52" l="1"/>
  <c r="I109"/>
  <c r="G19" i="6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2" s="1"/>
  <c r="G73" s="1"/>
  <c r="G74" s="1"/>
  <c r="G75" s="1"/>
  <c r="G76" s="1"/>
  <c r="G77" s="1"/>
  <c r="G78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07" i="52" l="1"/>
  <c r="G108" s="1"/>
  <c r="G109" s="1"/>
  <c r="G110" s="1"/>
  <c r="G111" s="1"/>
  <c r="G112" s="1"/>
  <c r="G113" s="1"/>
  <c r="G114" s="1"/>
  <c r="G115" s="1"/>
  <c r="G116" s="1"/>
  <c r="G117" l="1"/>
  <c r="G118" s="1"/>
  <c r="G119" s="1"/>
  <c r="G120" s="1"/>
  <c r="G121" s="1"/>
  <c r="G122" s="1"/>
  <c r="G123" s="1"/>
  <c r="I120" l="1"/>
  <c r="G125" l="1"/>
  <c r="G126" s="1"/>
  <c r="G127" s="1"/>
  <c r="G128" s="1"/>
  <c r="G129" s="1"/>
  <c r="G130" s="1"/>
  <c r="G131" s="1"/>
  <c r="G132" s="1"/>
  <c r="G133" s="1"/>
  <c r="G134" s="1"/>
  <c r="G135" s="1"/>
  <c r="G136" l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76" l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l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I197"/>
  <c r="G7" i="15"/>
  <c r="G8" s="1"/>
  <c r="G9" s="1"/>
  <c r="G10" s="1"/>
  <c r="G11" s="1"/>
  <c r="G12" s="1"/>
  <c r="G13" s="1"/>
  <c r="G14" i="4" l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</calcChain>
</file>

<file path=xl/sharedStrings.xml><?xml version="1.0" encoding="utf-8"?>
<sst xmlns="http://schemas.openxmlformats.org/spreadsheetml/2006/main" count="1268" uniqueCount="736">
  <si>
    <t>NAMA SUPLIER : PT GALUNGGUNG INDOSTEEL PERKASA</t>
  </si>
  <si>
    <t>NAMA SUPLIER : HOTMAL JAYA PERKASA (TANGERANG)</t>
  </si>
  <si>
    <t>NAMA SUPLIER : JAYA KURNIA PERKASA</t>
  </si>
  <si>
    <t>NAMA SUPLIER : PT. MANDIRI AKSARA MULIA</t>
  </si>
  <si>
    <t>NAMA SUPLIER : PT. MENARA CIPTA METALINDO</t>
  </si>
  <si>
    <t>NAMA SUPLIER : CV. SIGMA INDONESIA MANUFACTURING</t>
  </si>
  <si>
    <t>NAMA SUPLIER : THREE BOND MANUFACTURING INDONESIA</t>
  </si>
  <si>
    <t>NAMA SUPLIER : OCHIAI MENARA INDONESIA</t>
  </si>
  <si>
    <t>SALDO</t>
  </si>
  <si>
    <t>DEBET</t>
  </si>
  <si>
    <t>Tgl / Bln</t>
  </si>
  <si>
    <t>No. Fakt.</t>
  </si>
  <si>
    <t>Keterangan</t>
  </si>
  <si>
    <t>KREDIT</t>
  </si>
  <si>
    <t>/ Thn</t>
  </si>
  <si>
    <t>Inv / Nota</t>
  </si>
  <si>
    <t>(RP.)</t>
  </si>
  <si>
    <t>( RP.)</t>
  </si>
  <si>
    <t>NAMA SUPLIER : ANUGRAH KEMENANGAN BERSAMA</t>
  </si>
  <si>
    <t xml:space="preserve"> </t>
  </si>
  <si>
    <t>NAMA SUPLIER : PT. PANACIPTA SEINAN COMPONENTS</t>
  </si>
  <si>
    <t>NAMA SUPLIER : SAN MARGA PRATAMA</t>
  </si>
  <si>
    <t>TOTAL PEMBELIAN</t>
  </si>
  <si>
    <t>TOTAL PEMBAYARAN</t>
  </si>
  <si>
    <t>NAMA SUPLIER : HIKARI METALINDO PRATAMA</t>
  </si>
  <si>
    <t>SALDO AKHIR</t>
  </si>
  <si>
    <t>Bayar faktur September'13</t>
  </si>
  <si>
    <t>Potongan PPh Psl. 23</t>
  </si>
  <si>
    <t>JANUARI</t>
  </si>
  <si>
    <t>NAMA SUPLIER : GLOBAL INC</t>
  </si>
  <si>
    <t>(USD)</t>
  </si>
  <si>
    <t>NAMA SUPLIER : ROOTS KYUSHU CO, LTD</t>
  </si>
  <si>
    <t>NAMA SUPLIER : VANTAGE ASPIRE CO, LTD</t>
  </si>
  <si>
    <t>NAMA SUPLIER : TAIYO FASTENER (THAILAND) CO., LTD</t>
  </si>
  <si>
    <t>1020305002-STS-IV</t>
  </si>
  <si>
    <t>1020301002-IV-STS</t>
  </si>
  <si>
    <t>1020301004-STS</t>
  </si>
  <si>
    <t>1020306002-IV-STS</t>
  </si>
  <si>
    <t>1020329005-IV-STS</t>
  </si>
  <si>
    <t>Potong tagihan</t>
  </si>
  <si>
    <t>002/AKB/I/14</t>
  </si>
  <si>
    <t>008/AKB/I/14</t>
  </si>
  <si>
    <t>013/AKB/I/14</t>
  </si>
  <si>
    <t>015/AKB/I/14</t>
  </si>
  <si>
    <t>018/AKB/I/14</t>
  </si>
  <si>
    <t>022/AKB/I/14</t>
  </si>
  <si>
    <t>TAHUN : 2014</t>
  </si>
  <si>
    <t>003/B/I/14</t>
  </si>
  <si>
    <t>13110139-13110187</t>
  </si>
  <si>
    <t>010/B/I/14</t>
  </si>
  <si>
    <t>Bayar Nota Desember'13</t>
  </si>
  <si>
    <t>002/JKP/I/2014</t>
  </si>
  <si>
    <t>009/JKP/I/2014</t>
  </si>
  <si>
    <t>013/B/I/14</t>
  </si>
  <si>
    <t>Bayar nota Desember'13</t>
  </si>
  <si>
    <t>016/B/I/14</t>
  </si>
  <si>
    <t>Bayar invoice Desember'13</t>
  </si>
  <si>
    <t>026/B/I/14</t>
  </si>
  <si>
    <t>13120001-13120020</t>
  </si>
  <si>
    <t>032/B/I/14</t>
  </si>
  <si>
    <t>13120021-13120040</t>
  </si>
  <si>
    <t>037/B/I/14</t>
  </si>
  <si>
    <t>13120069-13120083</t>
  </si>
  <si>
    <t>042/B/I/14</t>
  </si>
  <si>
    <t>13120094&amp;13120095</t>
  </si>
  <si>
    <t>045/B/I/14</t>
  </si>
  <si>
    <t>Bayar Nota Januari'14</t>
  </si>
  <si>
    <t>048/B/I/14</t>
  </si>
  <si>
    <t>063/B/I/14</t>
  </si>
  <si>
    <t>Bayar invoice Agustus'13</t>
  </si>
  <si>
    <t>066/B/I/14</t>
  </si>
  <si>
    <t>13120096 (PELUNASAN)</t>
  </si>
  <si>
    <t>13120097-13120103</t>
  </si>
  <si>
    <t>075/B/I/14</t>
  </si>
  <si>
    <t>Bayar invoice September"13</t>
  </si>
  <si>
    <t>077/B/I/14</t>
  </si>
  <si>
    <t>085/B/I/14</t>
  </si>
  <si>
    <t>10202001005</t>
  </si>
  <si>
    <t>1020203003</t>
  </si>
  <si>
    <t>1020206001</t>
  </si>
  <si>
    <t>1020222001</t>
  </si>
  <si>
    <t>1020201001 (SBGN)</t>
  </si>
  <si>
    <t>1020308002-STS (SBGN)</t>
  </si>
  <si>
    <t>006/EKJ/I/14</t>
  </si>
  <si>
    <t>Bayar invoice Juli'13 (Pelunasan)</t>
  </si>
  <si>
    <t>007/EKJ/14</t>
  </si>
  <si>
    <t>13120041-13120048</t>
  </si>
  <si>
    <t>008/EKJ/14</t>
  </si>
  <si>
    <t>13120049-13120068</t>
  </si>
  <si>
    <t>13120089-13120093</t>
  </si>
  <si>
    <t>012/EKJ/14</t>
  </si>
  <si>
    <t>13120104-13120142</t>
  </si>
  <si>
    <t>006/RP/I/14</t>
  </si>
  <si>
    <t xml:space="preserve">SBGN 13120086 </t>
  </si>
  <si>
    <t>13120087-13120088</t>
  </si>
  <si>
    <t>SBGN 13120096</t>
  </si>
  <si>
    <t>1021216001</t>
  </si>
  <si>
    <t>003/RP/I/14</t>
  </si>
  <si>
    <t>SI.GIP/1401/00038</t>
  </si>
  <si>
    <t>SI.GIP/1401/00133</t>
  </si>
  <si>
    <t>SI.GIP/1401/00165</t>
  </si>
  <si>
    <t>1030103002-STS</t>
  </si>
  <si>
    <t>1030110002-STS</t>
  </si>
  <si>
    <t>1030114003-STS</t>
  </si>
  <si>
    <t>1030124002-STS</t>
  </si>
  <si>
    <t>011/INV/STS/I/2014</t>
  </si>
  <si>
    <t>0046/INV/SS/I/2014</t>
  </si>
  <si>
    <t>0101/INV/SS/I/2014</t>
  </si>
  <si>
    <t>OMI.00920114</t>
  </si>
  <si>
    <t>003/BDO/I/14</t>
  </si>
  <si>
    <t>131200844-13120085</t>
  </si>
  <si>
    <t>13120086  (PELUNASAN)</t>
  </si>
  <si>
    <t>1020201001</t>
  </si>
  <si>
    <t>1030127002-IV-STS</t>
  </si>
  <si>
    <t>RETR JANUARI'14</t>
  </si>
  <si>
    <t>1020308002 (SBGN)</t>
  </si>
  <si>
    <t>001/B/BDO/I/14</t>
  </si>
  <si>
    <t>001/NDO/I/14</t>
  </si>
  <si>
    <t>003/NDO/I/14</t>
  </si>
  <si>
    <t>002/RPO/I/14</t>
  </si>
  <si>
    <t>FEBRUARI</t>
  </si>
  <si>
    <t>002/B/II/14</t>
  </si>
  <si>
    <t>13120143-13120162</t>
  </si>
  <si>
    <t>13120163-13120164, 13120166-13120173</t>
  </si>
  <si>
    <t>13120165, 13120174-133120176</t>
  </si>
  <si>
    <t>016/B/II/14</t>
  </si>
  <si>
    <t>Bayar faktur November'13</t>
  </si>
  <si>
    <t>Bayar faktur Desember'13</t>
  </si>
  <si>
    <t>041/B/II/14</t>
  </si>
  <si>
    <t>14010001-14010090</t>
  </si>
  <si>
    <t>051/B/II/14</t>
  </si>
  <si>
    <t>SBGN 14010110</t>
  </si>
  <si>
    <t>14010111-14010127</t>
  </si>
  <si>
    <t>SBGN 14010128</t>
  </si>
  <si>
    <t>053/B/II/14</t>
  </si>
  <si>
    <t>SBGN 14010141</t>
  </si>
  <si>
    <t>14010142-14010152</t>
  </si>
  <si>
    <t>14010154-14010156</t>
  </si>
  <si>
    <t>SBGN 14010153</t>
  </si>
  <si>
    <t>060/B/II/14</t>
  </si>
  <si>
    <t>067/B/II/14</t>
  </si>
  <si>
    <t>Bayar nota Januari'14</t>
  </si>
  <si>
    <t>083/B/II/14</t>
  </si>
  <si>
    <t>14010157-14010216</t>
  </si>
  <si>
    <t>084/B/II/14</t>
  </si>
  <si>
    <t>14010217-14010247</t>
  </si>
  <si>
    <t>089/B/II/14</t>
  </si>
  <si>
    <t>Bayar Nota Februari'14</t>
  </si>
  <si>
    <t>090/B/II/14</t>
  </si>
  <si>
    <t>Bayar invoice Oktober"13</t>
  </si>
  <si>
    <t>002/RP/III/14</t>
  </si>
  <si>
    <t>004/RP/III/14</t>
  </si>
  <si>
    <t>002/EKJ/II/14</t>
  </si>
  <si>
    <t>13120177-13120190</t>
  </si>
  <si>
    <t>006/EKJ/II/14</t>
  </si>
  <si>
    <t>14010128 (PELUNASAN)</t>
  </si>
  <si>
    <t>14010129-14010140</t>
  </si>
  <si>
    <t>14010248-14010347</t>
  </si>
  <si>
    <t>14010358-14010367</t>
  </si>
  <si>
    <t>003/BDO/II/14</t>
  </si>
  <si>
    <t>018/EKJ/II/14</t>
  </si>
  <si>
    <t>14010091-14010109</t>
  </si>
  <si>
    <t>1021223001 (23/12/13)</t>
  </si>
  <si>
    <t>1030114003 ( 14/01/14)</t>
  </si>
  <si>
    <t>001/BDO/II/14</t>
  </si>
  <si>
    <t>007/AKB/II/14</t>
  </si>
  <si>
    <t>003/AKB/II/14</t>
  </si>
  <si>
    <t>009/AKB/II/14</t>
  </si>
  <si>
    <t>013/AKB/II/14</t>
  </si>
  <si>
    <t>011/AKB/II/14</t>
  </si>
  <si>
    <t>016/AKB/II/14</t>
  </si>
  <si>
    <t>SI.GIP/1402/00203</t>
  </si>
  <si>
    <t>SI.GIP/1402/00229</t>
  </si>
  <si>
    <t>SI.GIP/1402/00255</t>
  </si>
  <si>
    <t>SI.GIP/1402/00278</t>
  </si>
  <si>
    <t>SI.GIP/1402/00317</t>
  </si>
  <si>
    <t>SI.GIP/1402/00354</t>
  </si>
  <si>
    <t>SI.GIP/1402/00374</t>
  </si>
  <si>
    <t>005/JKP/II/2014</t>
  </si>
  <si>
    <t>004/JKP/II/2014</t>
  </si>
  <si>
    <t>006/JKP/II/2014</t>
  </si>
  <si>
    <t>007/JKP/II/2014</t>
  </si>
  <si>
    <t>OMI.02410214</t>
  </si>
  <si>
    <t>053/INV/SIM/II/2014</t>
  </si>
  <si>
    <t>052/INV/SIM/II/2014</t>
  </si>
  <si>
    <t>051/INV/SIM/II/2014</t>
  </si>
  <si>
    <t>II02042</t>
  </si>
  <si>
    <t>HC-0214/14</t>
  </si>
  <si>
    <t>SI.GIP/1402/00388</t>
  </si>
  <si>
    <t>1030207003-STS</t>
  </si>
  <si>
    <t>1030214001-STS</t>
  </si>
  <si>
    <t>1030221002-STS</t>
  </si>
  <si>
    <t>1030227001-STS</t>
  </si>
  <si>
    <t>008/JKP/II/2014</t>
  </si>
  <si>
    <t>040214</t>
  </si>
  <si>
    <t>056/INV/STS/II/2014</t>
  </si>
  <si>
    <t>0139/INV/SS/II/2014</t>
  </si>
  <si>
    <t>0177/INV/SS/II/2014</t>
  </si>
  <si>
    <t>NAMA SUPLIER : ZUNLI</t>
  </si>
  <si>
    <t>002/B/III/14</t>
  </si>
  <si>
    <t>Bayar faktur Okotber'13</t>
  </si>
  <si>
    <t>MARET</t>
  </si>
  <si>
    <t>004/B/III/14</t>
  </si>
  <si>
    <t>14010348-14010357</t>
  </si>
  <si>
    <t>14010368-14010467</t>
  </si>
  <si>
    <t>007/B/III/14</t>
  </si>
  <si>
    <t>14010508-14010517</t>
  </si>
  <si>
    <t>011/B/III/14</t>
  </si>
  <si>
    <t>14010531-14010550</t>
  </si>
  <si>
    <t>14010561-14010570</t>
  </si>
  <si>
    <t>022/B/III/14</t>
  </si>
  <si>
    <t>14010551-14010560</t>
  </si>
  <si>
    <t>14010571-14010610</t>
  </si>
  <si>
    <t>031/B/III/14</t>
  </si>
  <si>
    <t>14010628-14010665</t>
  </si>
  <si>
    <t>14020031-14020040</t>
  </si>
  <si>
    <t>14020001-14020010</t>
  </si>
  <si>
    <t>033/B/III/14</t>
  </si>
  <si>
    <t>14020011-14020020</t>
  </si>
  <si>
    <t>14020211-14020220</t>
  </si>
  <si>
    <t>067/B/III/14</t>
  </si>
  <si>
    <t>Bayar invoice Februari'14</t>
  </si>
  <si>
    <t>069/B/III/14</t>
  </si>
  <si>
    <t>14020021-14020030</t>
  </si>
  <si>
    <t>14020041-14020110</t>
  </si>
  <si>
    <t>080/B/III/14</t>
  </si>
  <si>
    <t>14020301-14020390</t>
  </si>
  <si>
    <t>085/B/III/14</t>
  </si>
  <si>
    <t>Bayar nota Februari'14</t>
  </si>
  <si>
    <t>090/B/I/14</t>
  </si>
  <si>
    <t>Bayar faktur Januari'14</t>
  </si>
  <si>
    <t>091/B/III/14</t>
  </si>
  <si>
    <t>Bayar invoice Nopember'13</t>
  </si>
  <si>
    <t>095/B/III/14</t>
  </si>
  <si>
    <t>Bayar faktur Nopember'13</t>
  </si>
  <si>
    <t>004/EKJ/III/14</t>
  </si>
  <si>
    <t>14010468-14010507</t>
  </si>
  <si>
    <t>14010518-14010530</t>
  </si>
  <si>
    <t>015/EKJ/III/14</t>
  </si>
  <si>
    <t>14010611-14010627</t>
  </si>
  <si>
    <t>14010629</t>
  </si>
  <si>
    <t>022/EKJ/III/14</t>
  </si>
  <si>
    <t>14020111-14020210</t>
  </si>
  <si>
    <t>14020221-14020300</t>
  </si>
  <si>
    <t>005/RP/III/14</t>
  </si>
  <si>
    <t>006/RP/III/14</t>
  </si>
  <si>
    <t>1020308002 (08/03/13)</t>
  </si>
  <si>
    <t>1020322002 (22/03/13)</t>
  </si>
  <si>
    <t>SBGN 1020329004 (29/03/13)</t>
  </si>
  <si>
    <t>001/BDO/III/14</t>
  </si>
  <si>
    <t>001/BDO/IV/14</t>
  </si>
  <si>
    <t>PELUNASAN 14020486</t>
  </si>
  <si>
    <t>14020487-14020520</t>
  </si>
  <si>
    <t>SGBN 14020521</t>
  </si>
  <si>
    <t>PELNS 1020329004 (29/03/13)</t>
  </si>
  <si>
    <t>001/NDO/IV/14</t>
  </si>
  <si>
    <t>14020442-14020485</t>
  </si>
  <si>
    <t>003/AKB/III/14</t>
  </si>
  <si>
    <t>005/AKB/III/14</t>
  </si>
  <si>
    <t>011/AKB/III/14</t>
  </si>
  <si>
    <t>009/AKB/III/14</t>
  </si>
  <si>
    <t>017/AKB/III/14</t>
  </si>
  <si>
    <t>015/AKB/III/14</t>
  </si>
  <si>
    <t>SI.GIP/1403/00424</t>
  </si>
  <si>
    <t>SI.GIP/1402/00457</t>
  </si>
  <si>
    <t>SI.GIP/1403/00468</t>
  </si>
  <si>
    <t>SI.GIP/1403/00493</t>
  </si>
  <si>
    <t>SI.GIP/1403/00515</t>
  </si>
  <si>
    <t>SI.GIP/1403/00540</t>
  </si>
  <si>
    <t>SI.GIP/1403/00560</t>
  </si>
  <si>
    <t>SI.GIP/1403/00581</t>
  </si>
  <si>
    <t>SI.GIP/1403/00623</t>
  </si>
  <si>
    <t>SI.GIP/1403/00649</t>
  </si>
  <si>
    <t>SI.GIP/1403/00687</t>
  </si>
  <si>
    <t>0025/RTR/STS/14</t>
  </si>
  <si>
    <t>1030307002-STS</t>
  </si>
  <si>
    <t>1030314001-STS-GLO</t>
  </si>
  <si>
    <t>1030321003-STS</t>
  </si>
  <si>
    <t>001/JKP/III/2014</t>
  </si>
  <si>
    <t>002/JKP/III/2014</t>
  </si>
  <si>
    <t>003/JKP/III/2014</t>
  </si>
  <si>
    <t>005/JKP/III/2014</t>
  </si>
  <si>
    <t>004/JKP/III/2014</t>
  </si>
  <si>
    <t>006/JKP/III/2014</t>
  </si>
  <si>
    <t>OMI.03860314</t>
  </si>
  <si>
    <t>II03033</t>
  </si>
  <si>
    <t>NAMA SUPLIER : ZHE JIANG</t>
  </si>
  <si>
    <t>2014ZT00319</t>
  </si>
  <si>
    <t>1030314001-STS-VAN</t>
  </si>
  <si>
    <t>134/INV/STS/III/2014</t>
  </si>
  <si>
    <t>0261/INV/SS/III/2014</t>
  </si>
  <si>
    <t>0271/INV/SS/III/2014</t>
  </si>
  <si>
    <t>088/B/I/14</t>
  </si>
  <si>
    <t>15/MAM/III/2014</t>
  </si>
  <si>
    <t>1030328001-STS-GLO</t>
  </si>
  <si>
    <t>049/B/III/14</t>
  </si>
  <si>
    <t>APRIL</t>
  </si>
  <si>
    <t>002/B/IV/14</t>
  </si>
  <si>
    <t>14020391-14020441</t>
  </si>
  <si>
    <t>008/B/IV/14</t>
  </si>
  <si>
    <t>Bayar Nota Maret"14</t>
  </si>
  <si>
    <t>013/B/IV/14</t>
  </si>
  <si>
    <t>Bayar nota Maret'14</t>
  </si>
  <si>
    <t>025/B/IV/14</t>
  </si>
  <si>
    <t>PELUNASAN 14020521</t>
  </si>
  <si>
    <t>14020522-14020565</t>
  </si>
  <si>
    <t>046/B/IV/14</t>
  </si>
  <si>
    <t>14030001-14030112</t>
  </si>
  <si>
    <t>059/B/IV/14</t>
  </si>
  <si>
    <t>073/B/IV/14</t>
  </si>
  <si>
    <t>14030113-14030142</t>
  </si>
  <si>
    <t>076/B/IV/14</t>
  </si>
  <si>
    <t>14030143-14030152</t>
  </si>
  <si>
    <t>079/B/IV/14</t>
  </si>
  <si>
    <t>14030153-14030162</t>
  </si>
  <si>
    <t>081/B/IV/14</t>
  </si>
  <si>
    <t>14030173-14030182</t>
  </si>
  <si>
    <t>097/B/IV/14</t>
  </si>
  <si>
    <t>Bayar invoice Desember"13</t>
  </si>
  <si>
    <t>099/B/IV/14</t>
  </si>
  <si>
    <t>14030356-14030365</t>
  </si>
  <si>
    <t>14030376-14030395</t>
  </si>
  <si>
    <t>14030406-14030415</t>
  </si>
  <si>
    <t>104/B/IV/14</t>
  </si>
  <si>
    <t>14030416-14030425</t>
  </si>
  <si>
    <t>14030436-14030492</t>
  </si>
  <si>
    <t>107/B/VI/14</t>
  </si>
  <si>
    <t>Bayar faktru bulan Desember'13</t>
  </si>
  <si>
    <t>004/BDO/IV/14</t>
  </si>
  <si>
    <t>SEBAGIAN 14020486</t>
  </si>
  <si>
    <t>064/B/III/14</t>
  </si>
  <si>
    <t>102041101 (11/04/13)</t>
  </si>
  <si>
    <t>SBGN 1020412003 (12/04/13)</t>
  </si>
  <si>
    <t>1020412002 (12/04/13)</t>
  </si>
  <si>
    <t>002/NDO/IV/14</t>
  </si>
  <si>
    <t>006/EKJ/IV/14</t>
  </si>
  <si>
    <t>14020566-14020592</t>
  </si>
  <si>
    <t>025/EKJ/IV/14</t>
  </si>
  <si>
    <t>14030193-14030355</t>
  </si>
  <si>
    <t>026/EKJ/IV/14</t>
  </si>
  <si>
    <t>14030366-14030375</t>
  </si>
  <si>
    <t>14030396-14030405</t>
  </si>
  <si>
    <t>14030426-14030435</t>
  </si>
  <si>
    <t>14030493-14030552</t>
  </si>
  <si>
    <t>028/EKJ/IV/14</t>
  </si>
  <si>
    <t>RETUR MARET'14</t>
  </si>
  <si>
    <t>003/AKB/IV/14</t>
  </si>
  <si>
    <t>005/AKB/IV/14</t>
  </si>
  <si>
    <t>009/AKB/IV/14</t>
  </si>
  <si>
    <t>012/AKB/IV/14</t>
  </si>
  <si>
    <t>015/AKB/IV/14</t>
  </si>
  <si>
    <t>SI.GIP/1404/00744</t>
  </si>
  <si>
    <t>SI.GIP/1404/00747</t>
  </si>
  <si>
    <t>SI.GIP/1404/00780</t>
  </si>
  <si>
    <t>SI.GIP/1404/00789</t>
  </si>
  <si>
    <t>SI.GIP/1404/00802</t>
  </si>
  <si>
    <t>SI.GIP/1404/00817</t>
  </si>
  <si>
    <t>SI.GIP/1404/00905</t>
  </si>
  <si>
    <t>SI.GIP/1404/00917</t>
  </si>
  <si>
    <t>SI.GIP/1404/00846</t>
  </si>
  <si>
    <t>SI.GIP/1404/00880</t>
  </si>
  <si>
    <t>SI.GIP/1404/00934</t>
  </si>
  <si>
    <t>SI.GIP/1404/00968</t>
  </si>
  <si>
    <t>SI.GIP/1404/00978</t>
  </si>
  <si>
    <t>1030403001-STS-GLOBAL</t>
  </si>
  <si>
    <t>1030411002-STS-GLO</t>
  </si>
  <si>
    <t>1030418002-STS</t>
  </si>
  <si>
    <t>1030425004-STS</t>
  </si>
  <si>
    <t>1030425004-STS-GLO</t>
  </si>
  <si>
    <t>002/JKP/IV/2014</t>
  </si>
  <si>
    <t>001/JKP/IV/2014</t>
  </si>
  <si>
    <t>008/JKP/IV/2014</t>
  </si>
  <si>
    <t>OMI.05400414</t>
  </si>
  <si>
    <t>FKT/14/04/00710</t>
  </si>
  <si>
    <t>0102/INV/SIM/IV/2014</t>
  </si>
  <si>
    <t>0101/INV/SIM/IV/2014</t>
  </si>
  <si>
    <t>0107/INV/SIM/IV/2014</t>
  </si>
  <si>
    <t>0108/INV/SIM/IV/2014</t>
  </si>
  <si>
    <t>0121/INV/SIM/IV/2014</t>
  </si>
  <si>
    <t>1030403001-STS-VAN</t>
  </si>
  <si>
    <t>1030411002-STS-VAN</t>
  </si>
  <si>
    <t>1030418002-STS-VAN</t>
  </si>
  <si>
    <t>1030425004-STS-VAN</t>
  </si>
  <si>
    <t>2014ZT00326</t>
  </si>
  <si>
    <t>RETUR APRIL'14</t>
  </si>
  <si>
    <t>0053/RTR/STS/14</t>
  </si>
  <si>
    <t>Retur Maret'14</t>
  </si>
  <si>
    <t>Retur April'14</t>
  </si>
  <si>
    <t>0334/INV/SS/IV/2014</t>
  </si>
  <si>
    <t>Bayar faktur Februari'14</t>
  </si>
  <si>
    <t>220/INV/STS/IV/2014</t>
  </si>
  <si>
    <t>0381/INV/SS/IV/2014</t>
  </si>
  <si>
    <t>006/JKP/IV/2014</t>
  </si>
  <si>
    <t>005/JKP/IV/2014</t>
  </si>
  <si>
    <t>087/B/IV/14</t>
  </si>
  <si>
    <t>14030163-14030172</t>
  </si>
  <si>
    <t>14030183-14030192</t>
  </si>
  <si>
    <t>010/B/V/14</t>
  </si>
  <si>
    <t>14030553-14030575</t>
  </si>
  <si>
    <t>018/B/V/14</t>
  </si>
  <si>
    <t>14040036 (PELUNASAN)</t>
  </si>
  <si>
    <t>14040037-14040050</t>
  </si>
  <si>
    <t>027/B/V/14</t>
  </si>
  <si>
    <t>Bayar Nota April"14</t>
  </si>
  <si>
    <t>030/B/V/14</t>
  </si>
  <si>
    <t>Bayar nota April'14</t>
  </si>
  <si>
    <t>033/B/V/14</t>
  </si>
  <si>
    <t>037/B/V/14</t>
  </si>
  <si>
    <t>Bayar invoice April'14</t>
  </si>
  <si>
    <t>043/B/V/14</t>
  </si>
  <si>
    <t>045/B/V/14</t>
  </si>
  <si>
    <t>14040051-14040070</t>
  </si>
  <si>
    <t>046/B/V/14</t>
  </si>
  <si>
    <t>14040071-14040108</t>
  </si>
  <si>
    <t>070/B/V/14</t>
  </si>
  <si>
    <t>14040109-14040158</t>
  </si>
  <si>
    <t>082/B/V/14</t>
  </si>
  <si>
    <t>14040403-14040452</t>
  </si>
  <si>
    <t>14040463-14040472</t>
  </si>
  <si>
    <t>14040453-14040462</t>
  </si>
  <si>
    <t>084/B/V/14</t>
  </si>
  <si>
    <t>14040473-14040502</t>
  </si>
  <si>
    <t>088/B/V/14</t>
  </si>
  <si>
    <t>14040553-14040620&amp;622</t>
  </si>
  <si>
    <t>SGBN 14040621</t>
  </si>
  <si>
    <t>095/B/V/14</t>
  </si>
  <si>
    <t>Bayar faktur Maret'14</t>
  </si>
  <si>
    <t>Bayar invoice Januari'14</t>
  </si>
  <si>
    <t>096/B/V/14</t>
  </si>
  <si>
    <t>098/B/V/14</t>
  </si>
  <si>
    <t>14040503-14040552</t>
  </si>
  <si>
    <t>100/B/V/14</t>
  </si>
  <si>
    <t>Bayar Nota Mei"14</t>
  </si>
  <si>
    <t>103/B/V/14</t>
  </si>
  <si>
    <t>faktur bln Okt'13</t>
  </si>
  <si>
    <t>KOREKSI</t>
  </si>
  <si>
    <t>001/NII/I/14</t>
  </si>
  <si>
    <t>Pengembalian retur Okt'13</t>
  </si>
  <si>
    <t>002/RB/V/14</t>
  </si>
  <si>
    <t>001/NII/IX/13</t>
  </si>
  <si>
    <t>Pengembalian retur Juli'13</t>
  </si>
  <si>
    <t>016/B/VII/13</t>
  </si>
  <si>
    <t>Pengembalian retur Mei'13</t>
  </si>
  <si>
    <t>Biaya lebih kurang</t>
  </si>
  <si>
    <t>0438/INV/SS/V/2014</t>
  </si>
  <si>
    <t>246/INV/STS/V/2014</t>
  </si>
  <si>
    <t>0459/INV/SS/V/2014</t>
  </si>
  <si>
    <t>Potong barang rusak</t>
  </si>
  <si>
    <t>MEI</t>
  </si>
  <si>
    <t>020/EKJ/V/14</t>
  </si>
  <si>
    <t>SBGN  1020403001   (03/04/13)</t>
  </si>
  <si>
    <t>PELNS 1020403001 (03/04/13)</t>
  </si>
  <si>
    <t>1020503002 (03/05/13)</t>
  </si>
  <si>
    <t>102051003 (10/05/13)</t>
  </si>
  <si>
    <t>1020419003 (19/04/13)</t>
  </si>
  <si>
    <t>1020418003 (18/04/13)</t>
  </si>
  <si>
    <t>PLNS 1020412003 (12/04/13)</t>
  </si>
  <si>
    <t>022/EKJ/V/14</t>
  </si>
  <si>
    <t>14040159-14040228</t>
  </si>
  <si>
    <t>024/EKJ/V/14</t>
  </si>
  <si>
    <t>14040229-14040402</t>
  </si>
  <si>
    <t>111/B/V/14</t>
  </si>
  <si>
    <t>002/AKB/V/14</t>
  </si>
  <si>
    <t>006/AKB/V/14</t>
  </si>
  <si>
    <t>010/AKB/V/14</t>
  </si>
  <si>
    <t>008/AKB/V/14</t>
  </si>
  <si>
    <t>SI.GIP/1405/01068</t>
  </si>
  <si>
    <t>SI.GIP/1405/01086</t>
  </si>
  <si>
    <t>SI.GIP/1405/01127</t>
  </si>
  <si>
    <t>SI.GIP/1405/01164</t>
  </si>
  <si>
    <t>SI.GIP/1405/01213</t>
  </si>
  <si>
    <t>SI.GIP/1405/01219</t>
  </si>
  <si>
    <t>SI.GIP/1405/01246</t>
  </si>
  <si>
    <t>SI.GIP/1405/01229</t>
  </si>
  <si>
    <t>SI.GIP/1405/01264</t>
  </si>
  <si>
    <t>Retur Mei'14</t>
  </si>
  <si>
    <t>1030502003-STS</t>
  </si>
  <si>
    <t>1030509002-STS-GLO</t>
  </si>
  <si>
    <t>1030516001-STS-GLO</t>
  </si>
  <si>
    <t>1030523002-STS-GLO</t>
  </si>
  <si>
    <t>1030530002-STS</t>
  </si>
  <si>
    <t>1030502003-STS-VAN</t>
  </si>
  <si>
    <t>1030509002-STS-VAN</t>
  </si>
  <si>
    <t>1030516001-STS-VAN</t>
  </si>
  <si>
    <t>1030530002-STS-GLO</t>
  </si>
  <si>
    <t>001/JKP/V/2014</t>
  </si>
  <si>
    <t>002/JKP/V/2014</t>
  </si>
  <si>
    <t>0141/INV/SIM/V/2014</t>
  </si>
  <si>
    <t>0132/INV/SIM/V/2014</t>
  </si>
  <si>
    <t>OMI.05940514</t>
  </si>
  <si>
    <t>OMI.06940514</t>
  </si>
  <si>
    <t>II05060</t>
  </si>
  <si>
    <t>2014ZT00330</t>
  </si>
  <si>
    <t>Bayar faktur bulan Januari'14</t>
  </si>
  <si>
    <t>001/BDO/V/14</t>
  </si>
  <si>
    <t>1404001-14040035</t>
  </si>
  <si>
    <t>SBGN 14040036</t>
  </si>
  <si>
    <t>005/BDO/V/14</t>
  </si>
  <si>
    <t>SBGN 1020517002 (17/05/13)</t>
  </si>
  <si>
    <t>JUNI</t>
  </si>
  <si>
    <t>051/B/VI/14</t>
  </si>
  <si>
    <t>14050041-14050124</t>
  </si>
  <si>
    <t>010/B/VI/14</t>
  </si>
  <si>
    <t>015/B/VI/14</t>
  </si>
  <si>
    <t>018/B/VI/14</t>
  </si>
  <si>
    <t>Bayar invoice Mei'14</t>
  </si>
  <si>
    <t>037/B/VI/14</t>
  </si>
  <si>
    <t>14040659 (PELUNASAN)</t>
  </si>
  <si>
    <t>14040660-14040715</t>
  </si>
  <si>
    <t>038/B/VI/14</t>
  </si>
  <si>
    <t>14050001-14050050</t>
  </si>
  <si>
    <t>072/B/VI/14</t>
  </si>
  <si>
    <t>14050125-14050174</t>
  </si>
  <si>
    <t>14050185-14050204</t>
  </si>
  <si>
    <t>084/B/VI/14</t>
  </si>
  <si>
    <t>Bayar Nota Juni"14</t>
  </si>
  <si>
    <t>113/B/VI/14</t>
  </si>
  <si>
    <t>14050511-14050567</t>
  </si>
  <si>
    <t>121/B/VI/14</t>
  </si>
  <si>
    <t>1406001-14060110</t>
  </si>
  <si>
    <t>127/B/VI/14</t>
  </si>
  <si>
    <t>14060081-14060200,202,203</t>
  </si>
  <si>
    <t>14060194,201,204/234,236,237</t>
  </si>
  <si>
    <t>001/NDO/VI/14</t>
  </si>
  <si>
    <t>14040621 (PELUNASAN)</t>
  </si>
  <si>
    <t>14040623-14040658</t>
  </si>
  <si>
    <t>SBGN 14040659</t>
  </si>
  <si>
    <t>1020517002 (17/05/13)</t>
  </si>
  <si>
    <t>1020531002 (31/05/13)</t>
  </si>
  <si>
    <t>1020528001 (28/05/13)</t>
  </si>
  <si>
    <t>003/BDO/VI/14</t>
  </si>
  <si>
    <t>014/EKJ/VI/14</t>
  </si>
  <si>
    <t>14050175-14050184</t>
  </si>
  <si>
    <t>14050205-14050425,427-431</t>
  </si>
  <si>
    <t>14050426,432-480</t>
  </si>
  <si>
    <t>001/AKB/VI/2014</t>
  </si>
  <si>
    <t>002/AKB/VI/2014</t>
  </si>
  <si>
    <t>008/AKB/VI/14</t>
  </si>
  <si>
    <t>010/AKB/VI/14</t>
  </si>
  <si>
    <t>014/AKB/VI/14</t>
  </si>
  <si>
    <t>SI.GIP/1406/01270</t>
  </si>
  <si>
    <t>SI.GIP/1406/01303</t>
  </si>
  <si>
    <t>SI.GIP/1406/01345</t>
  </si>
  <si>
    <t>SI.GIP/1406/01376</t>
  </si>
  <si>
    <t>SI.GIP/1406/01393</t>
  </si>
  <si>
    <t>SI.GIP/1406/01443</t>
  </si>
  <si>
    <t>SI.GIP/1406/01569</t>
  </si>
  <si>
    <t>SI.GIP/1406/01457</t>
  </si>
  <si>
    <t>SI.GIP/1406/01520</t>
  </si>
  <si>
    <t>SI.GIP/1406/01538</t>
  </si>
  <si>
    <t>2014ZT00333</t>
  </si>
  <si>
    <t>005/JKP/VI/2014</t>
  </si>
  <si>
    <t>006/JKP/VI/2014</t>
  </si>
  <si>
    <t>007/JKP/VI/2014</t>
  </si>
  <si>
    <t>008/JKP/VI/2014</t>
  </si>
  <si>
    <t>010/JKP/VI/2014</t>
  </si>
  <si>
    <t>009/JKP/VI/2014</t>
  </si>
  <si>
    <t>15/MAM/VI/2014</t>
  </si>
  <si>
    <t>OMI.07690614</t>
  </si>
  <si>
    <t>OMI.08390614</t>
  </si>
  <si>
    <t>0161/INV/SIM/VI/2014</t>
  </si>
  <si>
    <t>0490/INV/SS/VI/2014</t>
  </si>
  <si>
    <t>307/INV/STS/VI/2014</t>
  </si>
  <si>
    <t>0535/INV/SS/VI/2014</t>
  </si>
  <si>
    <t>1030606001-STS</t>
  </si>
  <si>
    <t>1030613003-STS</t>
  </si>
  <si>
    <t>1030613002-STS-IV</t>
  </si>
  <si>
    <t>1030620002-STS</t>
  </si>
  <si>
    <t>1030627003-STS</t>
  </si>
  <si>
    <t>Retur Juni'14</t>
  </si>
  <si>
    <t>006/AKB/VII/14</t>
  </si>
  <si>
    <t>009/AKB/VII/14</t>
  </si>
  <si>
    <t>004/AKB/VII/14</t>
  </si>
  <si>
    <t>1020524001 (24/05/13)</t>
  </si>
  <si>
    <t>1020607001 (07/06/13)</t>
  </si>
  <si>
    <t>1020617002 (17/06/13)</t>
  </si>
  <si>
    <t>1020621002 (21/06/13)</t>
  </si>
  <si>
    <t>00/BDO/VII/14</t>
  </si>
  <si>
    <t>JULI</t>
  </si>
  <si>
    <t>003/EKJ/VII/14</t>
  </si>
  <si>
    <t>14060337-14060469</t>
  </si>
  <si>
    <t>14060601-14060624,626-628</t>
  </si>
  <si>
    <t>14060625,14060629-14060829</t>
  </si>
  <si>
    <t>14070001-14070090</t>
  </si>
  <si>
    <t>14070091-14070195</t>
  </si>
  <si>
    <t>14070196-14070225</t>
  </si>
  <si>
    <t>14070246-14070256,258-266</t>
  </si>
  <si>
    <t>108/B/VI/14</t>
  </si>
  <si>
    <t>106/B/VI/14</t>
  </si>
  <si>
    <t>Bayar faktur bulan Februari'14</t>
  </si>
  <si>
    <t>101/B/VI/14</t>
  </si>
  <si>
    <t>14050501-14050510</t>
  </si>
  <si>
    <t>081/B/VI/14</t>
  </si>
  <si>
    <t>14050481-14050500</t>
  </si>
  <si>
    <t>112/B/VI/14</t>
  </si>
  <si>
    <t>Bayar faktur April'14</t>
  </si>
  <si>
    <t>1030114003-STS (Kekurangan)</t>
  </si>
  <si>
    <t>Ptng Armature (I030114003-14/01/13)</t>
  </si>
  <si>
    <t>14070267-14070315</t>
  </si>
  <si>
    <t>14070226-14070235</t>
  </si>
  <si>
    <t>090/B/VII/14</t>
  </si>
  <si>
    <t>Bayar invoice Maret'14</t>
  </si>
  <si>
    <t>079/B/VII/14</t>
  </si>
  <si>
    <t>Bayar faktur bulan Maret'14</t>
  </si>
  <si>
    <t>074/B/VII/14</t>
  </si>
  <si>
    <t>Bayar faktur Mei'14</t>
  </si>
  <si>
    <t>061/B/VII/14</t>
  </si>
  <si>
    <t>065/B/VI/14</t>
  </si>
  <si>
    <t>Bayar invoice Juni'14</t>
  </si>
  <si>
    <t>057/B/VII/14</t>
  </si>
  <si>
    <t>054/B/VII/14</t>
  </si>
  <si>
    <t>Bayar faktur Juni'14</t>
  </si>
  <si>
    <t>14060235,14060238-14060336</t>
  </si>
  <si>
    <t>024/B/VII/14</t>
  </si>
  <si>
    <t>14060470-14060600</t>
  </si>
  <si>
    <t>045/B/VII/14</t>
  </si>
  <si>
    <t>010/B/VII/14</t>
  </si>
  <si>
    <t>037/B/VII/14</t>
  </si>
  <si>
    <t>015/EKJ/VII/14</t>
  </si>
  <si>
    <t>019/EKJ/VII/14</t>
  </si>
  <si>
    <t>020/EKJ/VII/14</t>
  </si>
  <si>
    <t>096/B/VII/14</t>
  </si>
  <si>
    <t>009/EKJ/VIII/14</t>
  </si>
  <si>
    <t>14070323-14070482</t>
  </si>
  <si>
    <t>NAMA SUPLIER : PT. LIKINDO FP</t>
  </si>
  <si>
    <t>002/AKB/VIII/14</t>
  </si>
  <si>
    <t>037/JKP/VII/2014</t>
  </si>
  <si>
    <t>011/AKB/VII/14</t>
  </si>
  <si>
    <t>0181/INV/SIM/VII/2014</t>
  </si>
  <si>
    <t>OMI.09100714</t>
  </si>
  <si>
    <t>OMI.09610714</t>
  </si>
  <si>
    <t>SI.GIP/1407/01715</t>
  </si>
  <si>
    <t>SI.GIP/1407/01741</t>
  </si>
  <si>
    <t>SI.GIP/1407/01777</t>
  </si>
  <si>
    <t>1030704006-STS</t>
  </si>
  <si>
    <t>1030704003-STS-IV</t>
  </si>
  <si>
    <t>1030704005-IV-STS</t>
  </si>
  <si>
    <t>1030710001-STS-IV</t>
  </si>
  <si>
    <t>1030723002-STS</t>
  </si>
  <si>
    <t>II07291</t>
  </si>
  <si>
    <t>0597/INV/SS/VII/2014</t>
  </si>
  <si>
    <t>083/LFP/8/VIII/2014</t>
  </si>
  <si>
    <t>368/INV/STS/VII/2014</t>
  </si>
  <si>
    <t>OMI.10420814</t>
  </si>
  <si>
    <t>004/AKB/VIII/14</t>
  </si>
  <si>
    <t>1030815002-STS</t>
  </si>
  <si>
    <t>SI.GIP/1407/01816</t>
  </si>
  <si>
    <t>2014ZT00336</t>
  </si>
  <si>
    <t>1030704002-STS-IV</t>
  </si>
  <si>
    <t>102121001-STS-IV</t>
  </si>
  <si>
    <t>008/AKB/VIII/14</t>
  </si>
  <si>
    <t>011/AKB/VIII/14</t>
  </si>
  <si>
    <t>005//B/VIII/14</t>
  </si>
  <si>
    <t>14070245,257,314</t>
  </si>
  <si>
    <t>14070316-14070322</t>
  </si>
  <si>
    <t>SBGN 14070597</t>
  </si>
  <si>
    <t>013//B/VIII/14</t>
  </si>
  <si>
    <t>14070483-14070596</t>
  </si>
  <si>
    <t>016/B/VIII/14</t>
  </si>
  <si>
    <t>Bayar Nota Juli'14</t>
  </si>
  <si>
    <t>026/B/VIII/14</t>
  </si>
  <si>
    <t>030//B/VIII/14</t>
  </si>
  <si>
    <t>PLNS 14070597</t>
  </si>
  <si>
    <t>14070598-14070606</t>
  </si>
  <si>
    <t>SBGN 14070607</t>
  </si>
  <si>
    <t>046//B/VIII/14</t>
  </si>
  <si>
    <t>PLNS 14070607</t>
  </si>
  <si>
    <t>14070608-14070647</t>
  </si>
  <si>
    <t>048/B/VIII/14</t>
  </si>
  <si>
    <t>Bayar faktur bulan April'14</t>
  </si>
  <si>
    <t>054//B/VIII/14</t>
  </si>
  <si>
    <t>1407064/-14070715</t>
  </si>
  <si>
    <t>066//B/VIII/14</t>
  </si>
  <si>
    <t>14080001-14080070</t>
  </si>
  <si>
    <t>074/B/VIII/14</t>
  </si>
  <si>
    <t>Bayar Nota Agustus'14</t>
  </si>
  <si>
    <t>077/B/VIII/14</t>
  </si>
  <si>
    <t>083/B/VIII/14</t>
  </si>
  <si>
    <t>Bayar invoice Juli'14</t>
  </si>
  <si>
    <t>098//B/VIII/14</t>
  </si>
  <si>
    <t>14080289-14080338</t>
  </si>
  <si>
    <t>003/BDO/VIII/14</t>
  </si>
  <si>
    <t>2014ZT00339</t>
  </si>
  <si>
    <t>005/BDO/VIII/14</t>
  </si>
  <si>
    <t>1010903001 (03/09/12)</t>
  </si>
  <si>
    <t>INVOICE NOVEMBER 2012</t>
  </si>
  <si>
    <t>1020809001-STS-IV (09/08/13)</t>
  </si>
  <si>
    <t>1020809003-STS-IV (09/08/13)</t>
  </si>
  <si>
    <t>1020815001-STSIV(15/08/13)</t>
  </si>
  <si>
    <t>1020816002-STS (16/08/13)</t>
  </si>
  <si>
    <t>1020819001-STS-IV (19/08/13)</t>
  </si>
  <si>
    <t>INVOICE DESEMBER 2012</t>
  </si>
  <si>
    <t>INOIVCE JULI 2013</t>
  </si>
  <si>
    <t>018/EKJ/VIII/14</t>
  </si>
  <si>
    <t>140800071-14080198</t>
  </si>
  <si>
    <t>14080410</t>
  </si>
  <si>
    <t>023/EKJ/VIII/14</t>
  </si>
  <si>
    <t>14080199-14080288</t>
  </si>
  <si>
    <t>024/EKJ/VIII/14</t>
  </si>
  <si>
    <t>14080400-14080409</t>
  </si>
  <si>
    <t>025/EKJ/VIII/14</t>
  </si>
  <si>
    <t>Bayar invoiceApril'14</t>
  </si>
  <si>
    <t>13/MAM/VII/2014</t>
  </si>
  <si>
    <t>0193/INV/SIM/VIII/2014</t>
  </si>
  <si>
    <t>0217/INV/SIM/VIII/2014</t>
  </si>
  <si>
    <t>003/AKB/IX/14</t>
  </si>
  <si>
    <t>004/AKB/IX/14</t>
  </si>
  <si>
    <t>007/AKB/IX/14</t>
  </si>
  <si>
    <t>OMI.11100814</t>
  </si>
  <si>
    <t>0685/INV/SS/VIII/2014</t>
  </si>
  <si>
    <t>SI.GIP/1408/01879</t>
  </si>
  <si>
    <t>SI.GIP/1408/01924</t>
  </si>
  <si>
    <t>SI.GIP/1408/01925</t>
  </si>
  <si>
    <t>SI.GIP/1408/01994</t>
  </si>
  <si>
    <t>SI.GIP/1408/01965</t>
  </si>
  <si>
    <t>SI.GIP/1408/02023</t>
  </si>
  <si>
    <t>SI.GIP/1408/02038</t>
  </si>
  <si>
    <t>SI.GIP/1408/02070</t>
  </si>
  <si>
    <t>SI.GIP/1408/02097</t>
  </si>
  <si>
    <t>Retur  Agustus'14</t>
  </si>
  <si>
    <t>1030801001-STS</t>
  </si>
  <si>
    <t>1030808001-STS</t>
  </si>
  <si>
    <t>1030809002-STS</t>
  </si>
  <si>
    <t>1030811001-STS-IV</t>
  </si>
  <si>
    <t>1030822002-STS</t>
  </si>
  <si>
    <t>1030829002-STS</t>
  </si>
  <si>
    <t>012/JKP/VIII/2014</t>
  </si>
  <si>
    <t>015/JKP/VIII/2014</t>
  </si>
  <si>
    <t>300814</t>
  </si>
  <si>
    <t>416/INV/STS/VIII/2014</t>
  </si>
  <si>
    <t>AGUSTUS</t>
  </si>
  <si>
    <t>RETUR AGUSTUS</t>
  </si>
  <si>
    <t>RETUR JULI</t>
  </si>
  <si>
    <t>RETUR MEI</t>
  </si>
  <si>
    <t>0646/INV/SS/VIII/2014</t>
  </si>
  <si>
    <t>1030618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</si>
</sst>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43" formatCode="_(* #,##0.00_);_(* \(#,##0.00\);_(* &quot;-&quot;??_);_(@_)"/>
    <numFmt numFmtId="164" formatCode="#,##0;[Red]#,##0"/>
    <numFmt numFmtId="165" formatCode="_(* #,##0_);_(* \(#,##0\);_(* &quot;-&quot;??_);_(@_)"/>
    <numFmt numFmtId="166" formatCode="_([$Rp-421]* #,##0_);_([$Rp-421]* \(#,##0\);_([$Rp-421]* &quot;-&quot;??_);_(@_)"/>
    <numFmt numFmtId="167" formatCode="00000000"/>
    <numFmt numFmtId="168" formatCode="_(* #,##0.00_);_(* \(#,##0.00\);_(* &quot;-&quot;_);_(@_)"/>
    <numFmt numFmtId="169" formatCode="dd/mm/yyyy;@"/>
  </numFmts>
  <fonts count="2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color rgb="FF0000FF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8"/>
      <name val="Times New Roman"/>
      <family val="1"/>
    </font>
    <font>
      <sz val="9"/>
      <color rgb="FFFF0000"/>
      <name val="Times New Roman"/>
      <family val="1"/>
    </font>
    <font>
      <b/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rgb="FF0000FF"/>
      <name val="Times New Roman"/>
      <family val="1"/>
    </font>
    <font>
      <sz val="11"/>
      <name val="Calibri"/>
      <family val="2"/>
      <charset val="1"/>
      <scheme val="minor"/>
    </font>
    <font>
      <sz val="11"/>
      <name val="Times New Roman"/>
      <family val="1"/>
    </font>
    <font>
      <b/>
      <sz val="10"/>
      <color rgb="FF0000FF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u/>
      <sz val="9.9"/>
      <color theme="10"/>
      <name val="Calibri"/>
      <family val="2"/>
      <charset val="1"/>
    </font>
    <font>
      <sz val="9.9"/>
      <color rgb="FFFF0000"/>
      <name val="Times New Roman"/>
      <family val="1"/>
    </font>
    <font>
      <sz val="10"/>
      <color rgb="FF0000FF"/>
      <name val="Times New Roman"/>
      <family val="1"/>
    </font>
    <font>
      <sz val="9"/>
      <color rgb="FF0000FF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64"/>
      </bottom>
      <diagonal/>
    </border>
    <border>
      <left/>
      <right style="thin">
        <color indexed="8"/>
      </right>
      <top style="double">
        <color indexed="8"/>
      </top>
      <bottom style="thin">
        <color indexed="64"/>
      </bottom>
      <diagonal/>
    </border>
    <border>
      <left style="thin">
        <color indexed="8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8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64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12">
    <xf numFmtId="166" fontId="0" fillId="0" borderId="0"/>
    <xf numFmtId="41" fontId="1" fillId="0" borderId="0" applyFont="0" applyFill="0" applyBorder="0" applyAlignment="0" applyProtection="0"/>
    <xf numFmtId="166" fontId="9" fillId="0" borderId="0"/>
    <xf numFmtId="166" fontId="9" fillId="0" borderId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699">
    <xf numFmtId="166" fontId="0" fillId="0" borderId="0" xfId="0"/>
    <xf numFmtId="166" fontId="5" fillId="0" borderId="0" xfId="0" applyFont="1"/>
    <xf numFmtId="166" fontId="5" fillId="0" borderId="1" xfId="0" applyFont="1" applyBorder="1"/>
    <xf numFmtId="166" fontId="6" fillId="0" borderId="1" xfId="0" applyFont="1" applyBorder="1"/>
    <xf numFmtId="166" fontId="6" fillId="0" borderId="0" xfId="0" applyFont="1"/>
    <xf numFmtId="166" fontId="5" fillId="0" borderId="1" xfId="0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166" fontId="4" fillId="0" borderId="0" xfId="0" applyFont="1"/>
    <xf numFmtId="166" fontId="4" fillId="0" borderId="1" xfId="0" applyFont="1" applyBorder="1" applyAlignment="1">
      <alignment horizontal="center"/>
    </xf>
    <xf numFmtId="166" fontId="4" fillId="0" borderId="0" xfId="0" applyFont="1" applyAlignment="1">
      <alignment horizontal="center"/>
    </xf>
    <xf numFmtId="166" fontId="2" fillId="0" borderId="4" xfId="0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41" fontId="5" fillId="0" borderId="0" xfId="1" applyFont="1"/>
    <xf numFmtId="41" fontId="5" fillId="0" borderId="1" xfId="1" applyFont="1" applyBorder="1"/>
    <xf numFmtId="41" fontId="2" fillId="0" borderId="4" xfId="1" applyFont="1" applyFill="1" applyBorder="1" applyAlignment="1">
      <alignment horizontal="center" vertical="center"/>
    </xf>
    <xf numFmtId="166" fontId="7" fillId="0" borderId="0" xfId="0" applyFont="1"/>
    <xf numFmtId="166" fontId="7" fillId="0" borderId="1" xfId="0" applyFont="1" applyBorder="1"/>
    <xf numFmtId="41" fontId="7" fillId="0" borderId="1" xfId="1" applyFont="1" applyBorder="1" applyAlignment="1">
      <alignment horizontal="center"/>
    </xf>
    <xf numFmtId="41" fontId="7" fillId="0" borderId="0" xfId="1" applyFont="1" applyAlignment="1">
      <alignment horizontal="center"/>
    </xf>
    <xf numFmtId="166" fontId="5" fillId="0" borderId="6" xfId="0" applyFont="1" applyBorder="1"/>
    <xf numFmtId="41" fontId="5" fillId="0" borderId="6" xfId="1" applyFont="1" applyBorder="1"/>
    <xf numFmtId="166" fontId="5" fillId="0" borderId="0" xfId="0" applyFont="1" applyBorder="1"/>
    <xf numFmtId="41" fontId="5" fillId="0" borderId="0" xfId="1" applyFont="1" applyBorder="1"/>
    <xf numFmtId="166" fontId="6" fillId="0" borderId="6" xfId="0" applyFont="1" applyBorder="1"/>
    <xf numFmtId="166" fontId="6" fillId="0" borderId="0" xfId="0" applyFont="1" applyBorder="1"/>
    <xf numFmtId="166" fontId="5" fillId="0" borderId="6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41" fontId="4" fillId="0" borderId="1" xfId="1" applyFont="1" applyBorder="1" applyAlignment="1">
      <alignment horizontal="center"/>
    </xf>
    <xf numFmtId="41" fontId="4" fillId="0" borderId="0" xfId="1" applyFont="1" applyAlignment="1">
      <alignment horizontal="center"/>
    </xf>
    <xf numFmtId="166" fontId="11" fillId="0" borderId="8" xfId="0" applyFont="1" applyBorder="1" applyAlignment="1" applyProtection="1">
      <alignment horizontal="center"/>
    </xf>
    <xf numFmtId="166" fontId="11" fillId="0" borderId="7" xfId="0" applyFont="1" applyBorder="1" applyAlignment="1" applyProtection="1">
      <alignment horizontal="center"/>
    </xf>
    <xf numFmtId="37" fontId="11" fillId="0" borderId="9" xfId="0" applyNumberFormat="1" applyFont="1" applyBorder="1" applyAlignment="1" applyProtection="1">
      <alignment horizontal="center" vertical="center"/>
    </xf>
    <xf numFmtId="166" fontId="11" fillId="0" borderId="9" xfId="0" applyFont="1" applyBorder="1" applyAlignment="1" applyProtection="1">
      <alignment horizontal="center" vertical="center"/>
    </xf>
    <xf numFmtId="166" fontId="11" fillId="0" borderId="14" xfId="0" applyFont="1" applyBorder="1" applyAlignment="1" applyProtection="1">
      <alignment horizontal="center" vertical="center"/>
    </xf>
    <xf numFmtId="37" fontId="12" fillId="0" borderId="4" xfId="0" applyNumberFormat="1" applyFont="1" applyFill="1" applyBorder="1" applyAlignment="1" applyProtection="1">
      <alignment horizontal="right" vertical="center"/>
    </xf>
    <xf numFmtId="166" fontId="3" fillId="0" borderId="4" xfId="0" applyFont="1" applyFill="1" applyBorder="1" applyAlignment="1">
      <alignment horizontal="center"/>
    </xf>
    <xf numFmtId="41" fontId="3" fillId="0" borderId="4" xfId="1" applyFont="1" applyFill="1" applyBorder="1" applyAlignment="1">
      <alignment horizontal="right"/>
    </xf>
    <xf numFmtId="166" fontId="5" fillId="0" borderId="0" xfId="0" applyFont="1" applyFill="1"/>
    <xf numFmtId="166" fontId="5" fillId="0" borderId="1" xfId="0" applyFont="1" applyFill="1" applyBorder="1"/>
    <xf numFmtId="41" fontId="5" fillId="0" borderId="1" xfId="1" applyFont="1" applyFill="1" applyBorder="1"/>
    <xf numFmtId="41" fontId="6" fillId="0" borderId="1" xfId="1" applyFont="1" applyFill="1" applyBorder="1"/>
    <xf numFmtId="166" fontId="11" fillId="0" borderId="7" xfId="0" applyNumberFormat="1" applyFont="1" applyFill="1" applyBorder="1" applyAlignment="1" applyProtection="1">
      <alignment horizontal="center"/>
    </xf>
    <xf numFmtId="166" fontId="11" fillId="0" borderId="7" xfId="0" applyFont="1" applyFill="1" applyBorder="1" applyAlignment="1" applyProtection="1">
      <alignment horizontal="center"/>
    </xf>
    <xf numFmtId="166" fontId="11" fillId="0" borderId="8" xfId="0" applyFont="1" applyFill="1" applyBorder="1" applyAlignment="1" applyProtection="1">
      <alignment horizontal="center"/>
    </xf>
    <xf numFmtId="166" fontId="11" fillId="0" borderId="9" xfId="0" applyFont="1" applyFill="1" applyBorder="1" applyAlignment="1" applyProtection="1">
      <alignment horizontal="center" vertical="center"/>
    </xf>
    <xf numFmtId="166" fontId="11" fillId="0" borderId="14" xfId="0" applyFont="1" applyFill="1" applyBorder="1" applyAlignment="1" applyProtection="1">
      <alignment horizontal="center" vertical="center"/>
    </xf>
    <xf numFmtId="37" fontId="11" fillId="0" borderId="9" xfId="0" applyNumberFormat="1" applyFont="1" applyFill="1" applyBorder="1" applyAlignment="1" applyProtection="1">
      <alignment horizontal="center" vertical="center"/>
    </xf>
    <xf numFmtId="166" fontId="4" fillId="0" borderId="0" xfId="0" applyFont="1" applyFill="1" applyAlignment="1">
      <alignment horizontal="center"/>
    </xf>
    <xf numFmtId="41" fontId="4" fillId="0" borderId="4" xfId="1" applyFont="1" applyFill="1" applyBorder="1"/>
    <xf numFmtId="41" fontId="5" fillId="0" borderId="0" xfId="1" applyFont="1" applyFill="1"/>
    <xf numFmtId="41" fontId="6" fillId="0" borderId="0" xfId="1" applyFont="1" applyFill="1"/>
    <xf numFmtId="166" fontId="4" fillId="0" borderId="0" xfId="0" applyFont="1" applyFill="1"/>
    <xf numFmtId="166" fontId="5" fillId="0" borderId="0" xfId="0" applyFont="1" applyFill="1" applyBorder="1"/>
    <xf numFmtId="41" fontId="5" fillId="0" borderId="0" xfId="1" applyFont="1" applyFill="1" applyBorder="1"/>
    <xf numFmtId="166" fontId="7" fillId="0" borderId="0" xfId="0" applyFont="1" applyFill="1" applyBorder="1"/>
    <xf numFmtId="166" fontId="7" fillId="0" borderId="0" xfId="0" applyFont="1" applyFill="1"/>
    <xf numFmtId="166" fontId="7" fillId="0" borderId="1" xfId="0" applyFont="1" applyFill="1" applyBorder="1"/>
    <xf numFmtId="41" fontId="4" fillId="0" borderId="0" xfId="1" applyFont="1" applyFill="1"/>
    <xf numFmtId="41" fontId="4" fillId="0" borderId="1" xfId="1" applyFont="1" applyFill="1" applyBorder="1"/>
    <xf numFmtId="41" fontId="7" fillId="0" borderId="1" xfId="1" applyFont="1" applyFill="1" applyBorder="1"/>
    <xf numFmtId="41" fontId="7" fillId="0" borderId="0" xfId="1" applyFont="1" applyFill="1"/>
    <xf numFmtId="166" fontId="4" fillId="0" borderId="1" xfId="0" applyFont="1" applyFill="1" applyBorder="1"/>
    <xf numFmtId="166" fontId="4" fillId="0" borderId="0" xfId="0" applyFont="1" applyFill="1" applyBorder="1"/>
    <xf numFmtId="41" fontId="10" fillId="0" borderId="4" xfId="0" applyNumberFormat="1" applyFont="1" applyFill="1" applyBorder="1"/>
    <xf numFmtId="166" fontId="6" fillId="0" borderId="0" xfId="0" applyFont="1" applyFill="1"/>
    <xf numFmtId="166" fontId="5" fillId="0" borderId="1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 applyAlignment="1">
      <alignment horizontal="center"/>
    </xf>
    <xf numFmtId="166" fontId="8" fillId="0" borderId="0" xfId="0" applyFont="1" applyFill="1" applyAlignment="1"/>
    <xf numFmtId="165" fontId="4" fillId="0" borderId="1" xfId="5" applyNumberFormat="1" applyFont="1" applyBorder="1" applyAlignment="1">
      <alignment horizontal="center"/>
    </xf>
    <xf numFmtId="165" fontId="11" fillId="0" borderId="8" xfId="5" applyNumberFormat="1" applyFont="1" applyBorder="1" applyAlignment="1" applyProtection="1">
      <alignment horizontal="center"/>
    </xf>
    <xf numFmtId="165" fontId="11" fillId="0" borderId="14" xfId="5" applyNumberFormat="1" applyFont="1" applyBorder="1" applyAlignment="1" applyProtection="1">
      <alignment horizontal="center" vertical="center"/>
    </xf>
    <xf numFmtId="165" fontId="4" fillId="0" borderId="0" xfId="5" applyNumberFormat="1" applyFont="1" applyAlignment="1">
      <alignment horizontal="center"/>
    </xf>
    <xf numFmtId="166" fontId="14" fillId="0" borderId="4" xfId="0" applyNumberFormat="1" applyFont="1" applyFill="1" applyBorder="1" applyAlignment="1" applyProtection="1">
      <alignment horizontal="center" vertical="center"/>
    </xf>
    <xf numFmtId="41" fontId="2" fillId="0" borderId="4" xfId="1" applyFont="1" applyFill="1" applyBorder="1"/>
    <xf numFmtId="41" fontId="10" fillId="0" borderId="4" xfId="1" applyFont="1" applyFill="1" applyBorder="1"/>
    <xf numFmtId="37" fontId="16" fillId="0" borderId="4" xfId="0" applyNumberFormat="1" applyFont="1" applyFill="1" applyBorder="1" applyAlignment="1" applyProtection="1">
      <alignment horizontal="right" vertical="center"/>
    </xf>
    <xf numFmtId="166" fontId="5" fillId="0" borderId="1" xfId="0" applyFont="1" applyFill="1" applyBorder="1" applyAlignment="1">
      <alignment horizontal="center"/>
    </xf>
    <xf numFmtId="166" fontId="5" fillId="0" borderId="0" xfId="0" applyFont="1" applyFill="1" applyBorder="1" applyAlignment="1">
      <alignment horizontal="center"/>
    </xf>
    <xf numFmtId="166" fontId="5" fillId="0" borderId="0" xfId="0" applyFont="1" applyFill="1" applyAlignment="1">
      <alignment horizontal="center"/>
    </xf>
    <xf numFmtId="166" fontId="8" fillId="0" borderId="0" xfId="0" applyFont="1" applyFill="1" applyAlignment="1">
      <alignment horizontal="center"/>
    </xf>
    <xf numFmtId="41" fontId="4" fillId="0" borderId="0" xfId="1" applyFont="1" applyFill="1" applyAlignment="1">
      <alignment horizontal="center"/>
    </xf>
    <xf numFmtId="41" fontId="7" fillId="0" borderId="0" xfId="1" applyFont="1" applyFill="1" applyBorder="1"/>
    <xf numFmtId="166" fontId="11" fillId="0" borderId="0" xfId="0" applyFont="1" applyFill="1" applyBorder="1" applyAlignment="1" applyProtection="1">
      <alignment horizontal="center"/>
    </xf>
    <xf numFmtId="37" fontId="11" fillId="0" borderId="0" xfId="0" applyNumberFormat="1" applyFont="1" applyFill="1" applyBorder="1" applyAlignment="1" applyProtection="1">
      <alignment horizontal="center" vertical="center"/>
    </xf>
    <xf numFmtId="41" fontId="13" fillId="0" borderId="0" xfId="1" applyFont="1" applyFill="1" applyBorder="1" applyAlignment="1" applyProtection="1">
      <alignment horizontal="center" vertical="center"/>
    </xf>
    <xf numFmtId="41" fontId="4" fillId="0" borderId="0" xfId="1" applyFont="1" applyFill="1" applyBorder="1"/>
    <xf numFmtId="166" fontId="11" fillId="0" borderId="9" xfId="0" applyNumberFormat="1" applyFont="1" applyFill="1" applyBorder="1" applyAlignment="1" applyProtection="1">
      <alignment horizontal="center" vertical="center"/>
    </xf>
    <xf numFmtId="166" fontId="16" fillId="0" borderId="4" xfId="0" applyFont="1" applyFill="1" applyBorder="1" applyAlignment="1">
      <alignment horizontal="center" vertical="center"/>
    </xf>
    <xf numFmtId="41" fontId="16" fillId="0" borderId="4" xfId="1" applyFont="1" applyFill="1" applyBorder="1" applyAlignment="1">
      <alignment horizontal="center" wrapText="1"/>
    </xf>
    <xf numFmtId="166" fontId="14" fillId="0" borderId="4" xfId="0" applyFont="1" applyFill="1" applyBorder="1" applyAlignment="1">
      <alignment horizontal="center" vertical="center"/>
    </xf>
    <xf numFmtId="165" fontId="14" fillId="0" borderId="4" xfId="5" applyNumberFormat="1" applyFont="1" applyFill="1" applyBorder="1" applyAlignment="1">
      <alignment horizontal="center" wrapText="1"/>
    </xf>
    <xf numFmtId="166" fontId="16" fillId="0" borderId="4" xfId="0" applyFont="1" applyFill="1" applyBorder="1" applyAlignment="1">
      <alignment horizontal="center"/>
    </xf>
    <xf numFmtId="41" fontId="16" fillId="0" borderId="4" xfId="1" applyFont="1" applyFill="1" applyBorder="1" applyAlignment="1">
      <alignment horizontal="right"/>
    </xf>
    <xf numFmtId="166" fontId="2" fillId="0" borderId="4" xfId="0" applyFont="1" applyFill="1" applyBorder="1" applyAlignment="1">
      <alignment horizontal="center"/>
    </xf>
    <xf numFmtId="166" fontId="2" fillId="0" borderId="0" xfId="0" applyFont="1" applyFill="1" applyBorder="1"/>
    <xf numFmtId="41" fontId="2" fillId="0" borderId="0" xfId="1" applyFont="1" applyFill="1" applyBorder="1"/>
    <xf numFmtId="166" fontId="15" fillId="0" borderId="7" xfId="0" applyFont="1" applyFill="1" applyBorder="1" applyAlignment="1" applyProtection="1">
      <alignment horizontal="center"/>
    </xf>
    <xf numFmtId="166" fontId="15" fillId="0" borderId="9" xfId="0" applyFont="1" applyFill="1" applyBorder="1" applyAlignment="1" applyProtection="1">
      <alignment horizontal="center" vertical="center"/>
    </xf>
    <xf numFmtId="166" fontId="15" fillId="0" borderId="14" xfId="0" applyFont="1" applyFill="1" applyBorder="1" applyAlignment="1" applyProtection="1">
      <alignment horizontal="center" vertical="center"/>
    </xf>
    <xf numFmtId="37" fontId="15" fillId="0" borderId="9" xfId="0" applyNumberFormat="1" applyFont="1" applyFill="1" applyBorder="1" applyAlignment="1" applyProtection="1">
      <alignment horizontal="center" vertical="center"/>
    </xf>
    <xf numFmtId="41" fontId="2" fillId="0" borderId="0" xfId="1" applyFont="1" applyFill="1"/>
    <xf numFmtId="166" fontId="2" fillId="0" borderId="0" xfId="0" applyFont="1" applyFill="1" applyAlignment="1">
      <alignment horizontal="center"/>
    </xf>
    <xf numFmtId="166" fontId="16" fillId="0" borderId="2" xfId="0" applyFont="1" applyFill="1" applyBorder="1" applyAlignment="1">
      <alignment horizontal="center"/>
    </xf>
    <xf numFmtId="41" fontId="2" fillId="0" borderId="0" xfId="1" applyFont="1" applyFill="1" applyAlignment="1">
      <alignment horizontal="center"/>
    </xf>
    <xf numFmtId="41" fontId="2" fillId="0" borderId="10" xfId="1" applyFont="1" applyFill="1" applyBorder="1"/>
    <xf numFmtId="41" fontId="16" fillId="0" borderId="12" xfId="1" applyFont="1" applyFill="1" applyBorder="1" applyAlignment="1">
      <alignment horizontal="right"/>
    </xf>
    <xf numFmtId="166" fontId="12" fillId="0" borderId="7" xfId="0" applyNumberFormat="1" applyFont="1" applyFill="1" applyBorder="1" applyAlignment="1" applyProtection="1">
      <alignment horizontal="center" vertical="center"/>
    </xf>
    <xf numFmtId="166" fontId="12" fillId="0" borderId="7" xfId="0" applyFont="1" applyFill="1" applyBorder="1" applyAlignment="1" applyProtection="1">
      <alignment horizontal="center" vertical="center"/>
    </xf>
    <xf numFmtId="41" fontId="12" fillId="0" borderId="7" xfId="1" applyFont="1" applyFill="1" applyBorder="1" applyAlignment="1" applyProtection="1">
      <alignment horizontal="center" vertical="center"/>
    </xf>
    <xf numFmtId="166" fontId="2" fillId="0" borderId="3" xfId="0" applyFont="1" applyFill="1" applyBorder="1" applyAlignment="1">
      <alignment horizontal="center"/>
    </xf>
    <xf numFmtId="41" fontId="16" fillId="0" borderId="2" xfId="1" applyFont="1" applyFill="1" applyBorder="1" applyAlignment="1">
      <alignment horizontal="right"/>
    </xf>
    <xf numFmtId="166" fontId="15" fillId="0" borderId="7" xfId="0" applyFont="1" applyFill="1" applyBorder="1" applyAlignment="1" applyProtection="1">
      <alignment horizontal="center" vertical="center"/>
    </xf>
    <xf numFmtId="166" fontId="16" fillId="0" borderId="2" xfId="0" applyNumberFormat="1" applyFont="1" applyBorder="1" applyAlignment="1">
      <alignment horizontal="center"/>
    </xf>
    <xf numFmtId="41" fontId="16" fillId="0" borderId="2" xfId="1" applyFont="1" applyBorder="1" applyAlignment="1">
      <alignment horizontal="right"/>
    </xf>
    <xf numFmtId="41" fontId="2" fillId="0" borderId="4" xfId="1" applyFont="1" applyBorder="1"/>
    <xf numFmtId="166" fontId="16" fillId="0" borderId="4" xfId="0" applyNumberFormat="1" applyFont="1" applyBorder="1" applyAlignment="1">
      <alignment horizontal="center"/>
    </xf>
    <xf numFmtId="166" fontId="16" fillId="0" borderId="4" xfId="0" applyFont="1" applyBorder="1" applyAlignment="1">
      <alignment horizontal="center"/>
    </xf>
    <xf numFmtId="41" fontId="16" fillId="0" borderId="4" xfId="1" applyFont="1" applyBorder="1" applyAlignment="1">
      <alignment horizontal="right"/>
    </xf>
    <xf numFmtId="41" fontId="2" fillId="0" borderId="4" xfId="0" applyNumberFormat="1" applyFont="1" applyBorder="1"/>
    <xf numFmtId="41" fontId="10" fillId="0" borderId="4" xfId="0" applyNumberFormat="1" applyFont="1" applyBorder="1"/>
    <xf numFmtId="166" fontId="2" fillId="0" borderId="4" xfId="0" applyNumberFormat="1" applyFont="1" applyBorder="1" applyAlignment="1">
      <alignment horizontal="center"/>
    </xf>
    <xf numFmtId="166" fontId="2" fillId="0" borderId="4" xfId="0" quotePrefix="1" applyFont="1" applyBorder="1" applyAlignment="1">
      <alignment horizontal="center"/>
    </xf>
    <xf numFmtId="41" fontId="2" fillId="0" borderId="4" xfId="1" applyFont="1" applyBorder="1" applyAlignment="1">
      <alignment horizontal="center"/>
    </xf>
    <xf numFmtId="166" fontId="2" fillId="0" borderId="4" xfId="0" applyFont="1" applyBorder="1" applyAlignment="1">
      <alignment horizontal="center"/>
    </xf>
    <xf numFmtId="164" fontId="17" fillId="0" borderId="4" xfId="0" applyNumberFormat="1" applyFont="1" applyBorder="1"/>
    <xf numFmtId="41" fontId="18" fillId="0" borderId="4" xfId="0" applyNumberFormat="1" applyFont="1" applyFill="1" applyBorder="1"/>
    <xf numFmtId="166" fontId="7" fillId="0" borderId="1" xfId="0" applyFont="1" applyFill="1" applyBorder="1" applyAlignment="1">
      <alignment horizontal="center"/>
    </xf>
    <xf numFmtId="41" fontId="7" fillId="0" borderId="0" xfId="1" applyFont="1" applyFill="1" applyAlignment="1">
      <alignment horizontal="center"/>
    </xf>
    <xf numFmtId="166" fontId="17" fillId="0" borderId="2" xfId="0" applyFont="1" applyFill="1" applyBorder="1" applyAlignment="1">
      <alignment horizontal="center"/>
    </xf>
    <xf numFmtId="41" fontId="10" fillId="0" borderId="0" xfId="1" applyFont="1" applyFill="1" applyAlignment="1">
      <alignment horizontal="center"/>
    </xf>
    <xf numFmtId="41" fontId="10" fillId="0" borderId="10" xfId="1" applyFont="1" applyFill="1" applyBorder="1"/>
    <xf numFmtId="41" fontId="17" fillId="0" borderId="11" xfId="1" applyFont="1" applyFill="1" applyBorder="1" applyAlignment="1">
      <alignment horizontal="right"/>
    </xf>
    <xf numFmtId="41" fontId="16" fillId="0" borderId="4" xfId="0" applyNumberFormat="1" applyFont="1" applyBorder="1"/>
    <xf numFmtId="41" fontId="16" fillId="0" borderId="4" xfId="1" applyFont="1" applyFill="1" applyBorder="1"/>
    <xf numFmtId="166" fontId="5" fillId="0" borderId="4" xfId="0" applyNumberFormat="1" applyFont="1" applyBorder="1" applyAlignment="1">
      <alignment horizontal="center" vertical="center"/>
    </xf>
    <xf numFmtId="166" fontId="5" fillId="0" borderId="4" xfId="0" applyFont="1" applyBorder="1" applyAlignment="1">
      <alignment horizontal="center"/>
    </xf>
    <xf numFmtId="41" fontId="16" fillId="0" borderId="0" xfId="1" applyFont="1" applyFill="1" applyAlignment="1">
      <alignment horizontal="center"/>
    </xf>
    <xf numFmtId="41" fontId="16" fillId="0" borderId="22" xfId="1" applyFont="1" applyFill="1" applyBorder="1"/>
    <xf numFmtId="41" fontId="16" fillId="0" borderId="10" xfId="1" applyFont="1" applyFill="1" applyBorder="1"/>
    <xf numFmtId="166" fontId="16" fillId="0" borderId="23" xfId="0" applyFont="1" applyFill="1" applyBorder="1" applyAlignment="1">
      <alignment horizontal="center"/>
    </xf>
    <xf numFmtId="41" fontId="16" fillId="0" borderId="23" xfId="1" applyFont="1" applyFill="1" applyBorder="1"/>
    <xf numFmtId="166" fontId="16" fillId="0" borderId="23" xfId="0" applyFont="1" applyFill="1" applyBorder="1" applyAlignment="1">
      <alignment horizontal="center" vertical="center"/>
    </xf>
    <xf numFmtId="166" fontId="16" fillId="0" borderId="23" xfId="0" applyNumberFormat="1" applyFont="1" applyFill="1" applyBorder="1" applyAlignment="1" applyProtection="1">
      <alignment horizontal="center" vertical="center"/>
    </xf>
    <xf numFmtId="165" fontId="16" fillId="0" borderId="23" xfId="5" applyNumberFormat="1" applyFont="1" applyFill="1" applyBorder="1" applyAlignment="1">
      <alignment horizontal="center" wrapText="1"/>
    </xf>
    <xf numFmtId="41" fontId="18" fillId="0" borderId="18" xfId="0" applyNumberFormat="1" applyFont="1" applyBorder="1"/>
    <xf numFmtId="166" fontId="14" fillId="0" borderId="23" xfId="0" applyFont="1" applyFill="1" applyBorder="1" applyAlignment="1">
      <alignment horizontal="center" vertical="center"/>
    </xf>
    <xf numFmtId="41" fontId="16" fillId="0" borderId="23" xfId="1" applyFont="1" applyFill="1" applyBorder="1" applyAlignment="1">
      <alignment horizontal="center" wrapText="1"/>
    </xf>
    <xf numFmtId="41" fontId="2" fillId="0" borderId="23" xfId="1" applyFont="1" applyFill="1" applyBorder="1"/>
    <xf numFmtId="41" fontId="16" fillId="0" borderId="12" xfId="1" applyFont="1" applyFill="1" applyBorder="1"/>
    <xf numFmtId="14" fontId="4" fillId="0" borderId="1" xfId="0" applyNumberFormat="1" applyFont="1" applyBorder="1" applyAlignment="1">
      <alignment horizontal="center"/>
    </xf>
    <xf numFmtId="14" fontId="11" fillId="0" borderId="7" xfId="0" applyNumberFormat="1" applyFont="1" applyBorder="1" applyAlignment="1" applyProtection="1">
      <alignment horizontal="center"/>
    </xf>
    <xf numFmtId="14" fontId="11" fillId="0" borderId="9" xfId="0" applyNumberFormat="1" applyFont="1" applyBorder="1" applyAlignment="1" applyProtection="1">
      <alignment horizontal="center" vertical="center"/>
    </xf>
    <xf numFmtId="14" fontId="16" fillId="0" borderId="4" xfId="0" applyNumberFormat="1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14" fontId="5" fillId="0" borderId="1" xfId="0" applyNumberFormat="1" applyFont="1" applyFill="1" applyBorder="1"/>
    <xf numFmtId="14" fontId="11" fillId="0" borderId="7" xfId="0" applyNumberFormat="1" applyFont="1" applyFill="1" applyBorder="1" applyAlignment="1" applyProtection="1">
      <alignment horizontal="center"/>
    </xf>
    <xf numFmtId="14" fontId="11" fillId="0" borderId="9" xfId="0" applyNumberFormat="1" applyFont="1" applyFill="1" applyBorder="1" applyAlignment="1" applyProtection="1">
      <alignment horizontal="center" vertical="center"/>
    </xf>
    <xf numFmtId="14" fontId="14" fillId="0" borderId="4" xfId="0" applyNumberFormat="1" applyFont="1" applyFill="1" applyBorder="1" applyAlignment="1">
      <alignment horizontal="center"/>
    </xf>
    <xf numFmtId="14" fontId="16" fillId="0" borderId="23" xfId="0" applyNumberFormat="1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14" fontId="5" fillId="0" borderId="0" xfId="0" applyNumberFormat="1" applyFont="1" applyFill="1"/>
    <xf numFmtId="14" fontId="2" fillId="0" borderId="0" xfId="0" applyNumberFormat="1" applyFont="1" applyFill="1" applyBorder="1"/>
    <xf numFmtId="14" fontId="15" fillId="0" borderId="9" xfId="0" applyNumberFormat="1" applyFont="1" applyFill="1" applyBorder="1" applyAlignment="1" applyProtection="1">
      <alignment horizontal="center" vertical="center"/>
    </xf>
    <xf numFmtId="14" fontId="7" fillId="0" borderId="1" xfId="0" applyNumberFormat="1" applyFont="1" applyFill="1" applyBorder="1" applyAlignment="1">
      <alignment horizontal="center"/>
    </xf>
    <xf numFmtId="14" fontId="17" fillId="0" borderId="2" xfId="0" applyNumberFormat="1" applyFont="1" applyFill="1" applyBorder="1" applyAlignment="1">
      <alignment horizontal="center"/>
    </xf>
    <xf numFmtId="14" fontId="16" fillId="0" borderId="23" xfId="1" applyNumberFormat="1" applyFont="1" applyFill="1" applyBorder="1" applyAlignment="1">
      <alignment horizontal="center"/>
    </xf>
    <xf numFmtId="14" fontId="16" fillId="0" borderId="21" xfId="1" applyNumberFormat="1" applyFont="1" applyFill="1" applyBorder="1" applyAlignment="1">
      <alignment horizontal="center"/>
    </xf>
    <xf numFmtId="14" fontId="16" fillId="0" borderId="4" xfId="1" applyNumberFormat="1" applyFont="1" applyFill="1" applyBorder="1" applyAlignment="1">
      <alignment horizontal="center"/>
    </xf>
    <xf numFmtId="14" fontId="14" fillId="0" borderId="23" xfId="0" applyNumberFormat="1" applyFont="1" applyFill="1" applyBorder="1" applyAlignment="1">
      <alignment horizontal="center" wrapText="1"/>
    </xf>
    <xf numFmtId="14" fontId="4" fillId="0" borderId="0" xfId="0" applyNumberFormat="1" applyFont="1" applyFill="1" applyAlignment="1">
      <alignment horizontal="center"/>
    </xf>
    <xf numFmtId="14" fontId="12" fillId="0" borderId="7" xfId="0" applyNumberFormat="1" applyFont="1" applyFill="1" applyBorder="1" applyAlignment="1" applyProtection="1">
      <alignment horizontal="center" vertical="center"/>
    </xf>
    <xf numFmtId="14" fontId="2" fillId="0" borderId="3" xfId="0" applyNumberFormat="1" applyFont="1" applyFill="1" applyBorder="1" applyAlignment="1">
      <alignment horizontal="center"/>
    </xf>
    <xf numFmtId="14" fontId="5" fillId="0" borderId="0" xfId="0" applyNumberFormat="1" applyFont="1" applyFill="1" applyBorder="1"/>
    <xf numFmtId="14" fontId="5" fillId="0" borderId="1" xfId="0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/>
    </xf>
    <xf numFmtId="14" fontId="16" fillId="0" borderId="4" xfId="0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41" fontId="4" fillId="0" borderId="0" xfId="1" applyFont="1"/>
    <xf numFmtId="166" fontId="4" fillId="0" borderId="23" xfId="0" applyFont="1" applyFill="1" applyBorder="1"/>
    <xf numFmtId="166" fontId="4" fillId="0" borderId="23" xfId="0" applyFont="1" applyFill="1" applyBorder="1" applyAlignment="1">
      <alignment horizontal="center"/>
    </xf>
    <xf numFmtId="37" fontId="18" fillId="0" borderId="4" xfId="0" applyNumberFormat="1" applyFont="1" applyFill="1" applyBorder="1"/>
    <xf numFmtId="166" fontId="14" fillId="0" borderId="23" xfId="0" applyNumberFormat="1" applyFont="1" applyFill="1" applyBorder="1" applyAlignment="1" applyProtection="1">
      <alignment horizontal="center" vertical="center"/>
    </xf>
    <xf numFmtId="165" fontId="14" fillId="0" borderId="23" xfId="5" applyNumberFormat="1" applyFont="1" applyFill="1" applyBorder="1" applyAlignment="1">
      <alignment horizontal="center" wrapText="1"/>
    </xf>
    <xf numFmtId="37" fontId="16" fillId="0" borderId="23" xfId="0" applyNumberFormat="1" applyFont="1" applyFill="1" applyBorder="1" applyAlignment="1" applyProtection="1">
      <alignment horizontal="right" vertical="center"/>
    </xf>
    <xf numFmtId="166" fontId="16" fillId="0" borderId="2" xfId="0" quotePrefix="1" applyNumberFormat="1" applyFont="1" applyFill="1" applyBorder="1" applyAlignment="1">
      <alignment horizontal="center"/>
    </xf>
    <xf numFmtId="3" fontId="16" fillId="0" borderId="4" xfId="0" applyNumberFormat="1" applyFont="1" applyBorder="1" applyAlignment="1">
      <alignment horizontal="center"/>
    </xf>
    <xf numFmtId="14" fontId="16" fillId="0" borderId="23" xfId="0" applyNumberFormat="1" applyFont="1" applyFill="1" applyBorder="1" applyAlignment="1">
      <alignment horizontal="center" wrapText="1"/>
    </xf>
    <xf numFmtId="166" fontId="16" fillId="0" borderId="0" xfId="0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/>
    </xf>
    <xf numFmtId="41" fontId="3" fillId="0" borderId="4" xfId="1" applyFont="1" applyFill="1" applyBorder="1" applyAlignment="1">
      <alignment horizontal="center" wrapText="1"/>
    </xf>
    <xf numFmtId="14" fontId="3" fillId="0" borderId="4" xfId="0" applyNumberFormat="1" applyFont="1" applyFill="1" applyBorder="1" applyAlignment="1" applyProtection="1">
      <alignment horizontal="center" vertical="center"/>
    </xf>
    <xf numFmtId="41" fontId="3" fillId="0" borderId="4" xfId="1" applyFont="1" applyFill="1" applyBorder="1" applyAlignment="1" applyProtection="1">
      <alignment horizontal="center" vertical="center"/>
    </xf>
    <xf numFmtId="41" fontId="3" fillId="0" borderId="23" xfId="1" applyFont="1" applyFill="1" applyBorder="1" applyAlignment="1">
      <alignment horizontal="center"/>
    </xf>
    <xf numFmtId="166" fontId="3" fillId="0" borderId="4" xfId="0" applyFont="1" applyFill="1" applyBorder="1" applyAlignment="1">
      <alignment horizontal="center" vertical="center"/>
    </xf>
    <xf numFmtId="41" fontId="3" fillId="0" borderId="4" xfId="1" applyFont="1" applyFill="1" applyBorder="1" applyAlignment="1">
      <alignment horizontal="center"/>
    </xf>
    <xf numFmtId="41" fontId="3" fillId="0" borderId="4" xfId="1" applyFont="1" applyFill="1" applyBorder="1" applyAlignment="1">
      <alignment horizontal="center" shrinkToFit="1"/>
    </xf>
    <xf numFmtId="166" fontId="3" fillId="0" borderId="4" xfId="0" applyFont="1" applyFill="1" applyBorder="1" applyAlignment="1">
      <alignment horizontal="center" wrapText="1"/>
    </xf>
    <xf numFmtId="165" fontId="3" fillId="0" borderId="4" xfId="5" applyNumberFormat="1" applyFont="1" applyFill="1" applyBorder="1" applyAlignment="1">
      <alignment horizontal="center" wrapText="1"/>
    </xf>
    <xf numFmtId="41" fontId="3" fillId="0" borderId="23" xfId="1" applyFont="1" applyFill="1" applyBorder="1" applyAlignment="1">
      <alignment horizontal="center" wrapText="1"/>
    </xf>
    <xf numFmtId="14" fontId="3" fillId="0" borderId="23" xfId="0" applyNumberFormat="1" applyFont="1" applyFill="1" applyBorder="1" applyAlignment="1" applyProtection="1">
      <alignment horizontal="center" vertical="center"/>
    </xf>
    <xf numFmtId="166" fontId="3" fillId="0" borderId="23" xfId="0" applyFont="1" applyFill="1" applyBorder="1" applyAlignment="1">
      <alignment horizontal="center" wrapText="1"/>
    </xf>
    <xf numFmtId="165" fontId="3" fillId="0" borderId="23" xfId="5" applyNumberFormat="1" applyFont="1" applyFill="1" applyBorder="1" applyAlignment="1">
      <alignment horizontal="center" wrapText="1"/>
    </xf>
    <xf numFmtId="14" fontId="4" fillId="0" borderId="23" xfId="10" applyNumberFormat="1" applyFont="1" applyBorder="1" applyAlignment="1">
      <alignment horizontal="center"/>
    </xf>
    <xf numFmtId="166" fontId="23" fillId="0" borderId="23" xfId="0" applyFont="1" applyFill="1" applyBorder="1" applyAlignment="1">
      <alignment horizontal="center" wrapText="1"/>
    </xf>
    <xf numFmtId="165" fontId="23" fillId="0" borderId="23" xfId="5" applyNumberFormat="1" applyFont="1" applyFill="1" applyBorder="1" applyAlignment="1">
      <alignment horizontal="center" wrapText="1"/>
    </xf>
    <xf numFmtId="41" fontId="16" fillId="0" borderId="12" xfId="1" applyFont="1" applyFill="1" applyBorder="1" applyAlignment="1">
      <alignment horizontal="center" wrapText="1"/>
    </xf>
    <xf numFmtId="166" fontId="16" fillId="0" borderId="0" xfId="0" applyNumberFormat="1" applyFont="1" applyFill="1" applyBorder="1" applyAlignment="1" applyProtection="1">
      <alignment horizontal="center" vertical="center"/>
    </xf>
    <xf numFmtId="14" fontId="14" fillId="0" borderId="23" xfId="0" applyNumberFormat="1" applyFont="1" applyBorder="1" applyAlignment="1">
      <alignment horizontal="center"/>
    </xf>
    <xf numFmtId="166" fontId="14" fillId="0" borderId="23" xfId="0" applyFont="1" applyBorder="1" applyAlignment="1">
      <alignment horizontal="center"/>
    </xf>
    <xf numFmtId="3" fontId="14" fillId="0" borderId="23" xfId="0" applyNumberFormat="1" applyFont="1" applyBorder="1" applyAlignment="1">
      <alignment horizontal="center"/>
    </xf>
    <xf numFmtId="41" fontId="16" fillId="0" borderId="23" xfId="1" applyFont="1" applyBorder="1" applyAlignment="1">
      <alignment horizontal="right"/>
    </xf>
    <xf numFmtId="166" fontId="3" fillId="0" borderId="4" xfId="0" applyNumberFormat="1" applyFont="1" applyFill="1" applyBorder="1" applyAlignment="1" applyProtection="1">
      <alignment horizontal="center" vertical="center"/>
    </xf>
    <xf numFmtId="165" fontId="3" fillId="0" borderId="4" xfId="5" applyNumberFormat="1" applyFont="1" applyFill="1" applyBorder="1" applyAlignment="1" applyProtection="1">
      <alignment horizontal="center" vertical="center"/>
    </xf>
    <xf numFmtId="41" fontId="22" fillId="0" borderId="4" xfId="1" applyFont="1" applyFill="1" applyBorder="1" applyAlignment="1">
      <alignment horizontal="center"/>
    </xf>
    <xf numFmtId="14" fontId="3" fillId="0" borderId="23" xfId="10" applyNumberFormat="1" applyFont="1" applyBorder="1" applyAlignment="1">
      <alignment horizontal="center"/>
    </xf>
    <xf numFmtId="3" fontId="3" fillId="0" borderId="23" xfId="9" applyNumberFormat="1" applyFont="1" applyBorder="1" applyAlignment="1">
      <alignment horizontal="right"/>
    </xf>
    <xf numFmtId="41" fontId="3" fillId="0" borderId="23" xfId="1" applyFont="1" applyBorder="1" applyAlignment="1">
      <alignment horizontal="center" vertical="center"/>
    </xf>
    <xf numFmtId="166" fontId="23" fillId="0" borderId="23" xfId="0" applyFont="1" applyFill="1" applyBorder="1" applyAlignment="1">
      <alignment horizontal="center" vertical="center"/>
    </xf>
    <xf numFmtId="166" fontId="16" fillId="0" borderId="4" xfId="0" applyNumberFormat="1" applyFont="1" applyFill="1" applyBorder="1" applyAlignment="1" applyProtection="1">
      <alignment horizontal="center" vertical="center"/>
    </xf>
    <xf numFmtId="165" fontId="16" fillId="0" borderId="4" xfId="5" applyNumberFormat="1" applyFont="1" applyFill="1" applyBorder="1" applyAlignment="1">
      <alignment horizontal="center" wrapText="1"/>
    </xf>
    <xf numFmtId="166" fontId="14" fillId="0" borderId="23" xfId="0" applyFont="1" applyFill="1" applyBorder="1" applyAlignment="1">
      <alignment horizontal="center"/>
    </xf>
    <xf numFmtId="37" fontId="17" fillId="0" borderId="4" xfId="0" applyNumberFormat="1" applyFont="1" applyFill="1" applyBorder="1" applyAlignment="1" applyProtection="1">
      <alignment horizontal="right" vertical="center"/>
    </xf>
    <xf numFmtId="41" fontId="16" fillId="0" borderId="4" xfId="1" applyFont="1" applyFill="1" applyBorder="1" applyAlignment="1">
      <alignment horizontal="center" vertical="center"/>
    </xf>
    <xf numFmtId="41" fontId="17" fillId="0" borderId="4" xfId="0" applyNumberFormat="1" applyFont="1" applyFill="1" applyBorder="1"/>
    <xf numFmtId="41" fontId="16" fillId="0" borderId="23" xfId="1" applyFont="1" applyFill="1" applyBorder="1" applyAlignment="1">
      <alignment horizontal="center" vertical="center"/>
    </xf>
    <xf numFmtId="166" fontId="2" fillId="0" borderId="0" xfId="0" applyFont="1" applyFill="1" applyAlignment="1">
      <alignment vertical="center"/>
    </xf>
    <xf numFmtId="14" fontId="2" fillId="0" borderId="1" xfId="0" applyNumberFormat="1" applyFont="1" applyFill="1" applyBorder="1" applyAlignment="1">
      <alignment vertical="center"/>
    </xf>
    <xf numFmtId="166" fontId="2" fillId="0" borderId="1" xfId="0" applyFont="1" applyFill="1" applyBorder="1" applyAlignment="1">
      <alignment vertical="center"/>
    </xf>
    <xf numFmtId="41" fontId="2" fillId="0" borderId="1" xfId="1" applyFont="1" applyFill="1" applyBorder="1" applyAlignment="1">
      <alignment vertical="center"/>
    </xf>
    <xf numFmtId="166" fontId="10" fillId="0" borderId="1" xfId="0" applyFont="1" applyFill="1" applyBorder="1" applyAlignment="1">
      <alignment vertical="center"/>
    </xf>
    <xf numFmtId="14" fontId="15" fillId="0" borderId="7" xfId="0" applyNumberFormat="1" applyFont="1" applyFill="1" applyBorder="1" applyAlignment="1" applyProtection="1">
      <alignment horizontal="center" vertical="center"/>
    </xf>
    <xf numFmtId="166" fontId="15" fillId="0" borderId="8" xfId="0" applyFont="1" applyFill="1" applyBorder="1" applyAlignment="1" applyProtection="1">
      <alignment horizontal="center" vertical="center"/>
    </xf>
    <xf numFmtId="41" fontId="2" fillId="0" borderId="0" xfId="0" applyNumberFormat="1" applyFont="1" applyFill="1" applyAlignment="1">
      <alignment vertical="center"/>
    </xf>
    <xf numFmtId="41" fontId="16" fillId="0" borderId="4" xfId="1" applyFont="1" applyFill="1" applyBorder="1" applyAlignment="1">
      <alignment horizontal="center" vertical="center" wrapText="1"/>
    </xf>
    <xf numFmtId="41" fontId="16" fillId="0" borderId="23" xfId="1" applyFont="1" applyFill="1" applyBorder="1" applyAlignment="1">
      <alignment horizontal="center" vertical="center" wrapText="1"/>
    </xf>
    <xf numFmtId="14" fontId="16" fillId="0" borderId="4" xfId="0" applyNumberFormat="1" applyFont="1" applyFill="1" applyBorder="1" applyAlignment="1">
      <alignment horizontal="center" vertical="center"/>
    </xf>
    <xf numFmtId="14" fontId="16" fillId="0" borderId="4" xfId="0" applyNumberFormat="1" applyFont="1" applyFill="1" applyBorder="1" applyAlignment="1">
      <alignment horizontal="center" vertical="center" wrapText="1"/>
    </xf>
    <xf numFmtId="41" fontId="16" fillId="0" borderId="4" xfId="1" applyFont="1" applyFill="1" applyBorder="1" applyAlignment="1">
      <alignment vertical="center"/>
    </xf>
    <xf numFmtId="14" fontId="16" fillId="0" borderId="23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vertical="center"/>
    </xf>
    <xf numFmtId="41" fontId="2" fillId="0" borderId="0" xfId="1" applyFont="1" applyFill="1" applyAlignment="1">
      <alignment vertical="center"/>
    </xf>
    <xf numFmtId="166" fontId="10" fillId="0" borderId="0" xfId="0" applyFont="1" applyFill="1" applyAlignment="1">
      <alignment vertical="center"/>
    </xf>
    <xf numFmtId="41" fontId="16" fillId="0" borderId="4" xfId="1" applyFont="1" applyFill="1" applyBorder="1" applyAlignment="1">
      <alignment horizontal="center"/>
    </xf>
    <xf numFmtId="41" fontId="17" fillId="0" borderId="4" xfId="1" applyFont="1" applyFill="1" applyBorder="1"/>
    <xf numFmtId="14" fontId="17" fillId="0" borderId="23" xfId="0" applyNumberFormat="1" applyFont="1" applyFill="1" applyBorder="1" applyAlignment="1">
      <alignment horizontal="center"/>
    </xf>
    <xf numFmtId="166" fontId="17" fillId="0" borderId="23" xfId="0" applyFont="1" applyFill="1" applyBorder="1" applyAlignment="1">
      <alignment horizontal="center"/>
    </xf>
    <xf numFmtId="41" fontId="10" fillId="0" borderId="0" xfId="1" applyFont="1" applyFill="1" applyBorder="1" applyAlignment="1">
      <alignment horizontal="center"/>
    </xf>
    <xf numFmtId="41" fontId="10" fillId="0" borderId="20" xfId="1" applyFont="1" applyFill="1" applyBorder="1"/>
    <xf numFmtId="41" fontId="16" fillId="0" borderId="23" xfId="1" applyFont="1" applyFill="1" applyBorder="1" applyAlignment="1">
      <alignment horizontal="right"/>
    </xf>
    <xf numFmtId="166" fontId="16" fillId="0" borderId="0" xfId="0" applyFont="1" applyFill="1" applyAlignment="1">
      <alignment horizontal="center"/>
    </xf>
    <xf numFmtId="3" fontId="16" fillId="0" borderId="5" xfId="0" applyNumberFormat="1" applyFont="1" applyFill="1" applyBorder="1"/>
    <xf numFmtId="14" fontId="16" fillId="0" borderId="10" xfId="0" applyNumberFormat="1" applyFont="1" applyFill="1" applyBorder="1" applyAlignment="1" applyProtection="1">
      <alignment horizontal="center" vertical="center"/>
    </xf>
    <xf numFmtId="166" fontId="16" fillId="0" borderId="10" xfId="0" applyFont="1" applyFill="1" applyBorder="1" applyAlignment="1" applyProtection="1">
      <alignment horizontal="center" vertical="center"/>
    </xf>
    <xf numFmtId="166" fontId="16" fillId="0" borderId="0" xfId="0" applyFont="1" applyFill="1" applyBorder="1" applyAlignment="1">
      <alignment horizontal="center"/>
    </xf>
    <xf numFmtId="166" fontId="17" fillId="0" borderId="10" xfId="0" applyFont="1" applyFill="1" applyBorder="1" applyAlignment="1" applyProtection="1">
      <alignment horizontal="center" vertical="center"/>
    </xf>
    <xf numFmtId="41" fontId="16" fillId="0" borderId="19" xfId="1" applyFont="1" applyFill="1" applyBorder="1" applyAlignment="1" applyProtection="1">
      <alignment horizontal="center" vertical="center"/>
    </xf>
    <xf numFmtId="166" fontId="17" fillId="0" borderId="10" xfId="0" applyNumberFormat="1" applyFont="1" applyFill="1" applyBorder="1" applyAlignment="1" applyProtection="1">
      <alignment horizontal="center" vertical="center"/>
    </xf>
    <xf numFmtId="41" fontId="16" fillId="0" borderId="10" xfId="1" applyFont="1" applyFill="1" applyBorder="1" applyAlignment="1" applyProtection="1">
      <alignment horizontal="center" vertical="center"/>
    </xf>
    <xf numFmtId="14" fontId="16" fillId="0" borderId="23" xfId="0" applyNumberFormat="1" applyFont="1" applyFill="1" applyBorder="1" applyAlignment="1" applyProtection="1">
      <alignment horizontal="center" vertical="center"/>
    </xf>
    <xf numFmtId="41" fontId="16" fillId="0" borderId="0" xfId="1" applyFont="1" applyFill="1"/>
    <xf numFmtId="166" fontId="20" fillId="0" borderId="4" xfId="0" applyFont="1" applyBorder="1" applyAlignment="1">
      <alignment horizontal="center"/>
    </xf>
    <xf numFmtId="166" fontId="20" fillId="0" borderId="4" xfId="0" applyNumberFormat="1" applyFont="1" applyBorder="1" applyAlignment="1">
      <alignment horizontal="center" vertical="center"/>
    </xf>
    <xf numFmtId="41" fontId="16" fillId="0" borderId="4" xfId="1" applyFont="1" applyBorder="1" applyAlignment="1">
      <alignment horizontal="center"/>
    </xf>
    <xf numFmtId="41" fontId="16" fillId="0" borderId="4" xfId="1" applyFont="1" applyBorder="1"/>
    <xf numFmtId="14" fontId="23" fillId="0" borderId="23" xfId="0" applyNumberFormat="1" applyFont="1" applyFill="1" applyBorder="1" applyAlignment="1" applyProtection="1">
      <alignment horizontal="center" vertical="center"/>
    </xf>
    <xf numFmtId="41" fontId="2" fillId="0" borderId="23" xfId="1" applyFont="1" applyBorder="1" applyAlignment="1">
      <alignment horizontal="center"/>
    </xf>
    <xf numFmtId="41" fontId="18" fillId="0" borderId="4" xfId="0" applyNumberFormat="1" applyFont="1" applyBorder="1"/>
    <xf numFmtId="41" fontId="18" fillId="0" borderId="4" xfId="1" applyFont="1" applyFill="1" applyBorder="1"/>
    <xf numFmtId="14" fontId="23" fillId="0" borderId="4" xfId="0" applyNumberFormat="1" applyFont="1" applyFill="1" applyBorder="1" applyAlignment="1">
      <alignment horizontal="center" wrapText="1"/>
    </xf>
    <xf numFmtId="41" fontId="4" fillId="0" borderId="23" xfId="1" applyFont="1" applyBorder="1" applyAlignment="1">
      <alignment horizontal="right"/>
    </xf>
    <xf numFmtId="41" fontId="3" fillId="0" borderId="4" xfId="1" applyFont="1" applyFill="1" applyBorder="1" applyAlignment="1">
      <alignment horizontal="center" vertical="center"/>
    </xf>
    <xf numFmtId="41" fontId="3" fillId="0" borderId="23" xfId="1" applyFont="1" applyFill="1" applyBorder="1" applyAlignment="1" applyProtection="1">
      <alignment horizontal="center" vertical="center"/>
    </xf>
    <xf numFmtId="41" fontId="16" fillId="0" borderId="23" xfId="1" applyFont="1" applyFill="1" applyBorder="1" applyAlignment="1">
      <alignment horizontal="center"/>
    </xf>
    <xf numFmtId="164" fontId="18" fillId="0" borderId="4" xfId="0" applyNumberFormat="1" applyFont="1" applyBorder="1"/>
    <xf numFmtId="166" fontId="3" fillId="0" borderId="23" xfId="0" applyFont="1" applyFill="1" applyBorder="1" applyAlignment="1">
      <alignment horizontal="center" vertical="center"/>
    </xf>
    <xf numFmtId="14" fontId="23" fillId="0" borderId="23" xfId="10" applyNumberFormat="1" applyFont="1" applyBorder="1" applyAlignment="1">
      <alignment horizontal="center"/>
    </xf>
    <xf numFmtId="14" fontId="16" fillId="0" borderId="23" xfId="0" applyNumberFormat="1" applyFont="1" applyBorder="1" applyAlignment="1">
      <alignment horizontal="center"/>
    </xf>
    <xf numFmtId="166" fontId="16" fillId="0" borderId="23" xfId="0" applyFont="1" applyBorder="1" applyAlignment="1">
      <alignment horizontal="center"/>
    </xf>
    <xf numFmtId="41" fontId="11" fillId="0" borderId="7" xfId="1" applyFont="1" applyFill="1" applyBorder="1" applyAlignment="1" applyProtection="1">
      <alignment horizontal="center"/>
    </xf>
    <xf numFmtId="41" fontId="11" fillId="0" borderId="9" xfId="1" applyFont="1" applyFill="1" applyBorder="1" applyAlignment="1" applyProtection="1">
      <alignment horizontal="center" vertical="center"/>
    </xf>
    <xf numFmtId="41" fontId="12" fillId="0" borderId="7" xfId="1" applyFont="1" applyFill="1" applyBorder="1" applyAlignment="1" applyProtection="1">
      <alignment horizontal="right" vertical="center"/>
    </xf>
    <xf numFmtId="41" fontId="6" fillId="0" borderId="0" xfId="1" applyFont="1" applyFill="1" applyBorder="1"/>
    <xf numFmtId="37" fontId="18" fillId="0" borderId="23" xfId="0" applyNumberFormat="1" applyFont="1" applyFill="1" applyBorder="1"/>
    <xf numFmtId="1" fontId="18" fillId="0" borderId="4" xfId="0" applyNumberFormat="1" applyFont="1" applyFill="1" applyBorder="1"/>
    <xf numFmtId="166" fontId="14" fillId="0" borderId="23" xfId="0" applyFont="1" applyBorder="1" applyAlignment="1">
      <alignment horizontal="center" vertical="center" wrapText="1"/>
    </xf>
    <xf numFmtId="3" fontId="14" fillId="0" borderId="23" xfId="0" applyNumberFormat="1" applyFont="1" applyBorder="1" applyAlignment="1">
      <alignment horizontal="center" vertical="center"/>
    </xf>
    <xf numFmtId="166" fontId="23" fillId="0" borderId="23" xfId="0" applyFont="1" applyFill="1" applyBorder="1" applyAlignment="1">
      <alignment horizontal="center" vertical="center" wrapText="1"/>
    </xf>
    <xf numFmtId="165" fontId="23" fillId="0" borderId="23" xfId="5" applyNumberFormat="1" applyFont="1" applyFill="1" applyBorder="1" applyAlignment="1">
      <alignment horizontal="center" vertical="center" wrapText="1"/>
    </xf>
    <xf numFmtId="41" fontId="3" fillId="0" borderId="23" xfId="1" applyFont="1" applyFill="1" applyBorder="1" applyAlignment="1">
      <alignment horizontal="center" vertical="center"/>
    </xf>
    <xf numFmtId="3" fontId="16" fillId="0" borderId="23" xfId="0" applyNumberFormat="1" applyFont="1" applyBorder="1" applyAlignment="1">
      <alignment horizontal="center"/>
    </xf>
    <xf numFmtId="14" fontId="4" fillId="0" borderId="3" xfId="0" applyNumberFormat="1" applyFont="1" applyFill="1" applyBorder="1"/>
    <xf numFmtId="166" fontId="4" fillId="0" borderId="3" xfId="0" applyFont="1" applyFill="1" applyBorder="1"/>
    <xf numFmtId="41" fontId="6" fillId="0" borderId="3" xfId="1" applyFont="1" applyFill="1" applyBorder="1"/>
    <xf numFmtId="14" fontId="4" fillId="0" borderId="3" xfId="0" applyNumberFormat="1" applyFont="1" applyBorder="1" applyAlignment="1">
      <alignment horizontal="center"/>
    </xf>
    <xf numFmtId="0" fontId="23" fillId="0" borderId="3" xfId="1" applyNumberFormat="1" applyFont="1" applyBorder="1" applyAlignment="1">
      <alignment horizontal="center"/>
    </xf>
    <xf numFmtId="166" fontId="4" fillId="0" borderId="3" xfId="0" applyFont="1" applyBorder="1" applyAlignment="1">
      <alignment horizontal="center"/>
    </xf>
    <xf numFmtId="165" fontId="4" fillId="0" borderId="3" xfId="5" applyNumberFormat="1" applyFont="1" applyBorder="1" applyAlignment="1">
      <alignment horizontal="center"/>
    </xf>
    <xf numFmtId="41" fontId="4" fillId="0" borderId="3" xfId="1" applyFont="1" applyBorder="1" applyAlignment="1">
      <alignment horizontal="center"/>
    </xf>
    <xf numFmtId="41" fontId="3" fillId="0" borderId="3" xfId="1" applyFont="1" applyFill="1" applyBorder="1" applyAlignment="1">
      <alignment horizontal="center"/>
    </xf>
    <xf numFmtId="41" fontId="2" fillId="0" borderId="3" xfId="1" applyFont="1" applyFill="1" applyBorder="1"/>
    <xf numFmtId="41" fontId="2" fillId="0" borderId="1" xfId="1" applyFont="1" applyFill="1" applyBorder="1"/>
    <xf numFmtId="166" fontId="10" fillId="0" borderId="3" xfId="0" applyFont="1" applyFill="1" applyBorder="1"/>
    <xf numFmtId="14" fontId="4" fillId="0" borderId="3" xfId="0" applyNumberFormat="1" applyFont="1" applyFill="1" applyBorder="1" applyAlignment="1">
      <alignment horizontal="center"/>
    </xf>
    <xf numFmtId="166" fontId="4" fillId="0" borderId="3" xfId="0" applyFont="1" applyFill="1" applyBorder="1" applyAlignment="1">
      <alignment horizontal="center"/>
    </xf>
    <xf numFmtId="41" fontId="4" fillId="0" borderId="3" xfId="1" applyFont="1" applyFill="1" applyBorder="1"/>
    <xf numFmtId="41" fontId="7" fillId="0" borderId="3" xfId="1" applyFont="1" applyFill="1" applyBorder="1"/>
    <xf numFmtId="37" fontId="3" fillId="0" borderId="9" xfId="0" applyNumberFormat="1" applyFont="1" applyBorder="1" applyAlignment="1" applyProtection="1">
      <alignment horizontal="center" vertical="center"/>
    </xf>
    <xf numFmtId="41" fontId="3" fillId="0" borderId="23" xfId="1" applyFont="1" applyFill="1" applyBorder="1"/>
    <xf numFmtId="166" fontId="20" fillId="0" borderId="0" xfId="0" applyFont="1" applyFill="1"/>
    <xf numFmtId="14" fontId="3" fillId="0" borderId="23" xfId="0" applyNumberFormat="1" applyFont="1" applyFill="1" applyBorder="1" applyAlignment="1">
      <alignment horizontal="center"/>
    </xf>
    <xf numFmtId="41" fontId="3" fillId="0" borderId="20" xfId="1" applyFont="1" applyFill="1" applyBorder="1"/>
    <xf numFmtId="166" fontId="3" fillId="0" borderId="23" xfId="0" applyFont="1" applyFill="1" applyBorder="1" applyAlignment="1">
      <alignment horizontal="center"/>
    </xf>
    <xf numFmtId="166" fontId="3" fillId="0" borderId="23" xfId="0" applyFont="1" applyFill="1" applyBorder="1"/>
    <xf numFmtId="0" fontId="3" fillId="0" borderId="23" xfId="1" applyNumberFormat="1" applyFont="1" applyBorder="1" applyAlignment="1">
      <alignment horizontal="center"/>
    </xf>
    <xf numFmtId="14" fontId="3" fillId="0" borderId="23" xfId="0" applyNumberFormat="1" applyFont="1" applyBorder="1" applyAlignment="1">
      <alignment horizontal="center"/>
    </xf>
    <xf numFmtId="166" fontId="3" fillId="0" borderId="23" xfId="0" applyFont="1" applyBorder="1" applyAlignment="1">
      <alignment horizontal="center"/>
    </xf>
    <xf numFmtId="41" fontId="3" fillId="0" borderId="23" xfId="1" applyFont="1" applyBorder="1" applyAlignment="1">
      <alignment horizontal="center"/>
    </xf>
    <xf numFmtId="41" fontId="16" fillId="0" borderId="23" xfId="1" applyFont="1" applyBorder="1" applyAlignment="1">
      <alignment horizontal="center"/>
    </xf>
    <xf numFmtId="165" fontId="3" fillId="0" borderId="23" xfId="5" applyNumberFormat="1" applyFont="1" applyBorder="1" applyAlignment="1">
      <alignment horizontal="center"/>
    </xf>
    <xf numFmtId="167" fontId="3" fillId="0" borderId="23" xfId="1" applyNumberFormat="1" applyFont="1" applyBorder="1" applyAlignment="1">
      <alignment horizontal="center"/>
    </xf>
    <xf numFmtId="166" fontId="3" fillId="0" borderId="23" xfId="0" quotePrefix="1" applyFont="1" applyBorder="1" applyAlignment="1">
      <alignment horizontal="center"/>
    </xf>
    <xf numFmtId="14" fontId="3" fillId="0" borderId="23" xfId="0" applyNumberFormat="1" applyFont="1" applyBorder="1" applyAlignment="1">
      <alignment horizontal="center" vertical="center"/>
    </xf>
    <xf numFmtId="166" fontId="16" fillId="0" borderId="23" xfId="0" applyFont="1" applyFill="1" applyBorder="1"/>
    <xf numFmtId="41" fontId="10" fillId="0" borderId="4" xfId="0" applyNumberFormat="1" applyFont="1" applyFill="1" applyBorder="1" applyAlignment="1">
      <alignment vertical="center"/>
    </xf>
    <xf numFmtId="166" fontId="16" fillId="0" borderId="0" xfId="0" applyFont="1" applyFill="1" applyAlignment="1">
      <alignment vertical="center"/>
    </xf>
    <xf numFmtId="37" fontId="17" fillId="0" borderId="23" xfId="0" applyNumberFormat="1" applyFont="1" applyFill="1" applyBorder="1" applyAlignment="1" applyProtection="1">
      <alignment horizontal="right" vertical="center"/>
    </xf>
    <xf numFmtId="14" fontId="16" fillId="0" borderId="3" xfId="0" applyNumberFormat="1" applyFont="1" applyFill="1" applyBorder="1" applyAlignment="1">
      <alignment vertical="center"/>
    </xf>
    <xf numFmtId="166" fontId="16" fillId="0" borderId="3" xfId="0" applyFont="1" applyFill="1" applyBorder="1" applyAlignment="1">
      <alignment vertical="center"/>
    </xf>
    <xf numFmtId="41" fontId="16" fillId="0" borderId="3" xfId="1" applyFont="1" applyFill="1" applyBorder="1" applyAlignment="1">
      <alignment vertical="center"/>
    </xf>
    <xf numFmtId="166" fontId="17" fillId="0" borderId="3" xfId="0" applyFont="1" applyFill="1" applyBorder="1" applyAlignment="1">
      <alignment vertical="center"/>
    </xf>
    <xf numFmtId="14" fontId="16" fillId="0" borderId="0" xfId="0" applyNumberFormat="1" applyFont="1" applyFill="1" applyAlignment="1">
      <alignment vertical="center"/>
    </xf>
    <xf numFmtId="41" fontId="16" fillId="0" borderId="0" xfId="1" applyFont="1" applyFill="1" applyAlignment="1">
      <alignment vertical="center"/>
    </xf>
    <xf numFmtId="166" fontId="17" fillId="0" borderId="0" xfId="0" applyFont="1" applyFill="1" applyAlignment="1">
      <alignment vertical="center"/>
    </xf>
    <xf numFmtId="41" fontId="10" fillId="0" borderId="23" xfId="1" applyFont="1" applyFill="1" applyBorder="1"/>
    <xf numFmtId="166" fontId="22" fillId="0" borderId="0" xfId="0" applyFont="1" applyFill="1"/>
    <xf numFmtId="166" fontId="3" fillId="0" borderId="0" xfId="0" applyFont="1" applyFill="1"/>
    <xf numFmtId="41" fontId="3" fillId="0" borderId="0" xfId="1" applyFont="1" applyFill="1"/>
    <xf numFmtId="41" fontId="3" fillId="0" borderId="0" xfId="0" applyNumberFormat="1" applyFont="1" applyFill="1"/>
    <xf numFmtId="14" fontId="16" fillId="0" borderId="3" xfId="1" applyNumberFormat="1" applyFont="1" applyFill="1" applyBorder="1" applyAlignment="1">
      <alignment horizontal="center"/>
    </xf>
    <xf numFmtId="41" fontId="16" fillId="0" borderId="3" xfId="1" applyFont="1" applyFill="1" applyBorder="1" applyAlignment="1">
      <alignment horizontal="center"/>
    </xf>
    <xf numFmtId="41" fontId="16" fillId="0" borderId="16" xfId="1" applyFont="1" applyFill="1" applyBorder="1" applyAlignment="1">
      <alignment horizontal="center"/>
    </xf>
    <xf numFmtId="41" fontId="16" fillId="0" borderId="13" xfId="1" applyFont="1" applyFill="1" applyBorder="1"/>
    <xf numFmtId="41" fontId="16" fillId="0" borderId="15" xfId="1" applyFont="1" applyFill="1" applyBorder="1" applyAlignment="1">
      <alignment horizontal="center"/>
    </xf>
    <xf numFmtId="41" fontId="17" fillId="0" borderId="3" xfId="1" applyFont="1" applyFill="1" applyBorder="1" applyAlignment="1">
      <alignment horizontal="center"/>
    </xf>
    <xf numFmtId="41" fontId="22" fillId="0" borderId="0" xfId="1" applyFont="1" applyFill="1"/>
    <xf numFmtId="14" fontId="16" fillId="0" borderId="3" xfId="0" applyNumberFormat="1" applyFont="1" applyFill="1" applyBorder="1" applyAlignment="1">
      <alignment horizontal="center"/>
    </xf>
    <xf numFmtId="166" fontId="16" fillId="0" borderId="3" xfId="0" applyFont="1" applyFill="1" applyBorder="1" applyAlignment="1">
      <alignment horizontal="center"/>
    </xf>
    <xf numFmtId="41" fontId="3" fillId="0" borderId="0" xfId="1" applyFont="1" applyFill="1" applyBorder="1"/>
    <xf numFmtId="41" fontId="22" fillId="0" borderId="0" xfId="1" applyFont="1" applyFill="1" applyBorder="1"/>
    <xf numFmtId="41" fontId="22" fillId="0" borderId="0" xfId="1" applyFont="1" applyFill="1" applyBorder="1" applyAlignment="1">
      <alignment horizontal="center"/>
    </xf>
    <xf numFmtId="165" fontId="16" fillId="0" borderId="23" xfId="4" applyNumberFormat="1" applyFont="1" applyFill="1" applyBorder="1" applyAlignment="1">
      <alignment horizontal="center" wrapText="1"/>
    </xf>
    <xf numFmtId="166" fontId="20" fillId="0" borderId="0" xfId="0" applyFont="1" applyBorder="1"/>
    <xf numFmtId="166" fontId="20" fillId="0" borderId="0" xfId="0" applyFont="1"/>
    <xf numFmtId="41" fontId="20" fillId="0" borderId="0" xfId="1" applyFont="1"/>
    <xf numFmtId="41" fontId="15" fillId="0" borderId="8" xfId="1" applyFont="1" applyFill="1" applyBorder="1" applyAlignment="1" applyProtection="1">
      <alignment horizontal="center" vertical="center"/>
    </xf>
    <xf numFmtId="41" fontId="15" fillId="0" borderId="14" xfId="1" applyFont="1" applyFill="1" applyBorder="1" applyAlignment="1" applyProtection="1">
      <alignment horizontal="center" vertical="center"/>
    </xf>
    <xf numFmtId="41" fontId="16" fillId="0" borderId="12" xfId="1" applyFont="1" applyFill="1" applyBorder="1" applyAlignment="1">
      <alignment horizontal="center" vertical="center" wrapText="1"/>
    </xf>
    <xf numFmtId="14" fontId="23" fillId="0" borderId="4" xfId="0" applyNumberFormat="1" applyFont="1" applyFill="1" applyBorder="1" applyAlignment="1">
      <alignment horizontal="center"/>
    </xf>
    <xf numFmtId="166" fontId="23" fillId="0" borderId="4" xfId="0" applyFont="1" applyFill="1" applyBorder="1" applyAlignment="1">
      <alignment horizontal="center"/>
    </xf>
    <xf numFmtId="41" fontId="21" fillId="0" borderId="4" xfId="1" applyFont="1" applyFill="1" applyBorder="1" applyAlignment="1">
      <alignment horizontal="center" vertical="center"/>
    </xf>
    <xf numFmtId="37" fontId="18" fillId="0" borderId="4" xfId="0" applyNumberFormat="1" applyFont="1" applyFill="1" applyBorder="1" applyAlignment="1" applyProtection="1">
      <alignment horizontal="right" vertical="center"/>
    </xf>
    <xf numFmtId="41" fontId="16" fillId="0" borderId="23" xfId="1" applyFont="1" applyFill="1" applyBorder="1" applyAlignment="1">
      <alignment vertical="center"/>
    </xf>
    <xf numFmtId="14" fontId="14" fillId="0" borderId="4" xfId="0" applyNumberFormat="1" applyFont="1" applyBorder="1" applyAlignment="1">
      <alignment horizontal="center"/>
    </xf>
    <xf numFmtId="166" fontId="14" fillId="0" borderId="4" xfId="0" applyFont="1" applyBorder="1" applyAlignment="1">
      <alignment horizontal="center"/>
    </xf>
    <xf numFmtId="41" fontId="14" fillId="0" borderId="4" xfId="1" applyFont="1" applyBorder="1" applyAlignment="1">
      <alignment horizontal="center"/>
    </xf>
    <xf numFmtId="14" fontId="14" fillId="0" borderId="23" xfId="0" applyNumberFormat="1" applyFont="1" applyFill="1" applyBorder="1" applyAlignment="1">
      <alignment horizontal="center"/>
    </xf>
    <xf numFmtId="0" fontId="23" fillId="0" borderId="4" xfId="1" applyNumberFormat="1" applyFont="1" applyFill="1" applyBorder="1" applyAlignment="1">
      <alignment horizontal="center" vertical="center"/>
    </xf>
    <xf numFmtId="14" fontId="23" fillId="0" borderId="23" xfId="0" applyNumberFormat="1" applyFont="1" applyFill="1" applyBorder="1" applyAlignment="1">
      <alignment horizontal="center" vertical="center" wrapText="1"/>
    </xf>
    <xf numFmtId="14" fontId="23" fillId="0" borderId="4" xfId="0" applyNumberFormat="1" applyFont="1" applyFill="1" applyBorder="1" applyAlignment="1" applyProtection="1">
      <alignment horizontal="center" vertical="center"/>
    </xf>
    <xf numFmtId="166" fontId="23" fillId="0" borderId="4" xfId="0" applyFont="1" applyFill="1" applyBorder="1" applyAlignment="1">
      <alignment horizontal="center" vertical="center" wrapText="1"/>
    </xf>
    <xf numFmtId="165" fontId="23" fillId="0" borderId="4" xfId="5" applyNumberFormat="1" applyFont="1" applyFill="1" applyBorder="1" applyAlignment="1">
      <alignment horizontal="center" vertical="center" wrapText="1"/>
    </xf>
    <xf numFmtId="166" fontId="14" fillId="0" borderId="0" xfId="0" applyNumberFormat="1" applyFont="1" applyFill="1" applyBorder="1" applyAlignment="1" applyProtection="1">
      <alignment horizontal="center" vertical="center"/>
    </xf>
    <xf numFmtId="166" fontId="23" fillId="0" borderId="4" xfId="0" applyNumberFormat="1" applyFont="1" applyFill="1" applyBorder="1" applyAlignment="1" applyProtection="1">
      <alignment horizontal="center" vertical="center"/>
    </xf>
    <xf numFmtId="165" fontId="23" fillId="0" borderId="4" xfId="5" applyNumberFormat="1" applyFont="1" applyFill="1" applyBorder="1" applyAlignment="1" applyProtection="1">
      <alignment horizontal="center" vertical="center"/>
    </xf>
    <xf numFmtId="166" fontId="23" fillId="0" borderId="4" xfId="0" applyFont="1" applyFill="1" applyBorder="1" applyAlignment="1">
      <alignment horizontal="center" vertical="center"/>
    </xf>
    <xf numFmtId="166" fontId="23" fillId="0" borderId="4" xfId="0" applyFont="1" applyFill="1" applyBorder="1" applyAlignment="1">
      <alignment horizontal="center" wrapText="1"/>
    </xf>
    <xf numFmtId="165" fontId="23" fillId="0" borderId="4" xfId="5" applyNumberFormat="1" applyFont="1" applyFill="1" applyBorder="1" applyAlignment="1">
      <alignment horizontal="center" wrapText="1"/>
    </xf>
    <xf numFmtId="0" fontId="23" fillId="0" borderId="23" xfId="1" applyNumberFormat="1" applyFont="1" applyFill="1" applyBorder="1" applyAlignment="1">
      <alignment horizontal="center" vertical="center"/>
    </xf>
    <xf numFmtId="165" fontId="23" fillId="0" borderId="23" xfId="5" applyNumberFormat="1" applyFont="1" applyFill="1" applyBorder="1" applyAlignment="1" applyProtection="1">
      <alignment horizontal="center" vertical="center"/>
    </xf>
    <xf numFmtId="14" fontId="23" fillId="0" borderId="23" xfId="0" applyNumberFormat="1" applyFont="1" applyFill="1" applyBorder="1" applyAlignment="1">
      <alignment horizontal="center" vertical="center"/>
    </xf>
    <xf numFmtId="166" fontId="14" fillId="0" borderId="0" xfId="0" applyFont="1" applyFill="1" applyBorder="1" applyAlignment="1" applyProtection="1">
      <alignment horizontal="center" vertical="center"/>
    </xf>
    <xf numFmtId="41" fontId="23" fillId="0" borderId="23" xfId="1" applyFont="1" applyFill="1" applyBorder="1" applyAlignment="1">
      <alignment vertical="center"/>
    </xf>
    <xf numFmtId="41" fontId="23" fillId="0" borderId="23" xfId="1" applyFont="1" applyFill="1" applyBorder="1"/>
    <xf numFmtId="168" fontId="23" fillId="0" borderId="4" xfId="1" applyNumberFormat="1" applyFont="1" applyFill="1" applyBorder="1"/>
    <xf numFmtId="168" fontId="3" fillId="0" borderId="4" xfId="1" applyNumberFormat="1" applyFont="1" applyFill="1" applyBorder="1"/>
    <xf numFmtId="168" fontId="3" fillId="0" borderId="20" xfId="1" applyNumberFormat="1" applyFont="1" applyFill="1" applyBorder="1"/>
    <xf numFmtId="168" fontId="3" fillId="0" borderId="4" xfId="1" applyNumberFormat="1" applyFont="1" applyFill="1" applyBorder="1" applyAlignment="1">
      <alignment horizontal="center"/>
    </xf>
    <xf numFmtId="168" fontId="3" fillId="0" borderId="23" xfId="1" applyNumberFormat="1" applyFont="1" applyFill="1" applyBorder="1"/>
    <xf numFmtId="168" fontId="5" fillId="0" borderId="1" xfId="1" applyNumberFormat="1" applyFont="1" applyFill="1" applyBorder="1"/>
    <xf numFmtId="168" fontId="11" fillId="0" borderId="14" xfId="0" applyNumberFormat="1" applyFont="1" applyFill="1" applyBorder="1" applyAlignment="1" applyProtection="1">
      <alignment horizontal="center" vertical="center"/>
    </xf>
    <xf numFmtId="168" fontId="16" fillId="0" borderId="23" xfId="1" applyNumberFormat="1" applyFont="1" applyFill="1" applyBorder="1" applyAlignment="1">
      <alignment horizontal="center" wrapText="1"/>
    </xf>
    <xf numFmtId="168" fontId="3" fillId="0" borderId="23" xfId="1" applyNumberFormat="1" applyFont="1" applyFill="1" applyBorder="1" applyAlignment="1">
      <alignment horizontal="center"/>
    </xf>
    <xf numFmtId="168" fontId="3" fillId="0" borderId="23" xfId="1" applyNumberFormat="1" applyFont="1" applyBorder="1" applyAlignment="1">
      <alignment vertical="center"/>
    </xf>
    <xf numFmtId="168" fontId="5" fillId="0" borderId="0" xfId="1" applyNumberFormat="1" applyFont="1" applyFill="1"/>
    <xf numFmtId="43" fontId="16" fillId="0" borderId="23" xfId="5" applyNumberFormat="1" applyFont="1" applyFill="1" applyBorder="1" applyAlignment="1">
      <alignment horizontal="center" wrapText="1"/>
    </xf>
    <xf numFmtId="41" fontId="11" fillId="0" borderId="14" xfId="1" applyFont="1" applyFill="1" applyBorder="1" applyAlignment="1" applyProtection="1">
      <alignment horizontal="center" vertical="center"/>
    </xf>
    <xf numFmtId="37" fontId="18" fillId="0" borderId="23" xfId="0" applyNumberFormat="1" applyFont="1" applyFill="1" applyBorder="1" applyAlignment="1" applyProtection="1">
      <alignment horizontal="right" vertical="center"/>
    </xf>
    <xf numFmtId="168" fontId="18" fillId="0" borderId="23" xfId="1" applyNumberFormat="1" applyFont="1" applyFill="1" applyBorder="1" applyAlignment="1">
      <alignment horizontal="center" wrapText="1"/>
    </xf>
    <xf numFmtId="14" fontId="23" fillId="0" borderId="23" xfId="0" applyNumberFormat="1" applyFont="1" applyFill="1" applyBorder="1" applyAlignment="1">
      <alignment horizontal="center"/>
    </xf>
    <xf numFmtId="41" fontId="23" fillId="0" borderId="20" xfId="1" applyFont="1" applyFill="1" applyBorder="1"/>
    <xf numFmtId="168" fontId="17" fillId="0" borderId="23" xfId="1" applyNumberFormat="1" applyFont="1" applyFill="1" applyBorder="1" applyAlignment="1">
      <alignment horizontal="center" wrapText="1"/>
    </xf>
    <xf numFmtId="1" fontId="18" fillId="0" borderId="23" xfId="1" applyNumberFormat="1" applyFont="1" applyFill="1" applyBorder="1" applyAlignment="1">
      <alignment horizontal="right" wrapText="1"/>
    </xf>
    <xf numFmtId="41" fontId="14" fillId="0" borderId="23" xfId="1" applyFont="1" applyFill="1" applyBorder="1" applyAlignment="1">
      <alignment horizontal="center" vertical="center"/>
    </xf>
    <xf numFmtId="41" fontId="14" fillId="0" borderId="4" xfId="1" applyFont="1" applyFill="1" applyBorder="1" applyAlignment="1">
      <alignment horizontal="center" vertical="center"/>
    </xf>
    <xf numFmtId="41" fontId="14" fillId="0" borderId="23" xfId="1" applyFont="1" applyFill="1" applyBorder="1" applyAlignment="1">
      <alignment horizontal="center" wrapText="1"/>
    </xf>
    <xf numFmtId="166" fontId="23" fillId="0" borderId="23" xfId="0" applyNumberFormat="1" applyFont="1" applyFill="1" applyBorder="1" applyAlignment="1" applyProtection="1">
      <alignment horizontal="center" vertical="center"/>
    </xf>
    <xf numFmtId="165" fontId="23" fillId="0" borderId="4" xfId="5" applyNumberFormat="1" applyFont="1" applyFill="1" applyBorder="1" applyAlignment="1">
      <alignment horizontal="center" vertical="center"/>
    </xf>
    <xf numFmtId="1" fontId="18" fillId="0" borderId="23" xfId="0" applyNumberFormat="1" applyFont="1" applyFill="1" applyBorder="1" applyAlignment="1" applyProtection="1">
      <alignment horizontal="right" vertical="center"/>
    </xf>
    <xf numFmtId="165" fontId="14" fillId="0" borderId="23" xfId="4" applyNumberFormat="1" applyFont="1" applyFill="1" applyBorder="1" applyAlignment="1">
      <alignment horizontal="center" wrapText="1"/>
    </xf>
    <xf numFmtId="168" fontId="2" fillId="0" borderId="0" xfId="1" applyNumberFormat="1" applyFont="1" applyFill="1"/>
    <xf numFmtId="168" fontId="16" fillId="0" borderId="0" xfId="1" applyNumberFormat="1" applyFont="1" applyFill="1"/>
    <xf numFmtId="41" fontId="2" fillId="0" borderId="0" xfId="1" applyNumberFormat="1" applyFont="1" applyFill="1"/>
    <xf numFmtId="41" fontId="16" fillId="0" borderId="0" xfId="1" applyNumberFormat="1" applyFont="1" applyFill="1"/>
    <xf numFmtId="168" fontId="2" fillId="0" borderId="0" xfId="1" applyNumberFormat="1" applyFont="1" applyAlignment="1">
      <alignment horizontal="center" vertical="center" wrapText="1"/>
    </xf>
    <xf numFmtId="165" fontId="23" fillId="0" borderId="23" xfId="5" applyNumberFormat="1" applyFont="1" applyFill="1" applyBorder="1" applyAlignment="1">
      <alignment horizontal="center" vertical="center"/>
    </xf>
    <xf numFmtId="168" fontId="11" fillId="0" borderId="14" xfId="1" applyNumberFormat="1" applyFont="1" applyFill="1" applyBorder="1" applyAlignment="1" applyProtection="1">
      <alignment horizontal="center" vertical="center"/>
    </xf>
    <xf numFmtId="168" fontId="23" fillId="0" borderId="20" xfId="1" applyNumberFormat="1" applyFont="1" applyFill="1" applyBorder="1"/>
    <xf numFmtId="168" fontId="3" fillId="0" borderId="23" xfId="1" applyNumberFormat="1" applyFont="1" applyFill="1" applyBorder="1" applyAlignment="1">
      <alignment horizontal="center" wrapText="1"/>
    </xf>
    <xf numFmtId="168" fontId="4" fillId="0" borderId="3" xfId="1" applyNumberFormat="1" applyFont="1" applyFill="1" applyBorder="1"/>
    <xf numFmtId="14" fontId="23" fillId="0" borderId="23" xfId="0" applyNumberFormat="1" applyFont="1" applyFill="1" applyBorder="1" applyAlignment="1">
      <alignment horizontal="center" wrapText="1"/>
    </xf>
    <xf numFmtId="14" fontId="23" fillId="0" borderId="4" xfId="0" applyNumberFormat="1" applyFont="1" applyFill="1" applyBorder="1" applyAlignment="1">
      <alignment horizontal="center" vertical="center" wrapText="1"/>
    </xf>
    <xf numFmtId="14" fontId="16" fillId="0" borderId="23" xfId="0" applyNumberFormat="1" applyFont="1" applyBorder="1" applyAlignment="1">
      <alignment horizontal="center" vertical="center"/>
    </xf>
    <xf numFmtId="166" fontId="16" fillId="0" borderId="23" xfId="0" applyFont="1" applyBorder="1" applyAlignment="1">
      <alignment horizontal="center" vertical="center"/>
    </xf>
    <xf numFmtId="41" fontId="10" fillId="0" borderId="1" xfId="1" applyFont="1" applyFill="1" applyBorder="1"/>
    <xf numFmtId="41" fontId="10" fillId="0" borderId="3" xfId="1" applyFont="1" applyFill="1" applyBorder="1"/>
    <xf numFmtId="41" fontId="10" fillId="0" borderId="0" xfId="1" applyFont="1" applyFill="1"/>
    <xf numFmtId="166" fontId="2" fillId="0" borderId="4" xfId="0" applyFont="1" applyFill="1" applyBorder="1"/>
    <xf numFmtId="166" fontId="14" fillId="0" borderId="4" xfId="0" applyFont="1" applyFill="1" applyBorder="1" applyAlignment="1">
      <alignment horizontal="center"/>
    </xf>
    <xf numFmtId="41" fontId="14" fillId="0" borderId="4" xfId="1" applyFont="1" applyFill="1" applyBorder="1"/>
    <xf numFmtId="166" fontId="16" fillId="0" borderId="4" xfId="0" applyFont="1" applyFill="1" applyBorder="1"/>
    <xf numFmtId="41" fontId="16" fillId="0" borderId="20" xfId="1" applyFont="1" applyFill="1" applyBorder="1"/>
    <xf numFmtId="41" fontId="16" fillId="0" borderId="20" xfId="1" applyFont="1" applyFill="1" applyBorder="1" applyAlignment="1">
      <alignment horizontal="center"/>
    </xf>
    <xf numFmtId="41" fontId="16" fillId="0" borderId="23" xfId="1" applyFont="1" applyBorder="1" applyAlignment="1">
      <alignment horizontal="center" vertical="center"/>
    </xf>
    <xf numFmtId="41" fontId="14" fillId="0" borderId="4" xfId="1" applyFont="1" applyFill="1" applyBorder="1" applyAlignment="1">
      <alignment horizontal="center"/>
    </xf>
    <xf numFmtId="41" fontId="16" fillId="0" borderId="23" xfId="1" applyFont="1" applyBorder="1" applyAlignment="1">
      <alignment vertical="center"/>
    </xf>
    <xf numFmtId="166" fontId="16" fillId="0" borderId="23" xfId="0" applyFont="1" applyFill="1" applyBorder="1" applyAlignment="1">
      <alignment horizontal="center" wrapText="1"/>
    </xf>
    <xf numFmtId="14" fontId="2" fillId="0" borderId="6" xfId="0" applyNumberFormat="1" applyFont="1" applyFill="1" applyBorder="1"/>
    <xf numFmtId="166" fontId="2" fillId="0" borderId="6" xfId="0" applyFont="1" applyFill="1" applyBorder="1"/>
    <xf numFmtId="166" fontId="2" fillId="0" borderId="6" xfId="0" applyFont="1" applyFill="1" applyBorder="1" applyAlignment="1">
      <alignment horizontal="center"/>
    </xf>
    <xf numFmtId="41" fontId="2" fillId="0" borderId="6" xfId="1" applyFont="1" applyFill="1" applyBorder="1"/>
    <xf numFmtId="41" fontId="10" fillId="0" borderId="6" xfId="1" applyFont="1" applyFill="1" applyBorder="1"/>
    <xf numFmtId="166" fontId="2" fillId="0" borderId="0" xfId="0" applyFont="1" applyFill="1" applyBorder="1" applyAlignment="1">
      <alignment horizontal="center"/>
    </xf>
    <xf numFmtId="41" fontId="10" fillId="0" borderId="0" xfId="1" applyFont="1" applyFill="1" applyBorder="1"/>
    <xf numFmtId="41" fontId="18" fillId="0" borderId="4" xfId="1" applyFont="1" applyFill="1" applyBorder="1" applyAlignment="1" applyProtection="1">
      <alignment horizontal="right" vertical="center"/>
    </xf>
    <xf numFmtId="1" fontId="18" fillId="0" borderId="23" xfId="1" applyNumberFormat="1" applyFont="1" applyFill="1" applyBorder="1" applyAlignment="1" applyProtection="1">
      <alignment horizontal="right" vertical="center"/>
    </xf>
    <xf numFmtId="166" fontId="23" fillId="0" borderId="23" xfId="0" applyFont="1" applyFill="1" applyBorder="1" applyAlignment="1">
      <alignment horizontal="center"/>
    </xf>
    <xf numFmtId="168" fontId="23" fillId="0" borderId="23" xfId="1" applyNumberFormat="1" applyFont="1" applyFill="1" applyBorder="1"/>
    <xf numFmtId="0" fontId="23" fillId="0" borderId="23" xfId="1" applyNumberFormat="1" applyFont="1" applyBorder="1" applyAlignment="1">
      <alignment horizontal="center"/>
    </xf>
    <xf numFmtId="41" fontId="14" fillId="0" borderId="0" xfId="1" applyFont="1" applyFill="1" applyAlignment="1">
      <alignment horizontal="center"/>
    </xf>
    <xf numFmtId="14" fontId="14" fillId="0" borderId="4" xfId="1" applyNumberFormat="1" applyFont="1" applyFill="1" applyBorder="1" applyAlignment="1">
      <alignment horizontal="center"/>
    </xf>
    <xf numFmtId="41" fontId="14" fillId="0" borderId="10" xfId="1" applyFont="1" applyFill="1" applyBorder="1"/>
    <xf numFmtId="41" fontId="23" fillId="0" borderId="23" xfId="1" applyFont="1" applyFill="1" applyBorder="1" applyAlignment="1">
      <alignment horizontal="center" wrapText="1"/>
    </xf>
    <xf numFmtId="37" fontId="16" fillId="0" borderId="4" xfId="0" applyNumberFormat="1" applyFont="1" applyFill="1" applyBorder="1"/>
    <xf numFmtId="1" fontId="18" fillId="0" borderId="4" xfId="0" applyNumberFormat="1" applyFont="1" applyBorder="1"/>
    <xf numFmtId="14" fontId="23" fillId="0" borderId="23" xfId="0" applyNumberFormat="1" applyFont="1" applyBorder="1" applyAlignment="1">
      <alignment horizontal="center"/>
    </xf>
    <xf numFmtId="166" fontId="23" fillId="0" borderId="23" xfId="0" applyFont="1" applyBorder="1" applyAlignment="1">
      <alignment horizontal="center"/>
    </xf>
    <xf numFmtId="41" fontId="23" fillId="0" borderId="23" xfId="1" applyFont="1" applyBorder="1" applyAlignment="1">
      <alignment horizontal="center"/>
    </xf>
    <xf numFmtId="166" fontId="23" fillId="0" borderId="23" xfId="0" quotePrefix="1" applyFont="1" applyBorder="1" applyAlignment="1">
      <alignment horizontal="center"/>
    </xf>
    <xf numFmtId="41" fontId="4" fillId="0" borderId="23" xfId="1" applyFont="1" applyFill="1" applyBorder="1"/>
    <xf numFmtId="41" fontId="3" fillId="0" borderId="23" xfId="1" applyFont="1" applyFill="1" applyBorder="1" applyAlignment="1">
      <alignment horizontal="right"/>
    </xf>
    <xf numFmtId="41" fontId="18" fillId="0" borderId="23" xfId="1" applyFont="1" applyFill="1" applyBorder="1"/>
    <xf numFmtId="41" fontId="18" fillId="0" borderId="23" xfId="1" applyFont="1" applyFill="1" applyBorder="1" applyAlignment="1" applyProtection="1">
      <alignment horizontal="right" vertical="center"/>
    </xf>
    <xf numFmtId="165" fontId="23" fillId="0" borderId="23" xfId="5" applyNumberFormat="1" applyFont="1" applyBorder="1" applyAlignment="1">
      <alignment horizontal="center"/>
    </xf>
    <xf numFmtId="166" fontId="25" fillId="0" borderId="23" xfId="11" applyNumberFormat="1" applyFont="1" applyFill="1" applyBorder="1" applyAlignment="1" applyProtection="1">
      <alignment horizontal="center" wrapText="1"/>
    </xf>
    <xf numFmtId="1" fontId="17" fillId="0" borderId="4" xfId="1" applyNumberFormat="1" applyFont="1" applyFill="1" applyBorder="1"/>
    <xf numFmtId="1" fontId="18" fillId="0" borderId="4" xfId="1" applyNumberFormat="1" applyFont="1" applyFill="1" applyBorder="1"/>
    <xf numFmtId="167" fontId="23" fillId="0" borderId="23" xfId="1" applyNumberFormat="1" applyFont="1" applyBorder="1" applyAlignment="1">
      <alignment horizontal="center"/>
    </xf>
    <xf numFmtId="0" fontId="23" fillId="0" borderId="23" xfId="0" applyNumberFormat="1" applyFont="1" applyBorder="1" applyAlignment="1">
      <alignment horizontal="center"/>
    </xf>
    <xf numFmtId="3" fontId="23" fillId="0" borderId="23" xfId="0" applyNumberFormat="1" applyFont="1" applyBorder="1"/>
    <xf numFmtId="41" fontId="23" fillId="0" borderId="23" xfId="0" applyNumberFormat="1" applyFont="1" applyFill="1" applyBorder="1"/>
    <xf numFmtId="41" fontId="5" fillId="0" borderId="3" xfId="1" applyFont="1" applyFill="1" applyBorder="1"/>
    <xf numFmtId="41" fontId="22" fillId="0" borderId="3" xfId="1" applyFont="1" applyFill="1" applyBorder="1"/>
    <xf numFmtId="49" fontId="23" fillId="0" borderId="23" xfId="0" applyNumberFormat="1" applyFont="1" applyBorder="1" applyAlignment="1">
      <alignment horizontal="center"/>
    </xf>
    <xf numFmtId="49" fontId="23" fillId="0" borderId="23" xfId="0" quotePrefix="1" applyNumberFormat="1" applyFont="1" applyBorder="1" applyAlignment="1">
      <alignment horizontal="center"/>
    </xf>
    <xf numFmtId="49" fontId="23" fillId="0" borderId="23" xfId="1" applyNumberFormat="1" applyFont="1" applyBorder="1" applyAlignment="1">
      <alignment horizontal="center"/>
    </xf>
    <xf numFmtId="165" fontId="23" fillId="0" borderId="23" xfId="5" applyNumberFormat="1" applyFont="1" applyBorder="1" applyAlignment="1">
      <alignment horizontal="center" vertical="center"/>
    </xf>
    <xf numFmtId="14" fontId="23" fillId="0" borderId="23" xfId="0" applyNumberFormat="1" applyFont="1" applyBorder="1" applyAlignment="1">
      <alignment horizontal="center" vertical="center"/>
    </xf>
    <xf numFmtId="49" fontId="23" fillId="0" borderId="23" xfId="0" applyNumberFormat="1" applyFont="1" applyBorder="1" applyAlignment="1">
      <alignment horizontal="center" wrapText="1"/>
    </xf>
    <xf numFmtId="41" fontId="21" fillId="0" borderId="23" xfId="1" applyFont="1" applyFill="1" applyBorder="1" applyAlignment="1">
      <alignment horizontal="center" vertical="center"/>
    </xf>
    <xf numFmtId="14" fontId="14" fillId="0" borderId="23" xfId="0" applyNumberFormat="1" applyFont="1" applyFill="1" applyBorder="1" applyAlignment="1" applyProtection="1">
      <alignment horizontal="center" vertical="center"/>
    </xf>
    <xf numFmtId="166" fontId="14" fillId="0" borderId="23" xfId="0" applyFont="1" applyFill="1" applyBorder="1" applyAlignment="1">
      <alignment horizontal="center" wrapText="1"/>
    </xf>
    <xf numFmtId="41" fontId="23" fillId="0" borderId="0" xfId="1" applyFont="1" applyFill="1"/>
    <xf numFmtId="14" fontId="3" fillId="0" borderId="3" xfId="0" applyNumberFormat="1" applyFont="1" applyFill="1" applyBorder="1" applyAlignment="1">
      <alignment horizontal="center"/>
    </xf>
    <xf numFmtId="166" fontId="3" fillId="0" borderId="3" xfId="0" applyFont="1" applyFill="1" applyBorder="1" applyAlignment="1">
      <alignment horizontal="center"/>
    </xf>
    <xf numFmtId="41" fontId="3" fillId="0" borderId="3" xfId="1" applyFont="1" applyFill="1" applyBorder="1" applyAlignment="1">
      <alignment horizontal="right"/>
    </xf>
    <xf numFmtId="41" fontId="18" fillId="0" borderId="3" xfId="1" applyFont="1" applyFill="1" applyBorder="1"/>
    <xf numFmtId="168" fontId="5" fillId="0" borderId="3" xfId="1" applyNumberFormat="1" applyFont="1" applyFill="1" applyBorder="1"/>
    <xf numFmtId="41" fontId="16" fillId="0" borderId="23" xfId="0" applyNumberFormat="1" applyFont="1" applyBorder="1"/>
    <xf numFmtId="164" fontId="18" fillId="0" borderId="23" xfId="0" applyNumberFormat="1" applyFont="1" applyBorder="1"/>
    <xf numFmtId="14" fontId="16" fillId="0" borderId="3" xfId="0" applyNumberFormat="1" applyFont="1" applyBorder="1" applyAlignment="1">
      <alignment horizontal="center"/>
    </xf>
    <xf numFmtId="166" fontId="16" fillId="0" borderId="3" xfId="0" applyFont="1" applyBorder="1" applyAlignment="1">
      <alignment horizontal="center"/>
    </xf>
    <xf numFmtId="166" fontId="16" fillId="0" borderId="3" xfId="0" applyNumberFormat="1" applyFont="1" applyBorder="1" applyAlignment="1">
      <alignment horizontal="center"/>
    </xf>
    <xf numFmtId="41" fontId="16" fillId="0" borderId="3" xfId="1" applyFont="1" applyBorder="1" applyAlignment="1">
      <alignment horizontal="right"/>
    </xf>
    <xf numFmtId="41" fontId="2" fillId="0" borderId="3" xfId="1" applyFont="1" applyBorder="1"/>
    <xf numFmtId="41" fontId="10" fillId="0" borderId="3" xfId="0" applyNumberFormat="1" applyFont="1" applyBorder="1"/>
    <xf numFmtId="14" fontId="4" fillId="0" borderId="23" xfId="0" applyNumberFormat="1" applyFont="1" applyBorder="1" applyAlignment="1">
      <alignment horizontal="center" vertical="center"/>
    </xf>
    <xf numFmtId="166" fontId="4" fillId="0" borderId="23" xfId="0" applyFont="1" applyBorder="1" applyAlignment="1">
      <alignment horizontal="center"/>
    </xf>
    <xf numFmtId="166" fontId="5" fillId="0" borderId="23" xfId="0" applyFont="1" applyBorder="1" applyAlignment="1">
      <alignment horizontal="center"/>
    </xf>
    <xf numFmtId="41" fontId="18" fillId="0" borderId="23" xfId="0" applyNumberFormat="1" applyFont="1" applyBorder="1"/>
    <xf numFmtId="166" fontId="5" fillId="0" borderId="0" xfId="0" applyNumberFormat="1" applyFont="1" applyBorder="1" applyAlignment="1">
      <alignment horizontal="center" vertical="center"/>
    </xf>
    <xf numFmtId="3" fontId="16" fillId="0" borderId="3" xfId="0" applyNumberFormat="1" applyFont="1" applyBorder="1" applyAlignment="1">
      <alignment horizontal="center"/>
    </xf>
    <xf numFmtId="41" fontId="16" fillId="0" borderId="3" xfId="0" applyNumberFormat="1" applyFont="1" applyBorder="1"/>
    <xf numFmtId="14" fontId="2" fillId="0" borderId="23" xfId="0" applyNumberFormat="1" applyFont="1" applyBorder="1" applyAlignment="1">
      <alignment horizontal="center"/>
    </xf>
    <xf numFmtId="166" fontId="2" fillId="0" borderId="23" xfId="0" applyFont="1" applyBorder="1" applyAlignment="1">
      <alignment horizontal="center"/>
    </xf>
    <xf numFmtId="166" fontId="2" fillId="0" borderId="23" xfId="0" applyNumberFormat="1" applyFont="1" applyBorder="1" applyAlignment="1">
      <alignment horizontal="center"/>
    </xf>
    <xf numFmtId="41" fontId="2" fillId="0" borderId="23" xfId="0" applyNumberFormat="1" applyFont="1" applyBorder="1"/>
    <xf numFmtId="168" fontId="3" fillId="0" borderId="3" xfId="1" applyNumberFormat="1" applyFont="1" applyFill="1" applyBorder="1"/>
    <xf numFmtId="166" fontId="3" fillId="0" borderId="3" xfId="0" applyFont="1" applyFill="1" applyBorder="1"/>
    <xf numFmtId="41" fontId="3" fillId="0" borderId="3" xfId="1" applyFont="1" applyFill="1" applyBorder="1"/>
    <xf numFmtId="168" fontId="16" fillId="0" borderId="3" xfId="1" applyNumberFormat="1" applyFont="1" applyFill="1" applyBorder="1" applyAlignment="1">
      <alignment horizontal="center" wrapText="1"/>
    </xf>
    <xf numFmtId="37" fontId="16" fillId="0" borderId="3" xfId="0" applyNumberFormat="1" applyFont="1" applyFill="1" applyBorder="1" applyAlignment="1" applyProtection="1">
      <alignment horizontal="right" vertical="center"/>
    </xf>
    <xf numFmtId="166" fontId="3" fillId="0" borderId="0" xfId="0" applyFont="1" applyFill="1" applyBorder="1"/>
    <xf numFmtId="168" fontId="16" fillId="0" borderId="0" xfId="1" applyNumberFormat="1" applyFont="1" applyFill="1" applyBorder="1" applyAlignment="1">
      <alignment horizontal="center" wrapText="1"/>
    </xf>
    <xf numFmtId="168" fontId="14" fillId="0" borderId="20" xfId="1" applyNumberFormat="1" applyFont="1" applyFill="1" applyBorder="1" applyAlignment="1">
      <alignment horizontal="center" wrapText="1"/>
    </xf>
    <xf numFmtId="37" fontId="12" fillId="0" borderId="23" xfId="0" applyNumberFormat="1" applyFont="1" applyFill="1" applyBorder="1" applyAlignment="1" applyProtection="1">
      <alignment horizontal="right" vertical="center"/>
    </xf>
    <xf numFmtId="168" fontId="16" fillId="0" borderId="4" xfId="1" applyNumberFormat="1" applyFont="1" applyFill="1" applyBorder="1" applyAlignment="1">
      <alignment horizontal="center" wrapText="1"/>
    </xf>
    <xf numFmtId="41" fontId="14" fillId="0" borderId="23" xfId="1" quotePrefix="1" applyFont="1" applyFill="1" applyBorder="1" applyAlignment="1">
      <alignment horizontal="center" vertical="center"/>
    </xf>
    <xf numFmtId="166" fontId="14" fillId="0" borderId="23" xfId="0" quotePrefix="1" applyFont="1" applyFill="1" applyBorder="1" applyAlignment="1">
      <alignment horizontal="center" vertical="center"/>
    </xf>
    <xf numFmtId="166" fontId="23" fillId="0" borderId="23" xfId="0" quotePrefix="1" applyFont="1" applyFill="1" applyBorder="1" applyAlignment="1">
      <alignment horizontal="center" vertical="center"/>
    </xf>
    <xf numFmtId="166" fontId="23" fillId="0" borderId="4" xfId="0" quotePrefix="1" applyFont="1" applyFill="1" applyBorder="1" applyAlignment="1">
      <alignment horizontal="center"/>
    </xf>
    <xf numFmtId="165" fontId="3" fillId="0" borderId="4" xfId="5" applyNumberFormat="1" applyFont="1" applyFill="1" applyBorder="1" applyAlignment="1">
      <alignment horizontal="center"/>
    </xf>
    <xf numFmtId="166" fontId="3" fillId="0" borderId="23" xfId="0" applyFont="1" applyFill="1" applyBorder="1" applyAlignment="1">
      <alignment horizontal="center" vertical="center" wrapText="1"/>
    </xf>
    <xf numFmtId="3" fontId="19" fillId="0" borderId="23" xfId="0" applyNumberFormat="1" applyFont="1" applyBorder="1"/>
    <xf numFmtId="41" fontId="16" fillId="0" borderId="23" xfId="0" applyNumberFormat="1" applyFont="1" applyFill="1" applyBorder="1"/>
    <xf numFmtId="166" fontId="23" fillId="0" borderId="4" xfId="0" quotePrefix="1" applyFont="1" applyFill="1" applyBorder="1" applyAlignment="1">
      <alignment horizontal="center" vertical="center"/>
    </xf>
    <xf numFmtId="166" fontId="23" fillId="0" borderId="23" xfId="0" quotePrefix="1" applyFont="1" applyFill="1" applyBorder="1" applyAlignment="1">
      <alignment horizontal="center"/>
    </xf>
    <xf numFmtId="168" fontId="23" fillId="0" borderId="4" xfId="1" applyNumberFormat="1" applyFont="1" applyFill="1" applyBorder="1" applyAlignment="1">
      <alignment horizontal="center" wrapText="1"/>
    </xf>
    <xf numFmtId="14" fontId="3" fillId="0" borderId="0" xfId="0" applyNumberFormat="1" applyFont="1" applyFill="1" applyAlignment="1">
      <alignment horizontal="center"/>
    </xf>
    <xf numFmtId="14" fontId="16" fillId="0" borderId="23" xfId="0" applyNumberFormat="1" applyFont="1" applyFill="1" applyBorder="1" applyAlignment="1">
      <alignment horizontal="center" vertical="center" wrapText="1"/>
    </xf>
    <xf numFmtId="165" fontId="16" fillId="0" borderId="23" xfId="5" applyNumberFormat="1" applyFont="1" applyFill="1" applyBorder="1" applyAlignment="1">
      <alignment horizontal="center" vertical="center" wrapText="1"/>
    </xf>
    <xf numFmtId="41" fontId="16" fillId="0" borderId="23" xfId="5" applyNumberFormat="1" applyFont="1" applyFill="1" applyBorder="1" applyAlignment="1">
      <alignment horizontal="center" wrapText="1"/>
    </xf>
    <xf numFmtId="41" fontId="16" fillId="0" borderId="10" xfId="0" applyNumberFormat="1" applyFont="1" applyFill="1" applyBorder="1" applyAlignment="1" applyProtection="1">
      <alignment horizontal="center" vertical="center"/>
    </xf>
    <xf numFmtId="168" fontId="17" fillId="0" borderId="23" xfId="1" applyNumberFormat="1" applyFont="1" applyFill="1" applyBorder="1" applyAlignment="1">
      <alignment horizontal="right" wrapText="1"/>
    </xf>
    <xf numFmtId="41" fontId="16" fillId="0" borderId="23" xfId="1" applyFont="1" applyBorder="1"/>
    <xf numFmtId="1" fontId="17" fillId="0" borderId="4" xfId="0" applyNumberFormat="1" applyFont="1" applyFill="1" applyBorder="1"/>
    <xf numFmtId="41" fontId="4" fillId="0" borderId="0" xfId="1" applyFont="1" applyAlignment="1">
      <alignment horizontal="center" vertical="center" wrapText="1"/>
    </xf>
    <xf numFmtId="168" fontId="2" fillId="0" borderId="0" xfId="1" applyNumberFormat="1" applyFont="1" applyAlignment="1">
      <alignment horizontal="center" vertical="center" wrapText="1"/>
    </xf>
    <xf numFmtId="41" fontId="2" fillId="0" borderId="0" xfId="1" applyNumberFormat="1" applyFont="1" applyAlignment="1">
      <alignment horizontal="center" vertical="center" wrapText="1"/>
    </xf>
    <xf numFmtId="166" fontId="15" fillId="0" borderId="7" xfId="0" applyNumberFormat="1" applyFont="1" applyFill="1" applyBorder="1" applyAlignment="1" applyProtection="1">
      <alignment horizontal="center" vertical="center"/>
    </xf>
    <xf numFmtId="41" fontId="15" fillId="0" borderId="7" xfId="1" applyFont="1" applyFill="1" applyBorder="1" applyAlignment="1" applyProtection="1">
      <alignment horizontal="center" vertical="center"/>
    </xf>
    <xf numFmtId="37" fontId="15" fillId="0" borderId="7" xfId="0" applyNumberFormat="1" applyFont="1" applyFill="1" applyBorder="1" applyAlignment="1" applyProtection="1">
      <alignment horizontal="center" vertical="center"/>
    </xf>
    <xf numFmtId="166" fontId="22" fillId="0" borderId="4" xfId="0" applyFont="1" applyFill="1" applyBorder="1" applyAlignment="1">
      <alignment horizontal="center" vertical="center"/>
    </xf>
    <xf numFmtId="14" fontId="10" fillId="0" borderId="23" xfId="10" applyNumberFormat="1" applyFont="1" applyBorder="1" applyAlignment="1">
      <alignment horizontal="center"/>
    </xf>
    <xf numFmtId="166" fontId="17" fillId="0" borderId="4" xfId="0" applyFont="1" applyFill="1" applyBorder="1" applyAlignment="1">
      <alignment horizontal="center" vertical="center"/>
    </xf>
    <xf numFmtId="14" fontId="15" fillId="0" borderId="28" xfId="0" applyNumberFormat="1" applyFont="1" applyFill="1" applyBorder="1" applyAlignment="1" applyProtection="1">
      <alignment horizontal="center" vertical="center"/>
    </xf>
    <xf numFmtId="14" fontId="11" fillId="0" borderId="0" xfId="0" applyNumberFormat="1" applyFont="1" applyFill="1" applyBorder="1" applyAlignment="1" applyProtection="1">
      <alignment horizontal="center" vertical="center"/>
    </xf>
    <xf numFmtId="166" fontId="11" fillId="0" borderId="7" xfId="0" applyFont="1" applyFill="1" applyBorder="1" applyAlignment="1" applyProtection="1">
      <alignment horizontal="center" vertical="center"/>
    </xf>
    <xf numFmtId="168" fontId="11" fillId="0" borderId="7" xfId="1" applyNumberFormat="1" applyFont="1" applyFill="1" applyBorder="1" applyAlignment="1" applyProtection="1">
      <alignment horizontal="center" vertical="center"/>
    </xf>
    <xf numFmtId="41" fontId="11" fillId="0" borderId="7" xfId="1" applyFont="1" applyFill="1" applyBorder="1" applyAlignment="1" applyProtection="1">
      <alignment horizontal="center" vertical="center"/>
    </xf>
    <xf numFmtId="168" fontId="11" fillId="0" borderId="7" xfId="0" applyNumberFormat="1" applyFont="1" applyFill="1" applyBorder="1" applyAlignment="1" applyProtection="1">
      <alignment horizontal="center" vertical="center"/>
    </xf>
    <xf numFmtId="14" fontId="10" fillId="0" borderId="4" xfId="0" applyNumberFormat="1" applyFont="1" applyFill="1" applyBorder="1" applyAlignment="1">
      <alignment horizontal="center"/>
    </xf>
    <xf numFmtId="166" fontId="10" fillId="0" borderId="4" xfId="0" applyFont="1" applyFill="1" applyBorder="1" applyAlignment="1">
      <alignment horizontal="center"/>
    </xf>
    <xf numFmtId="14" fontId="11" fillId="0" borderId="7" xfId="0" applyNumberFormat="1" applyFont="1" applyBorder="1" applyAlignment="1" applyProtection="1">
      <alignment horizontal="center" vertical="center"/>
    </xf>
    <xf numFmtId="166" fontId="11" fillId="0" borderId="7" xfId="0" applyFont="1" applyBorder="1" applyAlignment="1" applyProtection="1">
      <alignment horizontal="center" vertical="center"/>
    </xf>
    <xf numFmtId="166" fontId="11" fillId="0" borderId="7" xfId="0" applyNumberFormat="1" applyFont="1" applyBorder="1" applyAlignment="1" applyProtection="1">
      <alignment horizontal="center" vertical="center"/>
    </xf>
    <xf numFmtId="165" fontId="11" fillId="0" borderId="7" xfId="5" applyNumberFormat="1" applyFont="1" applyBorder="1" applyAlignment="1" applyProtection="1">
      <alignment horizontal="center" vertical="center"/>
    </xf>
    <xf numFmtId="37" fontId="3" fillId="0" borderId="7" xfId="0" applyNumberFormat="1" applyFont="1" applyBorder="1" applyAlignment="1" applyProtection="1">
      <alignment horizontal="center" vertical="center"/>
    </xf>
    <xf numFmtId="0" fontId="3" fillId="0" borderId="4" xfId="1" applyNumberFormat="1" applyFont="1" applyFill="1" applyBorder="1" applyAlignment="1">
      <alignment horizontal="center" vertical="center"/>
    </xf>
    <xf numFmtId="14" fontId="14" fillId="0" borderId="23" xfId="0" applyNumberFormat="1" applyFont="1" applyFill="1" applyBorder="1" applyAlignment="1">
      <alignment horizontal="center" vertical="center" wrapText="1"/>
    </xf>
    <xf numFmtId="166" fontId="14" fillId="0" borderId="0" xfId="0" applyFont="1" applyFill="1" applyBorder="1" applyAlignment="1">
      <alignment horizontal="center" vertical="center"/>
    </xf>
    <xf numFmtId="165" fontId="14" fillId="0" borderId="23" xfId="5" applyNumberFormat="1" applyFont="1" applyFill="1" applyBorder="1" applyAlignment="1">
      <alignment horizontal="center" vertical="center" wrapText="1"/>
    </xf>
    <xf numFmtId="168" fontId="18" fillId="0" borderId="23" xfId="1" applyNumberFormat="1" applyFont="1" applyFill="1" applyBorder="1" applyAlignment="1">
      <alignment horizontal="right" wrapText="1"/>
    </xf>
    <xf numFmtId="2" fontId="18" fillId="0" borderId="23" xfId="1" applyNumberFormat="1" applyFont="1" applyFill="1" applyBorder="1" applyAlignment="1">
      <alignment horizontal="right" wrapText="1"/>
    </xf>
    <xf numFmtId="166" fontId="16" fillId="0" borderId="4" xfId="0" quotePrefix="1" applyFont="1" applyBorder="1" applyAlignment="1">
      <alignment horizontal="center"/>
    </xf>
    <xf numFmtId="1" fontId="18" fillId="0" borderId="4" xfId="1" applyNumberFormat="1" applyFont="1" applyBorder="1"/>
    <xf numFmtId="14" fontId="10" fillId="0" borderId="4" xfId="0" applyNumberFormat="1" applyFont="1" applyFill="1" applyBorder="1" applyAlignment="1">
      <alignment horizontal="center" vertical="center"/>
    </xf>
    <xf numFmtId="166" fontId="10" fillId="0" borderId="4" xfId="0" applyFont="1" applyFill="1" applyBorder="1" applyAlignment="1">
      <alignment horizontal="center" vertical="center"/>
    </xf>
    <xf numFmtId="14" fontId="16" fillId="0" borderId="4" xfId="0" applyNumberFormat="1" applyFont="1" applyFill="1" applyBorder="1" applyAlignment="1" applyProtection="1">
      <alignment horizontal="center" vertical="center"/>
    </xf>
    <xf numFmtId="165" fontId="14" fillId="0" borderId="4" xfId="5" applyNumberFormat="1" applyFont="1" applyFill="1" applyBorder="1" applyAlignment="1" applyProtection="1">
      <alignment horizontal="center" vertical="center"/>
    </xf>
    <xf numFmtId="41" fontId="16" fillId="0" borderId="4" xfId="1" applyFont="1" applyFill="1" applyBorder="1" applyAlignment="1" applyProtection="1">
      <alignment horizontal="center" vertical="center"/>
    </xf>
    <xf numFmtId="165" fontId="16" fillId="0" borderId="4" xfId="5" applyNumberFormat="1" applyFont="1" applyFill="1" applyBorder="1" applyAlignment="1" applyProtection="1">
      <alignment horizontal="center" vertical="center"/>
    </xf>
    <xf numFmtId="14" fontId="14" fillId="0" borderId="4" xfId="0" applyNumberFormat="1" applyFont="1" applyFill="1" applyBorder="1" applyAlignment="1" applyProtection="1">
      <alignment horizontal="center" vertical="center"/>
    </xf>
    <xf numFmtId="166" fontId="16" fillId="0" borderId="23" xfId="0" applyFont="1" applyFill="1" applyBorder="1" applyAlignment="1">
      <alignment horizontal="center" vertical="center" wrapText="1"/>
    </xf>
    <xf numFmtId="3" fontId="16" fillId="0" borderId="23" xfId="9" applyNumberFormat="1" applyFont="1" applyBorder="1" applyAlignment="1">
      <alignment horizontal="right" vertical="center"/>
    </xf>
    <xf numFmtId="0" fontId="23" fillId="0" borderId="23" xfId="1" applyNumberFormat="1" applyFont="1" applyFill="1" applyBorder="1" applyAlignment="1">
      <alignment horizontal="center" wrapText="1"/>
    </xf>
    <xf numFmtId="166" fontId="23" fillId="0" borderId="4" xfId="0" quotePrefix="1" applyFont="1" applyFill="1" applyBorder="1" applyAlignment="1">
      <alignment horizontal="center" wrapText="1"/>
    </xf>
    <xf numFmtId="41" fontId="14" fillId="0" borderId="23" xfId="0" applyNumberFormat="1" applyFont="1" applyBorder="1"/>
    <xf numFmtId="41" fontId="18" fillId="0" borderId="4" xfId="1" applyFont="1" applyFill="1" applyBorder="1" applyAlignment="1">
      <alignment horizontal="center" vertical="center"/>
    </xf>
    <xf numFmtId="166" fontId="16" fillId="0" borderId="4" xfId="0" applyFont="1" applyFill="1" applyBorder="1" applyAlignment="1">
      <alignment horizontal="center" vertical="center" wrapText="1"/>
    </xf>
    <xf numFmtId="165" fontId="16" fillId="0" borderId="4" xfId="5" applyNumberFormat="1" applyFont="1" applyFill="1" applyBorder="1" applyAlignment="1">
      <alignment horizontal="center" vertical="center" wrapText="1"/>
    </xf>
    <xf numFmtId="14" fontId="14" fillId="0" borderId="4" xfId="0" applyNumberFormat="1" applyFont="1" applyFill="1" applyBorder="1" applyAlignment="1">
      <alignment horizontal="center" vertical="center" wrapText="1"/>
    </xf>
    <xf numFmtId="166" fontId="14" fillId="0" borderId="23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66" fontId="4" fillId="0" borderId="1" xfId="0" applyFont="1" applyBorder="1" applyAlignment="1">
      <alignment horizontal="center" vertical="center"/>
    </xf>
    <xf numFmtId="165" fontId="4" fillId="0" borderId="1" xfId="5" applyNumberFormat="1" applyFont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165" fontId="11" fillId="0" borderId="8" xfId="5" applyNumberFormat="1" applyFont="1" applyBorder="1" applyAlignment="1" applyProtection="1">
      <alignment horizontal="center" vertical="center"/>
    </xf>
    <xf numFmtId="166" fontId="11" fillId="0" borderId="8" xfId="0" applyFont="1" applyBorder="1" applyAlignment="1" applyProtection="1">
      <alignment horizontal="center" vertical="center"/>
    </xf>
    <xf numFmtId="166" fontId="3" fillId="0" borderId="7" xfId="0" applyFont="1" applyBorder="1" applyAlignment="1" applyProtection="1">
      <alignment horizontal="center" vertical="center"/>
    </xf>
    <xf numFmtId="3" fontId="2" fillId="0" borderId="23" xfId="9" applyNumberFormat="1" applyFont="1" applyBorder="1" applyAlignment="1">
      <alignment horizontal="right" vertical="center"/>
    </xf>
    <xf numFmtId="41" fontId="17" fillId="0" borderId="4" xfId="1" applyFont="1" applyFill="1" applyBorder="1" applyAlignment="1">
      <alignment horizontal="center" vertical="center"/>
    </xf>
    <xf numFmtId="165" fontId="14" fillId="0" borderId="4" xfId="5" applyNumberFormat="1" applyFont="1" applyFill="1" applyBorder="1" applyAlignment="1">
      <alignment horizontal="center" vertical="center"/>
    </xf>
    <xf numFmtId="166" fontId="16" fillId="0" borderId="4" xfId="0" applyFont="1" applyFill="1" applyBorder="1" applyAlignment="1">
      <alignment horizontal="center" vertical="center" wrapText="1" shrinkToFit="1"/>
    </xf>
    <xf numFmtId="165" fontId="16" fillId="0" borderId="4" xfId="5" applyNumberFormat="1" applyFont="1" applyFill="1" applyBorder="1" applyAlignment="1">
      <alignment horizontal="center" vertical="center" shrinkToFit="1"/>
    </xf>
    <xf numFmtId="41" fontId="16" fillId="0" borderId="4" xfId="1" applyFont="1" applyFill="1" applyBorder="1" applyAlignment="1">
      <alignment horizontal="center" vertical="center" shrinkToFit="1"/>
    </xf>
    <xf numFmtId="165" fontId="16" fillId="0" borderId="4" xfId="5" applyNumberFormat="1" applyFont="1" applyFill="1" applyBorder="1" applyAlignment="1">
      <alignment horizontal="center" vertical="center"/>
    </xf>
    <xf numFmtId="14" fontId="16" fillId="0" borderId="23" xfId="10" applyNumberFormat="1" applyFont="1" applyBorder="1" applyAlignment="1">
      <alignment horizontal="center" vertical="center"/>
    </xf>
    <xf numFmtId="41" fontId="17" fillId="0" borderId="23" xfId="1" applyFont="1" applyFill="1" applyBorder="1" applyAlignment="1">
      <alignment horizontal="center" vertical="center"/>
    </xf>
    <xf numFmtId="0" fontId="16" fillId="0" borderId="23" xfId="8" applyFont="1" applyBorder="1" applyAlignment="1">
      <alignment horizontal="center" vertical="center"/>
    </xf>
    <xf numFmtId="14" fontId="3" fillId="0" borderId="23" xfId="10" applyNumberFormat="1" applyFont="1" applyBorder="1" applyAlignment="1">
      <alignment horizontal="center" vertical="center"/>
    </xf>
    <xf numFmtId="0" fontId="3" fillId="0" borderId="23" xfId="8" applyFont="1" applyBorder="1" applyAlignment="1">
      <alignment horizontal="center" vertical="center"/>
    </xf>
    <xf numFmtId="165" fontId="3" fillId="0" borderId="23" xfId="5" applyNumberFormat="1" applyFont="1" applyFill="1" applyBorder="1" applyAlignment="1">
      <alignment horizontal="center" vertical="center" wrapText="1"/>
    </xf>
    <xf numFmtId="3" fontId="3" fillId="0" borderId="23" xfId="9" applyNumberFormat="1" applyFont="1" applyBorder="1" applyAlignment="1">
      <alignment horizontal="right" vertical="center"/>
    </xf>
    <xf numFmtId="41" fontId="22" fillId="0" borderId="23" xfId="1" applyFont="1" applyFill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66" fontId="2" fillId="0" borderId="3" xfId="0" applyFont="1" applyBorder="1" applyAlignment="1">
      <alignment horizontal="center" vertical="center"/>
    </xf>
    <xf numFmtId="165" fontId="2" fillId="0" borderId="3" xfId="5" applyNumberFormat="1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/>
    </xf>
    <xf numFmtId="41" fontId="16" fillId="0" borderId="3" xfId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6" fontId="4" fillId="0" borderId="0" xfId="0" applyFont="1" applyAlignment="1">
      <alignment horizontal="center" vertical="center"/>
    </xf>
    <xf numFmtId="165" fontId="4" fillId="0" borderId="0" xfId="5" applyNumberFormat="1" applyFont="1" applyAlignment="1">
      <alignment horizontal="center" vertical="center"/>
    </xf>
    <xf numFmtId="41" fontId="4" fillId="0" borderId="0" xfId="1" applyFont="1" applyAlignment="1">
      <alignment horizontal="center" vertical="center"/>
    </xf>
    <xf numFmtId="41" fontId="3" fillId="0" borderId="0" xfId="1" applyFont="1" applyAlignment="1">
      <alignment horizontal="center" vertical="center"/>
    </xf>
    <xf numFmtId="41" fontId="12" fillId="0" borderId="4" xfId="1" applyFont="1" applyFill="1" applyBorder="1" applyAlignment="1" applyProtection="1">
      <alignment horizontal="right" vertical="center"/>
    </xf>
    <xf numFmtId="41" fontId="16" fillId="0" borderId="23" xfId="1" applyFont="1" applyFill="1" applyBorder="1" applyAlignment="1" applyProtection="1">
      <alignment horizontal="right" vertical="center"/>
    </xf>
    <xf numFmtId="168" fontId="16" fillId="0" borderId="23" xfId="1" applyNumberFormat="1" applyFont="1" applyFill="1" applyBorder="1" applyAlignment="1">
      <alignment horizontal="right" wrapText="1"/>
    </xf>
    <xf numFmtId="0" fontId="23" fillId="0" borderId="4" xfId="1" applyNumberFormat="1" applyFont="1" applyBorder="1" applyAlignment="1">
      <alignment horizontal="center"/>
    </xf>
    <xf numFmtId="14" fontId="23" fillId="0" borderId="4" xfId="10" applyNumberFormat="1" applyFont="1" applyBorder="1" applyAlignment="1">
      <alignment horizontal="center"/>
    </xf>
    <xf numFmtId="3" fontId="14" fillId="0" borderId="4" xfId="0" applyNumberFormat="1" applyFont="1" applyBorder="1" applyAlignment="1">
      <alignment horizontal="center"/>
    </xf>
    <xf numFmtId="41" fontId="14" fillId="0" borderId="23" xfId="1" applyFont="1" applyBorder="1" applyAlignment="1">
      <alignment horizontal="center" vertical="center"/>
    </xf>
    <xf numFmtId="41" fontId="14" fillId="0" borderId="0" xfId="1" applyFont="1" applyFill="1"/>
    <xf numFmtId="41" fontId="14" fillId="0" borderId="5" xfId="1" applyFont="1" applyFill="1" applyBorder="1"/>
    <xf numFmtId="165" fontId="14" fillId="0" borderId="4" xfId="5" applyNumberFormat="1" applyFont="1" applyFill="1" applyBorder="1" applyAlignment="1">
      <alignment horizontal="center" vertical="center" wrapText="1"/>
    </xf>
    <xf numFmtId="14" fontId="26" fillId="0" borderId="23" xfId="0" applyNumberFormat="1" applyFont="1" applyBorder="1" applyAlignment="1">
      <alignment horizontal="center"/>
    </xf>
    <xf numFmtId="0" fontId="26" fillId="0" borderId="23" xfId="1" applyNumberFormat="1" applyFont="1" applyBorder="1" applyAlignment="1">
      <alignment horizontal="center"/>
    </xf>
    <xf numFmtId="166" fontId="26" fillId="0" borderId="23" xfId="0" applyFont="1" applyBorder="1" applyAlignment="1">
      <alignment horizontal="center"/>
    </xf>
    <xf numFmtId="165" fontId="26" fillId="0" borderId="23" xfId="5" applyNumberFormat="1" applyFont="1" applyBorder="1" applyAlignment="1">
      <alignment horizontal="center"/>
    </xf>
    <xf numFmtId="41" fontId="26" fillId="0" borderId="23" xfId="1" applyFont="1" applyFill="1" applyBorder="1" applyAlignment="1">
      <alignment horizontal="center" wrapText="1"/>
    </xf>
    <xf numFmtId="14" fontId="26" fillId="0" borderId="23" xfId="0" applyNumberFormat="1" applyFont="1" applyFill="1" applyBorder="1" applyAlignment="1" applyProtection="1">
      <alignment horizontal="center" vertical="center"/>
    </xf>
    <xf numFmtId="165" fontId="26" fillId="0" borderId="23" xfId="5" applyNumberFormat="1" applyFont="1" applyFill="1" applyBorder="1" applyAlignment="1">
      <alignment horizontal="center" wrapText="1"/>
    </xf>
    <xf numFmtId="14" fontId="26" fillId="0" borderId="23" xfId="10" applyNumberFormat="1" applyFont="1" applyBorder="1" applyAlignment="1">
      <alignment horizontal="center"/>
    </xf>
    <xf numFmtId="41" fontId="27" fillId="0" borderId="23" xfId="1" applyFont="1" applyBorder="1" applyAlignment="1">
      <alignment horizontal="center"/>
    </xf>
    <xf numFmtId="0" fontId="3" fillId="0" borderId="23" xfId="1" applyNumberFormat="1" applyFont="1" applyFill="1" applyBorder="1" applyAlignment="1">
      <alignment horizontal="center" vertical="center"/>
    </xf>
    <xf numFmtId="41" fontId="14" fillId="0" borderId="4" xfId="1" applyFont="1" applyFill="1" applyBorder="1" applyAlignment="1">
      <alignment horizontal="center" vertical="center" wrapText="1"/>
    </xf>
    <xf numFmtId="168" fontId="2" fillId="0" borderId="0" xfId="1" applyNumberFormat="1" applyFont="1" applyAlignment="1">
      <alignment horizontal="center" vertical="center" wrapText="1"/>
    </xf>
    <xf numFmtId="41" fontId="2" fillId="0" borderId="0" xfId="1" applyNumberFormat="1" applyFont="1" applyAlignment="1">
      <alignment horizontal="center" vertical="center" wrapText="1"/>
    </xf>
    <xf numFmtId="1" fontId="16" fillId="0" borderId="4" xfId="1" applyNumberFormat="1" applyFont="1" applyFill="1" applyBorder="1" applyAlignment="1">
      <alignment horizontal="right" wrapText="1"/>
    </xf>
    <xf numFmtId="1" fontId="16" fillId="0" borderId="23" xfId="1" applyNumberFormat="1" applyFont="1" applyFill="1" applyBorder="1" applyAlignment="1">
      <alignment horizontal="right" wrapText="1"/>
    </xf>
    <xf numFmtId="1" fontId="17" fillId="0" borderId="23" xfId="1" applyNumberFormat="1" applyFont="1" applyFill="1" applyBorder="1" applyAlignment="1">
      <alignment horizontal="right" wrapText="1"/>
    </xf>
    <xf numFmtId="14" fontId="11" fillId="0" borderId="29" xfId="0" applyNumberFormat="1" applyFont="1" applyFill="1" applyBorder="1" applyAlignment="1" applyProtection="1">
      <alignment horizontal="center" vertical="center"/>
    </xf>
    <xf numFmtId="166" fontId="28" fillId="0" borderId="23" xfId="11" applyNumberFormat="1" applyFont="1" applyFill="1" applyBorder="1" applyAlignment="1" applyProtection="1">
      <alignment horizontal="center" wrapText="1"/>
    </xf>
    <xf numFmtId="41" fontId="23" fillId="0" borderId="0" xfId="0" applyNumberFormat="1" applyFont="1" applyFill="1" applyBorder="1"/>
    <xf numFmtId="14" fontId="2" fillId="0" borderId="0" xfId="0" applyNumberFormat="1" applyFont="1" applyFill="1" applyAlignment="1">
      <alignment horizontal="center" vertical="center"/>
    </xf>
    <xf numFmtId="41" fontId="23" fillId="0" borderId="0" xfId="1" applyFont="1" applyFill="1" applyBorder="1"/>
    <xf numFmtId="1" fontId="18" fillId="0" borderId="0" xfId="1" applyNumberFormat="1" applyFont="1" applyFill="1" applyBorder="1" applyAlignment="1">
      <alignment horizontal="right" wrapText="1"/>
    </xf>
    <xf numFmtId="41" fontId="16" fillId="0" borderId="30" xfId="1" applyFont="1" applyFill="1" applyBorder="1" applyAlignment="1" applyProtection="1">
      <alignment horizontal="center" vertical="center"/>
    </xf>
    <xf numFmtId="41" fontId="14" fillId="0" borderId="0" xfId="1" applyFont="1" applyFill="1" applyBorder="1" applyAlignment="1">
      <alignment horizontal="center"/>
    </xf>
    <xf numFmtId="168" fontId="18" fillId="0" borderId="0" xfId="1" applyNumberFormat="1" applyFont="1" applyFill="1" applyBorder="1" applyAlignment="1">
      <alignment horizontal="center" wrapText="1"/>
    </xf>
    <xf numFmtId="166" fontId="14" fillId="0" borderId="4" xfId="0" applyFont="1" applyFill="1" applyBorder="1" applyAlignment="1">
      <alignment horizontal="center" vertical="center" wrapText="1"/>
    </xf>
    <xf numFmtId="41" fontId="23" fillId="0" borderId="23" xfId="1" quotePrefix="1" applyFont="1" applyBorder="1" applyAlignment="1">
      <alignment horizontal="center"/>
    </xf>
    <xf numFmtId="166" fontId="16" fillId="0" borderId="23" xfId="0" quotePrefix="1" applyNumberFormat="1" applyFont="1" applyFill="1" applyBorder="1" applyAlignment="1" applyProtection="1">
      <alignment horizontal="center" vertical="center"/>
    </xf>
    <xf numFmtId="166" fontId="16" fillId="0" borderId="23" xfId="0" quotePrefix="1" applyFont="1" applyFill="1" applyBorder="1" applyAlignment="1">
      <alignment horizontal="center" vertical="center"/>
    </xf>
    <xf numFmtId="166" fontId="3" fillId="0" borderId="4" xfId="0" quotePrefix="1" applyFont="1" applyFill="1" applyBorder="1" applyAlignment="1">
      <alignment horizontal="center"/>
    </xf>
    <xf numFmtId="166" fontId="8" fillId="0" borderId="0" xfId="0" applyFont="1" applyAlignment="1">
      <alignment horizontal="center" vertical="center"/>
    </xf>
    <xf numFmtId="166" fontId="11" fillId="0" borderId="17" xfId="0" applyNumberFormat="1" applyFont="1" applyBorder="1" applyAlignment="1" applyProtection="1">
      <alignment horizontal="center" vertical="center"/>
    </xf>
    <xf numFmtId="166" fontId="11" fillId="0" borderId="9" xfId="0" applyNumberFormat="1" applyFont="1" applyBorder="1" applyAlignment="1" applyProtection="1">
      <alignment horizontal="center" vertical="center"/>
    </xf>
    <xf numFmtId="41" fontId="4" fillId="0" borderId="0" xfId="1" applyFont="1" applyAlignment="1">
      <alignment horizontal="center" vertical="center" wrapText="1"/>
    </xf>
    <xf numFmtId="166" fontId="8" fillId="0" borderId="0" xfId="0" applyFont="1" applyFill="1" applyAlignment="1">
      <alignment horizontal="center"/>
    </xf>
    <xf numFmtId="166" fontId="11" fillId="0" borderId="17" xfId="0" applyNumberFormat="1" applyFont="1" applyFill="1" applyBorder="1" applyAlignment="1" applyProtection="1">
      <alignment horizontal="center" vertical="center"/>
    </xf>
    <xf numFmtId="166" fontId="11" fillId="0" borderId="9" xfId="0" applyNumberFormat="1" applyFont="1" applyFill="1" applyBorder="1" applyAlignment="1" applyProtection="1">
      <alignment horizontal="center" vertical="center"/>
    </xf>
    <xf numFmtId="41" fontId="2" fillId="0" borderId="0" xfId="1" applyFont="1" applyAlignment="1">
      <alignment horizontal="center" vertical="center" wrapText="1"/>
    </xf>
    <xf numFmtId="168" fontId="2" fillId="0" borderId="0" xfId="1" applyNumberFormat="1" applyFont="1" applyAlignment="1">
      <alignment horizontal="center" vertical="center" wrapText="1"/>
    </xf>
    <xf numFmtId="41" fontId="2" fillId="0" borderId="0" xfId="1" applyNumberFormat="1" applyFont="1" applyAlignment="1">
      <alignment horizontal="center" vertical="center" wrapText="1"/>
    </xf>
    <xf numFmtId="166" fontId="11" fillId="0" borderId="26" xfId="0" applyFont="1" applyFill="1" applyBorder="1" applyAlignment="1" applyProtection="1">
      <alignment horizontal="center"/>
    </xf>
    <xf numFmtId="166" fontId="11" fillId="0" borderId="27" xfId="0" applyFont="1" applyFill="1" applyBorder="1" applyAlignment="1" applyProtection="1">
      <alignment horizontal="center"/>
    </xf>
    <xf numFmtId="166" fontId="11" fillId="0" borderId="24" xfId="0" applyFont="1" applyFill="1" applyBorder="1" applyAlignment="1" applyProtection="1">
      <alignment horizontal="center"/>
    </xf>
    <xf numFmtId="166" fontId="11" fillId="0" borderId="25" xfId="0" applyFont="1" applyFill="1" applyBorder="1" applyAlignment="1" applyProtection="1">
      <alignment horizontal="center"/>
    </xf>
    <xf numFmtId="166" fontId="8" fillId="0" borderId="0" xfId="0" applyFont="1" applyAlignment="1">
      <alignment horizontal="center"/>
    </xf>
    <xf numFmtId="166" fontId="8" fillId="0" borderId="0" xfId="0" applyFont="1" applyFill="1" applyAlignment="1">
      <alignment horizontal="center" vertical="center"/>
    </xf>
    <xf numFmtId="166" fontId="15" fillId="0" borderId="17" xfId="0" applyNumberFormat="1" applyFont="1" applyFill="1" applyBorder="1" applyAlignment="1" applyProtection="1">
      <alignment horizontal="center" vertical="center"/>
    </xf>
    <xf numFmtId="166" fontId="15" fillId="0" borderId="9" xfId="0" applyNumberFormat="1" applyFont="1" applyFill="1" applyBorder="1" applyAlignment="1" applyProtection="1">
      <alignment horizontal="center" vertical="center"/>
    </xf>
    <xf numFmtId="166" fontId="8" fillId="0" borderId="0" xfId="0" applyNumberFormat="1" applyFont="1" applyFill="1" applyAlignment="1">
      <alignment horizontal="center"/>
    </xf>
    <xf numFmtId="169" fontId="5" fillId="0" borderId="1" xfId="0" applyNumberFormat="1" applyFont="1" applyFill="1" applyBorder="1"/>
    <xf numFmtId="169" fontId="11" fillId="0" borderId="7" xfId="0" applyNumberFormat="1" applyFont="1" applyFill="1" applyBorder="1" applyAlignment="1" applyProtection="1">
      <alignment horizontal="center"/>
    </xf>
    <xf numFmtId="169" fontId="11" fillId="0" borderId="9" xfId="0" applyNumberFormat="1" applyFont="1" applyFill="1" applyBorder="1" applyAlignment="1" applyProtection="1">
      <alignment horizontal="center" vertical="center"/>
    </xf>
    <xf numFmtId="169" fontId="14" fillId="0" borderId="4" xfId="0" applyNumberFormat="1" applyFont="1" applyFill="1" applyBorder="1" applyAlignment="1">
      <alignment horizontal="center"/>
    </xf>
    <xf numFmtId="169" fontId="17" fillId="0" borderId="23" xfId="0" applyNumberFormat="1" applyFont="1" applyFill="1" applyBorder="1" applyAlignment="1">
      <alignment horizontal="center"/>
    </xf>
    <xf numFmtId="169" fontId="3" fillId="0" borderId="4" xfId="0" applyNumberFormat="1" applyFont="1" applyFill="1" applyBorder="1" applyAlignment="1">
      <alignment horizontal="center"/>
    </xf>
    <xf numFmtId="169" fontId="23" fillId="0" borderId="4" xfId="0" applyNumberFormat="1" applyFont="1" applyFill="1" applyBorder="1" applyAlignment="1">
      <alignment horizontal="center"/>
    </xf>
    <xf numFmtId="169" fontId="3" fillId="0" borderId="23" xfId="0" applyNumberFormat="1" applyFont="1" applyFill="1" applyBorder="1" applyAlignment="1">
      <alignment horizontal="center"/>
    </xf>
    <xf numFmtId="169" fontId="23" fillId="0" borderId="23" xfId="0" applyNumberFormat="1" applyFont="1" applyFill="1" applyBorder="1" applyAlignment="1">
      <alignment horizontal="center"/>
    </xf>
    <xf numFmtId="169" fontId="4" fillId="0" borderId="3" xfId="0" applyNumberFormat="1" applyFont="1" applyFill="1" applyBorder="1"/>
    <xf numFmtId="169" fontId="5" fillId="0" borderId="0" xfId="0" applyNumberFormat="1" applyFont="1" applyFill="1"/>
    <xf numFmtId="169" fontId="3" fillId="0" borderId="3" xfId="0" applyNumberFormat="1" applyFont="1" applyFill="1" applyBorder="1" applyAlignment="1">
      <alignment horizontal="center"/>
    </xf>
  </cellXfs>
  <cellStyles count="12">
    <cellStyle name="Comma" xfId="5" builtinId="3"/>
    <cellStyle name="Comma [0]" xfId="1" builtinId="6"/>
    <cellStyle name="Comma 5" xfId="4"/>
    <cellStyle name="Hyperlink" xfId="11" builtinId="8"/>
    <cellStyle name="Normal" xfId="0" builtinId="0"/>
    <cellStyle name="Normal 2" xfId="8"/>
    <cellStyle name="Normal 3" xfId="2"/>
    <cellStyle name="Normal 4" xfId="3"/>
    <cellStyle name="Normal 4 2" xfId="6"/>
    <cellStyle name="Normal 5" xfId="9"/>
    <cellStyle name="Normal 6" xfId="7"/>
    <cellStyle name="Normal 7" xfId="10"/>
  </cellStyles>
  <dxfs count="0"/>
  <tableStyles count="0" defaultTableStyle="TableStyleMedium9" defaultPivotStyle="PivotStyleLight16"/>
  <colors>
    <mruColors>
      <color rgb="FF0000FF"/>
      <color rgb="FFFF0000"/>
      <color rgb="FFCC00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99"/>
  <sheetViews>
    <sheetView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G65" sqref="G65"/>
    </sheetView>
  </sheetViews>
  <sheetFormatPr defaultRowHeight="12.75"/>
  <cols>
    <col min="1" max="1" width="3.7109375" style="9" customWidth="1"/>
    <col min="2" max="2" width="13.42578125" style="623" customWidth="1"/>
    <col min="3" max="3" width="16.85546875" style="624" customWidth="1"/>
    <col min="4" max="4" width="22" style="624" customWidth="1"/>
    <col min="5" max="5" width="12.42578125" style="625" customWidth="1"/>
    <col min="6" max="6" width="13.42578125" style="626" customWidth="1"/>
    <col min="7" max="7" width="16.7109375" style="627" customWidth="1"/>
    <col min="8" max="8" width="5.85546875" style="9" customWidth="1"/>
    <col min="9" max="9" width="17.140625" style="190" customWidth="1"/>
    <col min="10" max="10" width="16.140625" style="190" customWidth="1"/>
    <col min="11" max="16384" width="9.140625" style="9"/>
  </cols>
  <sheetData>
    <row r="1" spans="2:10" ht="18.75">
      <c r="B1" s="668" t="s">
        <v>18</v>
      </c>
      <c r="C1" s="668"/>
      <c r="D1" s="668"/>
      <c r="E1" s="668"/>
      <c r="F1" s="668"/>
      <c r="G1" s="668"/>
    </row>
    <row r="2" spans="2:10" ht="18.75">
      <c r="B2" s="668" t="s">
        <v>46</v>
      </c>
      <c r="C2" s="668"/>
      <c r="D2" s="668"/>
      <c r="E2" s="668"/>
      <c r="F2" s="668"/>
      <c r="G2" s="668"/>
    </row>
    <row r="3" spans="2:10" ht="13.5" thickBot="1">
      <c r="B3" s="595"/>
      <c r="C3" s="596"/>
      <c r="D3" s="596"/>
      <c r="E3" s="597"/>
      <c r="F3" s="598"/>
      <c r="G3" s="599"/>
    </row>
    <row r="4" spans="2:10" ht="17.25" customHeight="1" thickTop="1">
      <c r="B4" s="565" t="s">
        <v>10</v>
      </c>
      <c r="C4" s="566" t="s">
        <v>11</v>
      </c>
      <c r="D4" s="669" t="s">
        <v>12</v>
      </c>
      <c r="E4" s="600" t="s">
        <v>9</v>
      </c>
      <c r="F4" s="601" t="s">
        <v>13</v>
      </c>
      <c r="G4" s="602" t="s">
        <v>8</v>
      </c>
      <c r="I4" s="671" t="s">
        <v>22</v>
      </c>
      <c r="J4" s="671" t="s">
        <v>23</v>
      </c>
    </row>
    <row r="5" spans="2:10" ht="17.25" customHeight="1" thickBot="1">
      <c r="B5" s="155" t="s">
        <v>14</v>
      </c>
      <c r="C5" s="35" t="s">
        <v>15</v>
      </c>
      <c r="D5" s="670"/>
      <c r="E5" s="74" t="s">
        <v>16</v>
      </c>
      <c r="F5" s="36" t="s">
        <v>16</v>
      </c>
      <c r="G5" s="319" t="s">
        <v>17</v>
      </c>
      <c r="I5" s="671"/>
      <c r="J5" s="671"/>
    </row>
    <row r="6" spans="2:10" ht="17.25" customHeight="1" thickTop="1">
      <c r="B6" s="565"/>
      <c r="C6" s="566"/>
      <c r="D6" s="567"/>
      <c r="E6" s="568"/>
      <c r="F6" s="566"/>
      <c r="G6" s="569"/>
      <c r="I6" s="548"/>
      <c r="J6" s="548"/>
    </row>
    <row r="7" spans="2:10" ht="15" customHeight="1">
      <c r="B7" s="578">
        <v>41639</v>
      </c>
      <c r="C7" s="579" t="s">
        <v>25</v>
      </c>
      <c r="D7" s="594"/>
      <c r="E7" s="573"/>
      <c r="F7" s="603">
        <v>45954000</v>
      </c>
      <c r="G7" s="604">
        <v>45954000</v>
      </c>
    </row>
    <row r="8" spans="2:10" ht="15" customHeight="1">
      <c r="B8" s="580">
        <v>41652</v>
      </c>
      <c r="C8" s="231" t="s">
        <v>40</v>
      </c>
      <c r="D8" s="76"/>
      <c r="E8" s="581"/>
      <c r="F8" s="582">
        <v>55070000</v>
      </c>
      <c r="G8" s="235">
        <f t="shared" ref="G8:G13" si="0">G7+F8</f>
        <v>101024000</v>
      </c>
    </row>
    <row r="9" spans="2:10" ht="15" customHeight="1">
      <c r="B9" s="580">
        <v>41652</v>
      </c>
      <c r="C9" s="91" t="s">
        <v>41</v>
      </c>
      <c r="D9" s="231"/>
      <c r="E9" s="583"/>
      <c r="F9" s="582">
        <v>12296500</v>
      </c>
      <c r="G9" s="235">
        <f t="shared" si="0"/>
        <v>113320500</v>
      </c>
    </row>
    <row r="10" spans="2:10" ht="15" customHeight="1">
      <c r="B10" s="580">
        <v>41662</v>
      </c>
      <c r="C10" s="91" t="s">
        <v>42</v>
      </c>
      <c r="D10" s="231"/>
      <c r="E10" s="583"/>
      <c r="F10" s="582">
        <v>11388000</v>
      </c>
      <c r="G10" s="235">
        <f t="shared" si="0"/>
        <v>124708500</v>
      </c>
    </row>
    <row r="11" spans="2:10" ht="15" customHeight="1">
      <c r="B11" s="580">
        <v>41662</v>
      </c>
      <c r="C11" s="91" t="s">
        <v>43</v>
      </c>
      <c r="D11" s="231"/>
      <c r="E11" s="583"/>
      <c r="F11" s="582">
        <v>47344500</v>
      </c>
      <c r="G11" s="235">
        <f t="shared" si="0"/>
        <v>172053000</v>
      </c>
    </row>
    <row r="12" spans="2:10" ht="15" customHeight="1">
      <c r="B12" s="580">
        <v>41668</v>
      </c>
      <c r="C12" s="91" t="s">
        <v>44</v>
      </c>
      <c r="D12" s="76"/>
      <c r="E12" s="605"/>
      <c r="F12" s="235">
        <v>1896000</v>
      </c>
      <c r="G12" s="235">
        <f t="shared" si="0"/>
        <v>173949000</v>
      </c>
    </row>
    <row r="13" spans="2:10" ht="15" customHeight="1">
      <c r="B13" s="580">
        <v>41669</v>
      </c>
      <c r="C13" s="91" t="s">
        <v>45</v>
      </c>
      <c r="D13" s="606"/>
      <c r="E13" s="607"/>
      <c r="F13" s="608">
        <v>35802000</v>
      </c>
      <c r="G13" s="235">
        <f t="shared" si="0"/>
        <v>209751000</v>
      </c>
    </row>
    <row r="14" spans="2:10" ht="15" customHeight="1">
      <c r="B14" s="584">
        <v>41646</v>
      </c>
      <c r="C14" s="93" t="s">
        <v>49</v>
      </c>
      <c r="D14" s="76" t="s">
        <v>50</v>
      </c>
      <c r="E14" s="573">
        <v>45954000</v>
      </c>
      <c r="F14" s="246"/>
      <c r="G14" s="235">
        <f t="shared" ref="G14:G77" si="1">G13+F14-E14</f>
        <v>163797000</v>
      </c>
    </row>
    <row r="15" spans="2:10" ht="15" customHeight="1">
      <c r="B15" s="584">
        <v>41662</v>
      </c>
      <c r="C15" s="93" t="s">
        <v>65</v>
      </c>
      <c r="D15" s="76" t="s">
        <v>66</v>
      </c>
      <c r="E15" s="573">
        <v>67366500</v>
      </c>
      <c r="F15" s="246"/>
      <c r="G15" s="235">
        <f t="shared" si="1"/>
        <v>96430500</v>
      </c>
    </row>
    <row r="16" spans="2:10" ht="15" customHeight="1">
      <c r="B16" s="584">
        <v>41668</v>
      </c>
      <c r="C16" s="93" t="s">
        <v>76</v>
      </c>
      <c r="D16" s="76" t="s">
        <v>66</v>
      </c>
      <c r="E16" s="605">
        <v>58732500</v>
      </c>
      <c r="F16" s="246"/>
      <c r="G16" s="590">
        <f t="shared" si="1"/>
        <v>37698000</v>
      </c>
      <c r="I16" s="190">
        <f>SUM(F8:F13)</f>
        <v>163797000</v>
      </c>
      <c r="J16" s="190">
        <f>SUM(E14:E16)</f>
        <v>172053000</v>
      </c>
    </row>
    <row r="17" spans="2:10" ht="15" customHeight="1">
      <c r="B17" s="580">
        <v>41684</v>
      </c>
      <c r="C17" s="91" t="s">
        <v>165</v>
      </c>
      <c r="D17" s="231"/>
      <c r="E17" s="609"/>
      <c r="F17" s="246">
        <v>5925000</v>
      </c>
      <c r="G17" s="235">
        <f t="shared" si="1"/>
        <v>43623000</v>
      </c>
    </row>
    <row r="18" spans="2:10" ht="15" customHeight="1">
      <c r="B18" s="580">
        <v>41684</v>
      </c>
      <c r="C18" s="91" t="s">
        <v>166</v>
      </c>
      <c r="D18" s="591"/>
      <c r="E18" s="592"/>
      <c r="F18" s="246">
        <v>10636000</v>
      </c>
      <c r="G18" s="235">
        <f t="shared" si="1"/>
        <v>54259000</v>
      </c>
    </row>
    <row r="19" spans="2:10" ht="15" customHeight="1">
      <c r="B19" s="580">
        <v>41688</v>
      </c>
      <c r="C19" s="91" t="s">
        <v>167</v>
      </c>
      <c r="D19" s="591"/>
      <c r="E19" s="592"/>
      <c r="F19" s="246">
        <v>33144500</v>
      </c>
      <c r="G19" s="235">
        <f t="shared" si="1"/>
        <v>87403500</v>
      </c>
    </row>
    <row r="20" spans="2:10" ht="15" customHeight="1">
      <c r="B20" s="249">
        <v>41695</v>
      </c>
      <c r="C20" s="91" t="s">
        <v>168</v>
      </c>
      <c r="D20" s="591"/>
      <c r="E20" s="592"/>
      <c r="F20" s="246">
        <v>10517000</v>
      </c>
      <c r="G20" s="235">
        <f t="shared" si="1"/>
        <v>97920500</v>
      </c>
    </row>
    <row r="21" spans="2:10" ht="15" customHeight="1">
      <c r="B21" s="580">
        <v>41697</v>
      </c>
      <c r="C21" s="91" t="s">
        <v>169</v>
      </c>
      <c r="D21" s="231"/>
      <c r="E21" s="609"/>
      <c r="F21" s="246">
        <v>8237000</v>
      </c>
      <c r="G21" s="235">
        <f t="shared" si="1"/>
        <v>106157500</v>
      </c>
    </row>
    <row r="22" spans="2:10" ht="15" customHeight="1">
      <c r="B22" s="271">
        <v>41697</v>
      </c>
      <c r="C22" s="145" t="s">
        <v>170</v>
      </c>
      <c r="D22" s="231"/>
      <c r="E22" s="542"/>
      <c r="F22" s="246">
        <v>33988500</v>
      </c>
      <c r="G22" s="235">
        <f t="shared" si="1"/>
        <v>140146000</v>
      </c>
    </row>
    <row r="23" spans="2:10" ht="15" customHeight="1">
      <c r="B23" s="584">
        <v>41677</v>
      </c>
      <c r="C23" s="93" t="s">
        <v>125</v>
      </c>
      <c r="D23" s="76" t="s">
        <v>66</v>
      </c>
      <c r="E23" s="605">
        <v>1896000</v>
      </c>
      <c r="F23" s="246"/>
      <c r="G23" s="235">
        <f t="shared" si="1"/>
        <v>138250000</v>
      </c>
    </row>
    <row r="24" spans="2:10" ht="15" customHeight="1">
      <c r="B24" s="492">
        <v>41689</v>
      </c>
      <c r="C24" s="149" t="s">
        <v>139</v>
      </c>
      <c r="D24" s="76" t="s">
        <v>66</v>
      </c>
      <c r="E24" s="573">
        <v>35802000</v>
      </c>
      <c r="F24" s="246"/>
      <c r="G24" s="235">
        <f t="shared" si="1"/>
        <v>102448000</v>
      </c>
    </row>
    <row r="25" spans="2:10" ht="15" customHeight="1">
      <c r="B25" s="492">
        <v>41697</v>
      </c>
      <c r="C25" s="149" t="s">
        <v>146</v>
      </c>
      <c r="D25" s="76" t="s">
        <v>147</v>
      </c>
      <c r="E25" s="573">
        <v>49705500</v>
      </c>
      <c r="F25" s="246"/>
      <c r="G25" s="590">
        <f t="shared" si="1"/>
        <v>52742500</v>
      </c>
      <c r="I25" s="190">
        <f>SUM(F17:F22)</f>
        <v>102448000</v>
      </c>
      <c r="J25" s="190">
        <f>SUM(E23:E25)</f>
        <v>87403500</v>
      </c>
    </row>
    <row r="26" spans="2:10" ht="15" customHeight="1">
      <c r="B26" s="271">
        <v>41717</v>
      </c>
      <c r="C26" s="145" t="s">
        <v>257</v>
      </c>
      <c r="D26" s="585"/>
      <c r="E26" s="542"/>
      <c r="F26" s="246">
        <v>20976500</v>
      </c>
      <c r="G26" s="235">
        <f t="shared" si="1"/>
        <v>73719000</v>
      </c>
    </row>
    <row r="27" spans="2:10" ht="15" customHeight="1">
      <c r="B27" s="249">
        <v>41717</v>
      </c>
      <c r="C27" s="91" t="s">
        <v>258</v>
      </c>
      <c r="D27" s="591"/>
      <c r="E27" s="592"/>
      <c r="F27" s="246">
        <v>19528000</v>
      </c>
      <c r="G27" s="235">
        <f t="shared" si="1"/>
        <v>93247000</v>
      </c>
    </row>
    <row r="28" spans="2:10" ht="15" customHeight="1">
      <c r="B28" s="249">
        <v>41722</v>
      </c>
      <c r="C28" s="91" t="s">
        <v>259</v>
      </c>
      <c r="D28" s="591"/>
      <c r="E28" s="592"/>
      <c r="F28" s="246">
        <v>8544300</v>
      </c>
      <c r="G28" s="235">
        <f t="shared" si="1"/>
        <v>101791300</v>
      </c>
    </row>
    <row r="29" spans="2:10" ht="15" customHeight="1">
      <c r="B29" s="249">
        <v>41722</v>
      </c>
      <c r="C29" s="91" t="s">
        <v>260</v>
      </c>
      <c r="D29" s="231"/>
      <c r="E29" s="592"/>
      <c r="F29" s="246">
        <v>9010000</v>
      </c>
      <c r="G29" s="235">
        <f t="shared" si="1"/>
        <v>110801300</v>
      </c>
    </row>
    <row r="30" spans="2:10" ht="15" customHeight="1">
      <c r="B30" s="580">
        <v>41726</v>
      </c>
      <c r="C30" s="91" t="s">
        <v>261</v>
      </c>
      <c r="D30" s="231"/>
      <c r="E30" s="592"/>
      <c r="F30" s="246">
        <v>10408200</v>
      </c>
      <c r="G30" s="235">
        <f t="shared" si="1"/>
        <v>121209500</v>
      </c>
    </row>
    <row r="31" spans="2:10" ht="15" customHeight="1">
      <c r="B31" s="580">
        <v>41726</v>
      </c>
      <c r="C31" s="91" t="s">
        <v>262</v>
      </c>
      <c r="D31" s="231"/>
      <c r="E31" s="592"/>
      <c r="F31" s="246">
        <v>17100000</v>
      </c>
      <c r="G31" s="235">
        <f t="shared" si="1"/>
        <v>138309500</v>
      </c>
      <c r="J31" s="190">
        <f>SUM(E29:E31)</f>
        <v>0</v>
      </c>
    </row>
    <row r="32" spans="2:10" ht="15" customHeight="1">
      <c r="B32" s="593">
        <v>41722</v>
      </c>
      <c r="C32" s="149" t="s">
        <v>330</v>
      </c>
      <c r="D32" s="594" t="s">
        <v>147</v>
      </c>
      <c r="E32" s="573">
        <v>52742500</v>
      </c>
      <c r="F32" s="247"/>
      <c r="G32" s="590">
        <f t="shared" si="1"/>
        <v>85567000</v>
      </c>
      <c r="J32" s="190">
        <f>SUM(E32)</f>
        <v>52742500</v>
      </c>
    </row>
    <row r="33" spans="2:10" ht="15" customHeight="1">
      <c r="B33" s="249">
        <v>41745</v>
      </c>
      <c r="C33" s="145" t="s">
        <v>346</v>
      </c>
      <c r="D33" s="585"/>
      <c r="E33" s="542"/>
      <c r="F33" s="246">
        <v>16172500</v>
      </c>
      <c r="G33" s="235">
        <f t="shared" si="1"/>
        <v>101739500</v>
      </c>
    </row>
    <row r="34" spans="2:10" ht="15" customHeight="1">
      <c r="B34" s="249">
        <v>41745</v>
      </c>
      <c r="C34" s="145" t="s">
        <v>347</v>
      </c>
      <c r="D34" s="585"/>
      <c r="E34" s="542"/>
      <c r="F34" s="246">
        <v>8876500</v>
      </c>
      <c r="G34" s="235">
        <f t="shared" si="1"/>
        <v>110616000</v>
      </c>
    </row>
    <row r="35" spans="2:10" ht="15" customHeight="1">
      <c r="B35" s="249">
        <v>41751</v>
      </c>
      <c r="C35" s="145" t="s">
        <v>348</v>
      </c>
      <c r="D35" s="585"/>
      <c r="E35" s="542"/>
      <c r="F35" s="246">
        <v>59963500</v>
      </c>
      <c r="G35" s="235">
        <f t="shared" si="1"/>
        <v>170579500</v>
      </c>
    </row>
    <row r="36" spans="2:10" ht="15" customHeight="1">
      <c r="B36" s="580">
        <v>41759</v>
      </c>
      <c r="C36" s="91" t="s">
        <v>349</v>
      </c>
      <c r="D36" s="591"/>
      <c r="E36" s="592"/>
      <c r="F36" s="592">
        <v>28598500</v>
      </c>
      <c r="G36" s="235">
        <f t="shared" si="1"/>
        <v>199178000</v>
      </c>
    </row>
    <row r="37" spans="2:10" ht="15" customHeight="1">
      <c r="B37" s="580">
        <v>41759</v>
      </c>
      <c r="C37" s="91" t="s">
        <v>350</v>
      </c>
      <c r="D37" s="591"/>
      <c r="E37" s="592"/>
      <c r="F37" s="592">
        <v>40551500</v>
      </c>
      <c r="G37" s="235">
        <f t="shared" si="1"/>
        <v>239729500</v>
      </c>
    </row>
    <row r="38" spans="2:10" ht="15" customHeight="1">
      <c r="B38" s="593">
        <v>41733</v>
      </c>
      <c r="C38" s="149" t="s">
        <v>299</v>
      </c>
      <c r="D38" s="594" t="s">
        <v>300</v>
      </c>
      <c r="E38" s="573">
        <v>85567000</v>
      </c>
      <c r="F38" s="592"/>
      <c r="G38" s="590">
        <f t="shared" si="1"/>
        <v>154162500</v>
      </c>
      <c r="I38" s="190">
        <f>SUM(F33:F37)</f>
        <v>154162500</v>
      </c>
    </row>
    <row r="39" spans="2:10" ht="15" customHeight="1">
      <c r="B39" s="249">
        <v>41773</v>
      </c>
      <c r="C39" s="91" t="s">
        <v>462</v>
      </c>
      <c r="D39" s="591"/>
      <c r="E39" s="592"/>
      <c r="F39" s="592">
        <v>22624700</v>
      </c>
      <c r="G39" s="235">
        <f t="shared" si="1"/>
        <v>176787200</v>
      </c>
    </row>
    <row r="40" spans="2:10" ht="15" customHeight="1">
      <c r="B40" s="249">
        <v>41779</v>
      </c>
      <c r="C40" s="145" t="s">
        <v>463</v>
      </c>
      <c r="D40" s="594"/>
      <c r="E40" s="573"/>
      <c r="F40" s="246">
        <v>43553000</v>
      </c>
      <c r="G40" s="235">
        <f t="shared" si="1"/>
        <v>220340200</v>
      </c>
    </row>
    <row r="41" spans="2:10" ht="15" customHeight="1">
      <c r="B41" s="249">
        <v>41790</v>
      </c>
      <c r="C41" s="145" t="s">
        <v>464</v>
      </c>
      <c r="D41" s="585"/>
      <c r="E41" s="542"/>
      <c r="F41" s="246">
        <v>29460300</v>
      </c>
      <c r="G41" s="235">
        <f t="shared" si="1"/>
        <v>249800500</v>
      </c>
    </row>
    <row r="42" spans="2:10" ht="15" customHeight="1">
      <c r="B42" s="249">
        <v>41790</v>
      </c>
      <c r="C42" s="91" t="s">
        <v>465</v>
      </c>
      <c r="D42" s="591"/>
      <c r="E42" s="592"/>
      <c r="F42" s="246">
        <v>28432500</v>
      </c>
      <c r="G42" s="235">
        <f t="shared" si="1"/>
        <v>278233000</v>
      </c>
    </row>
    <row r="43" spans="2:10" ht="15" customHeight="1">
      <c r="B43" s="593">
        <v>41771</v>
      </c>
      <c r="C43" s="93" t="s">
        <v>402</v>
      </c>
      <c r="D43" s="594" t="s">
        <v>403</v>
      </c>
      <c r="E43" s="637">
        <v>113611000</v>
      </c>
      <c r="F43" s="246"/>
      <c r="G43" s="235">
        <f t="shared" si="1"/>
        <v>164622000</v>
      </c>
    </row>
    <row r="44" spans="2:10" ht="15" customHeight="1">
      <c r="B44" s="593">
        <v>41789</v>
      </c>
      <c r="C44" s="93" t="s">
        <v>431</v>
      </c>
      <c r="D44" s="594" t="s">
        <v>403</v>
      </c>
      <c r="E44" s="637">
        <v>40551500</v>
      </c>
      <c r="F44" s="246"/>
      <c r="G44" s="235">
        <f t="shared" si="1"/>
        <v>124070500</v>
      </c>
    </row>
    <row r="45" spans="2:10" ht="15" customHeight="1">
      <c r="B45" s="593">
        <v>41789</v>
      </c>
      <c r="C45" s="93" t="s">
        <v>431</v>
      </c>
      <c r="D45" s="594" t="s">
        <v>432</v>
      </c>
      <c r="E45" s="637">
        <v>66177700</v>
      </c>
      <c r="F45" s="246"/>
      <c r="G45" s="590">
        <f t="shared" si="1"/>
        <v>57892800</v>
      </c>
      <c r="I45" s="190">
        <f>SUM(F39:F43)</f>
        <v>124070500</v>
      </c>
      <c r="J45" s="190">
        <f>SUM(E43:E45)</f>
        <v>220340200</v>
      </c>
    </row>
    <row r="46" spans="2:10" ht="15" customHeight="1">
      <c r="B46" s="249">
        <v>41806</v>
      </c>
      <c r="C46" s="91" t="s">
        <v>535</v>
      </c>
      <c r="D46" s="594"/>
      <c r="E46" s="637"/>
      <c r="F46" s="247">
        <v>49309000</v>
      </c>
      <c r="G46" s="235">
        <f t="shared" si="1"/>
        <v>107201800</v>
      </c>
    </row>
    <row r="47" spans="2:10" ht="15" customHeight="1">
      <c r="B47" s="541">
        <v>41806</v>
      </c>
      <c r="C47" s="145" t="s">
        <v>536</v>
      </c>
      <c r="D47" s="585"/>
      <c r="E47" s="542"/>
      <c r="F47" s="247">
        <v>16650000</v>
      </c>
      <c r="G47" s="235">
        <f t="shared" si="1"/>
        <v>123851800</v>
      </c>
    </row>
    <row r="48" spans="2:10" ht="15" customHeight="1">
      <c r="B48" s="249">
        <v>41810</v>
      </c>
      <c r="C48" s="145" t="s">
        <v>537</v>
      </c>
      <c r="D48" s="585"/>
      <c r="E48" s="542"/>
      <c r="F48" s="246">
        <v>37928000</v>
      </c>
      <c r="G48" s="235">
        <f t="shared" si="1"/>
        <v>161779800</v>
      </c>
    </row>
    <row r="49" spans="2:10" ht="15" customHeight="1">
      <c r="B49" s="249">
        <v>41820</v>
      </c>
      <c r="C49" s="145" t="s">
        <v>538</v>
      </c>
      <c r="D49" s="585"/>
      <c r="E49" s="542"/>
      <c r="F49" s="246">
        <v>25398000</v>
      </c>
      <c r="G49" s="235">
        <f t="shared" si="1"/>
        <v>187177800</v>
      </c>
    </row>
    <row r="50" spans="2:10" ht="15" customHeight="1">
      <c r="B50" s="249">
        <v>41820</v>
      </c>
      <c r="C50" s="145" t="s">
        <v>539</v>
      </c>
      <c r="D50" s="585"/>
      <c r="E50" s="542"/>
      <c r="F50" s="246">
        <v>67437000</v>
      </c>
      <c r="G50" s="235">
        <f t="shared" si="1"/>
        <v>254614800</v>
      </c>
    </row>
    <row r="51" spans="2:10" ht="15" customHeight="1">
      <c r="B51" s="593">
        <v>41794</v>
      </c>
      <c r="C51" s="93" t="s">
        <v>502</v>
      </c>
      <c r="D51" s="594" t="s">
        <v>432</v>
      </c>
      <c r="E51" s="637">
        <v>57892800</v>
      </c>
      <c r="F51" s="247"/>
      <c r="G51" s="235">
        <f t="shared" si="1"/>
        <v>196722000</v>
      </c>
    </row>
    <row r="52" spans="2:10" ht="15" customHeight="1">
      <c r="B52" s="593">
        <v>41813</v>
      </c>
      <c r="C52" s="93" t="s">
        <v>514</v>
      </c>
      <c r="D52" s="594" t="s">
        <v>515</v>
      </c>
      <c r="E52" s="637">
        <v>103887000</v>
      </c>
      <c r="F52" s="247"/>
      <c r="G52" s="590">
        <f>G51+F52-E52</f>
        <v>92835000</v>
      </c>
      <c r="I52" s="190">
        <f>SUM(F46:F50)</f>
        <v>196722000</v>
      </c>
      <c r="J52" s="190">
        <f>SUM(E51:E52)</f>
        <v>161779800</v>
      </c>
    </row>
    <row r="53" spans="2:10" ht="15" customHeight="1">
      <c r="B53" s="249">
        <v>41830</v>
      </c>
      <c r="C53" s="91" t="s">
        <v>572</v>
      </c>
      <c r="D53" s="585"/>
      <c r="E53" s="592"/>
      <c r="F53" s="246">
        <v>26567000</v>
      </c>
      <c r="G53" s="235">
        <f>G52+F53-E53</f>
        <v>119402000</v>
      </c>
    </row>
    <row r="54" spans="2:10" ht="15" customHeight="1">
      <c r="B54" s="249">
        <v>41835</v>
      </c>
      <c r="C54" s="91" t="s">
        <v>570</v>
      </c>
      <c r="D54" s="591"/>
      <c r="E54" s="592"/>
      <c r="F54" s="246">
        <v>14180000</v>
      </c>
      <c r="G54" s="235">
        <f t="shared" si="1"/>
        <v>133582000</v>
      </c>
    </row>
    <row r="55" spans="2:10" ht="15" customHeight="1">
      <c r="B55" s="249">
        <v>41838</v>
      </c>
      <c r="C55" s="91" t="s">
        <v>571</v>
      </c>
      <c r="D55" s="591"/>
      <c r="E55" s="592"/>
      <c r="F55" s="246">
        <v>18400000</v>
      </c>
      <c r="G55" s="235">
        <f t="shared" si="1"/>
        <v>151982000</v>
      </c>
    </row>
    <row r="56" spans="2:10" ht="15" customHeight="1">
      <c r="B56" s="492">
        <v>41830</v>
      </c>
      <c r="C56" s="149" t="s">
        <v>613</v>
      </c>
      <c r="D56" s="594" t="s">
        <v>515</v>
      </c>
      <c r="E56" s="573">
        <v>25398000</v>
      </c>
      <c r="F56" s="246"/>
      <c r="G56" s="235">
        <f t="shared" si="1"/>
        <v>126584000</v>
      </c>
    </row>
    <row r="57" spans="2:10" ht="15" customHeight="1">
      <c r="B57" s="492">
        <v>41835</v>
      </c>
      <c r="C57" s="149" t="s">
        <v>615</v>
      </c>
      <c r="D57" s="594" t="s">
        <v>515</v>
      </c>
      <c r="E57" s="573">
        <v>67437000</v>
      </c>
      <c r="F57" s="247"/>
      <c r="G57" s="235">
        <f t="shared" si="1"/>
        <v>59147000</v>
      </c>
    </row>
    <row r="58" spans="2:10" ht="15" customHeight="1">
      <c r="B58" s="249">
        <v>41843</v>
      </c>
      <c r="C58" s="145" t="s">
        <v>627</v>
      </c>
      <c r="D58" s="585"/>
      <c r="E58" s="542"/>
      <c r="F58" s="246">
        <v>956000</v>
      </c>
      <c r="G58" s="590">
        <f t="shared" si="1"/>
        <v>60103000</v>
      </c>
      <c r="I58" s="190">
        <f>SUM(F53:F58)</f>
        <v>60103000</v>
      </c>
      <c r="J58" s="190">
        <f>SUM(E56:E57)</f>
        <v>92835000</v>
      </c>
    </row>
    <row r="59" spans="2:10" ht="15" customHeight="1">
      <c r="B59" s="249">
        <v>41856</v>
      </c>
      <c r="C59" s="145" t="s">
        <v>625</v>
      </c>
      <c r="D59" s="585"/>
      <c r="E59" s="542"/>
      <c r="F59" s="246">
        <v>29378800</v>
      </c>
      <c r="G59" s="235">
        <f t="shared" si="1"/>
        <v>89481800</v>
      </c>
    </row>
    <row r="60" spans="2:10" ht="15" customHeight="1">
      <c r="B60" s="271">
        <v>41862</v>
      </c>
      <c r="C60" s="91" t="s">
        <v>644</v>
      </c>
      <c r="D60" s="585"/>
      <c r="E60" s="542"/>
      <c r="F60" s="247">
        <v>13074200</v>
      </c>
      <c r="G60" s="235">
        <f t="shared" si="1"/>
        <v>102556000</v>
      </c>
    </row>
    <row r="61" spans="2:10" ht="15" customHeight="1">
      <c r="B61" s="271">
        <v>41870</v>
      </c>
      <c r="C61" s="91" t="s">
        <v>650</v>
      </c>
      <c r="D61" s="591"/>
      <c r="E61" s="542"/>
      <c r="F61" s="247">
        <v>41577000</v>
      </c>
      <c r="G61" s="235">
        <f t="shared" si="1"/>
        <v>144133000</v>
      </c>
    </row>
    <row r="62" spans="2:10" ht="15" customHeight="1">
      <c r="B62" s="271">
        <v>41877</v>
      </c>
      <c r="C62" s="91" t="s">
        <v>651</v>
      </c>
      <c r="D62" s="591"/>
      <c r="E62" s="542"/>
      <c r="F62" s="247">
        <v>5720000</v>
      </c>
      <c r="G62" s="235">
        <f t="shared" si="1"/>
        <v>149853000</v>
      </c>
    </row>
    <row r="63" spans="2:10" ht="15" customHeight="1">
      <c r="B63" s="492">
        <v>41859</v>
      </c>
      <c r="C63" s="93" t="s">
        <v>658</v>
      </c>
      <c r="D63" s="663" t="s">
        <v>659</v>
      </c>
      <c r="E63" s="573">
        <v>59147000</v>
      </c>
      <c r="F63" s="247"/>
      <c r="G63" s="235">
        <f t="shared" si="1"/>
        <v>90706000</v>
      </c>
    </row>
    <row r="64" spans="2:10" ht="15" customHeight="1">
      <c r="B64" s="492">
        <v>41873</v>
      </c>
      <c r="C64" s="93" t="s">
        <v>674</v>
      </c>
      <c r="D64" s="663" t="s">
        <v>659</v>
      </c>
      <c r="E64" s="573">
        <v>956000</v>
      </c>
      <c r="F64" s="247"/>
      <c r="G64" s="235">
        <f t="shared" si="1"/>
        <v>89750000</v>
      </c>
    </row>
    <row r="65" spans="2:10" ht="15" customHeight="1">
      <c r="B65" s="492">
        <v>41873</v>
      </c>
      <c r="C65" s="93" t="s">
        <v>674</v>
      </c>
      <c r="D65" s="663" t="s">
        <v>675</v>
      </c>
      <c r="E65" s="573">
        <v>42453000</v>
      </c>
      <c r="F65" s="247"/>
      <c r="G65" s="590">
        <f t="shared" si="1"/>
        <v>47297000</v>
      </c>
      <c r="I65" s="190">
        <f>SUM(F59:F63)</f>
        <v>89750000</v>
      </c>
      <c r="J65" s="190">
        <f>SUM(E63:E65)</f>
        <v>102556000</v>
      </c>
    </row>
    <row r="66" spans="2:10" ht="15" customHeight="1">
      <c r="B66" s="271">
        <v>41884</v>
      </c>
      <c r="C66" s="91" t="s">
        <v>705</v>
      </c>
      <c r="D66" s="585"/>
      <c r="E66" s="542"/>
      <c r="F66" s="247">
        <v>40637500</v>
      </c>
      <c r="G66" s="235">
        <f t="shared" si="1"/>
        <v>87934500</v>
      </c>
    </row>
    <row r="67" spans="2:10" ht="15" customHeight="1">
      <c r="B67" s="271">
        <v>41887</v>
      </c>
      <c r="C67" s="91" t="s">
        <v>706</v>
      </c>
      <c r="D67" s="585"/>
      <c r="E67" s="542"/>
      <c r="F67" s="247">
        <v>7143500</v>
      </c>
      <c r="G67" s="235">
        <f t="shared" si="1"/>
        <v>95078000</v>
      </c>
    </row>
    <row r="68" spans="2:10" ht="15" customHeight="1">
      <c r="B68" s="271">
        <v>41893</v>
      </c>
      <c r="C68" s="91" t="s">
        <v>707</v>
      </c>
      <c r="D68" s="585"/>
      <c r="E68" s="542"/>
      <c r="F68" s="247">
        <v>8783000</v>
      </c>
      <c r="G68" s="235">
        <f t="shared" si="1"/>
        <v>103861000</v>
      </c>
    </row>
    <row r="69" spans="2:10" ht="15" customHeight="1">
      <c r="B69" s="271"/>
      <c r="C69" s="145"/>
      <c r="D69" s="585"/>
      <c r="E69" s="542"/>
      <c r="F69" s="247"/>
      <c r="G69" s="235">
        <f t="shared" si="1"/>
        <v>103861000</v>
      </c>
    </row>
    <row r="70" spans="2:10" ht="15" customHeight="1">
      <c r="B70" s="271"/>
      <c r="C70" s="145"/>
      <c r="D70" s="585"/>
      <c r="E70" s="542"/>
      <c r="F70" s="247"/>
      <c r="G70" s="235">
        <f t="shared" si="1"/>
        <v>103861000</v>
      </c>
    </row>
    <row r="71" spans="2:10" ht="15" customHeight="1">
      <c r="B71" s="271"/>
      <c r="C71" s="91"/>
      <c r="D71" s="585"/>
      <c r="E71" s="542"/>
      <c r="F71" s="247"/>
      <c r="G71" s="235">
        <f t="shared" si="1"/>
        <v>103861000</v>
      </c>
    </row>
    <row r="72" spans="2:10" ht="15" customHeight="1">
      <c r="B72" s="271"/>
      <c r="C72" s="91"/>
      <c r="D72" s="585"/>
      <c r="E72" s="542"/>
      <c r="F72" s="247"/>
      <c r="G72" s="235">
        <f t="shared" si="1"/>
        <v>103861000</v>
      </c>
    </row>
    <row r="73" spans="2:10" ht="15" customHeight="1">
      <c r="B73" s="271"/>
      <c r="C73" s="91"/>
      <c r="D73" s="585"/>
      <c r="E73" s="542"/>
      <c r="F73" s="247"/>
      <c r="G73" s="235">
        <f t="shared" si="1"/>
        <v>103861000</v>
      </c>
    </row>
    <row r="74" spans="2:10" ht="15" customHeight="1">
      <c r="B74" s="271"/>
      <c r="C74" s="145"/>
      <c r="D74" s="585"/>
      <c r="E74" s="542"/>
      <c r="F74" s="247"/>
      <c r="G74" s="235">
        <f t="shared" si="1"/>
        <v>103861000</v>
      </c>
    </row>
    <row r="75" spans="2:10" ht="15" customHeight="1">
      <c r="B75" s="271"/>
      <c r="C75" s="91"/>
      <c r="D75" s="585"/>
      <c r="E75" s="542"/>
      <c r="F75" s="247"/>
      <c r="G75" s="235">
        <f t="shared" si="1"/>
        <v>103861000</v>
      </c>
    </row>
    <row r="76" spans="2:10" ht="15" customHeight="1">
      <c r="B76" s="271"/>
      <c r="C76" s="91"/>
      <c r="D76" s="585"/>
      <c r="E76" s="542"/>
      <c r="F76" s="247"/>
      <c r="G76" s="235">
        <f t="shared" si="1"/>
        <v>103861000</v>
      </c>
    </row>
    <row r="77" spans="2:10" ht="15" customHeight="1">
      <c r="B77" s="271"/>
      <c r="C77" s="145"/>
      <c r="D77" s="585"/>
      <c r="E77" s="542"/>
      <c r="F77" s="247"/>
      <c r="G77" s="235">
        <f t="shared" si="1"/>
        <v>103861000</v>
      </c>
    </row>
    <row r="78" spans="2:10" ht="15" customHeight="1">
      <c r="B78" s="271"/>
      <c r="C78" s="145"/>
      <c r="D78" s="585"/>
      <c r="E78" s="542"/>
      <c r="F78" s="247"/>
      <c r="G78" s="235">
        <f>G77+F78-E78</f>
        <v>103861000</v>
      </c>
    </row>
    <row r="79" spans="2:10" ht="15" customHeight="1">
      <c r="B79" s="271"/>
      <c r="C79" s="145"/>
      <c r="D79" s="585"/>
      <c r="E79" s="542"/>
      <c r="F79" s="247"/>
      <c r="G79" s="235">
        <f>G78+F79-E79</f>
        <v>103861000</v>
      </c>
    </row>
    <row r="80" spans="2:10" ht="15" customHeight="1">
      <c r="B80" s="271"/>
      <c r="C80" s="145"/>
      <c r="D80" s="585"/>
      <c r="E80" s="542"/>
      <c r="F80" s="247"/>
      <c r="G80" s="235">
        <f>G79+F80-E80</f>
        <v>103861000</v>
      </c>
    </row>
    <row r="81" spans="2:7" ht="15" customHeight="1">
      <c r="B81" s="271"/>
      <c r="C81" s="145"/>
      <c r="D81" s="585"/>
      <c r="E81" s="542"/>
      <c r="F81" s="247"/>
      <c r="G81" s="237"/>
    </row>
    <row r="82" spans="2:7" ht="15" customHeight="1">
      <c r="B82" s="271"/>
      <c r="C82" s="145"/>
      <c r="D82" s="585"/>
      <c r="E82" s="542"/>
      <c r="F82" s="247"/>
      <c r="G82" s="237"/>
    </row>
    <row r="83" spans="2:7" ht="15" customHeight="1">
      <c r="B83" s="271"/>
      <c r="C83" s="145"/>
      <c r="D83" s="585"/>
      <c r="E83" s="542"/>
      <c r="F83" s="247"/>
      <c r="G83" s="237"/>
    </row>
    <row r="84" spans="2:7" ht="15" customHeight="1">
      <c r="B84" s="271"/>
      <c r="C84" s="145"/>
      <c r="D84" s="585"/>
      <c r="E84" s="542"/>
      <c r="F84" s="247"/>
      <c r="G84" s="237"/>
    </row>
    <row r="85" spans="2:7" ht="15" customHeight="1">
      <c r="B85" s="271"/>
      <c r="C85" s="145"/>
      <c r="D85" s="585"/>
      <c r="E85" s="542"/>
      <c r="F85" s="247"/>
      <c r="G85" s="237"/>
    </row>
    <row r="86" spans="2:7" ht="15" customHeight="1">
      <c r="B86" s="610"/>
      <c r="C86" s="145"/>
      <c r="D86" s="585"/>
      <c r="E86" s="542"/>
      <c r="F86" s="586"/>
      <c r="G86" s="237"/>
    </row>
    <row r="87" spans="2:7" ht="15" customHeight="1">
      <c r="B87" s="271"/>
      <c r="C87" s="145"/>
      <c r="D87" s="585"/>
      <c r="E87" s="542"/>
      <c r="F87" s="586"/>
      <c r="G87" s="611"/>
    </row>
    <row r="88" spans="2:7" ht="18.75" customHeight="1">
      <c r="B88" s="271"/>
      <c r="C88" s="145"/>
      <c r="D88" s="585"/>
      <c r="E88" s="542"/>
      <c r="F88" s="586"/>
      <c r="G88" s="237"/>
    </row>
    <row r="89" spans="2:7" ht="15" customHeight="1">
      <c r="B89" s="271"/>
      <c r="C89" s="145"/>
      <c r="D89" s="585"/>
      <c r="E89" s="542"/>
      <c r="F89" s="247"/>
      <c r="G89" s="237"/>
    </row>
    <row r="90" spans="2:7" ht="15" customHeight="1">
      <c r="B90" s="271"/>
      <c r="C90" s="145"/>
      <c r="D90" s="585"/>
      <c r="E90" s="542"/>
      <c r="F90" s="247"/>
      <c r="G90" s="237"/>
    </row>
    <row r="91" spans="2:7" ht="15" customHeight="1">
      <c r="B91" s="610"/>
      <c r="C91" s="612"/>
      <c r="D91" s="585"/>
      <c r="E91" s="542"/>
      <c r="F91" s="586"/>
      <c r="G91" s="237"/>
    </row>
    <row r="92" spans="2:7" ht="15" customHeight="1">
      <c r="B92" s="610"/>
      <c r="C92" s="612"/>
      <c r="D92" s="585"/>
      <c r="E92" s="542"/>
      <c r="F92" s="586"/>
      <c r="G92" s="237"/>
    </row>
    <row r="93" spans="2:7" ht="15" customHeight="1">
      <c r="B93" s="610"/>
      <c r="C93" s="612"/>
      <c r="D93" s="585"/>
      <c r="E93" s="542"/>
      <c r="F93" s="586"/>
      <c r="G93" s="237"/>
    </row>
    <row r="94" spans="2:7" ht="15" customHeight="1">
      <c r="B94" s="613"/>
      <c r="C94" s="614"/>
      <c r="D94" s="534"/>
      <c r="E94" s="615"/>
      <c r="F94" s="616"/>
      <c r="G94" s="301"/>
    </row>
    <row r="95" spans="2:7" ht="15" customHeight="1">
      <c r="B95" s="613"/>
      <c r="C95" s="614"/>
      <c r="D95" s="534"/>
      <c r="E95" s="615"/>
      <c r="F95" s="616"/>
      <c r="G95" s="301"/>
    </row>
    <row r="96" spans="2:7" ht="15" customHeight="1">
      <c r="B96" s="613"/>
      <c r="C96" s="614"/>
      <c r="D96" s="534"/>
      <c r="E96" s="615"/>
      <c r="F96" s="616"/>
      <c r="G96" s="301"/>
    </row>
    <row r="97" spans="2:10" ht="15" customHeight="1">
      <c r="B97" s="613"/>
      <c r="C97" s="614"/>
      <c r="D97" s="534"/>
      <c r="E97" s="615"/>
      <c r="F97" s="616"/>
      <c r="G97" s="617"/>
    </row>
    <row r="98" spans="2:10" ht="15" customHeight="1" thickBot="1">
      <c r="B98" s="618"/>
      <c r="C98" s="619"/>
      <c r="D98" s="619"/>
      <c r="E98" s="620"/>
      <c r="F98" s="621"/>
      <c r="G98" s="622"/>
    </row>
    <row r="99" spans="2:10" ht="15" customHeight="1" thickTop="1">
      <c r="I99" s="9"/>
      <c r="J99" s="9"/>
    </row>
  </sheetData>
  <mergeCells count="5">
    <mergeCell ref="B1:G1"/>
    <mergeCell ref="D4:D5"/>
    <mergeCell ref="B2:G2"/>
    <mergeCell ref="I4:I5"/>
    <mergeCell ref="J4:J5"/>
  </mergeCells>
  <pageMargins left="0.43307086614173229" right="0.35433070866141736" top="0.43307086614173229" bottom="0.6692913385826772" header="0.31496062992125984" footer="0.31496062992125984"/>
  <pageSetup paperSize="9" orientation="portrait" horizontalDpi="300" verticalDpi="300" r:id="rId1"/>
  <headerFooter>
    <oddFooter>&amp;CPage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B1:J2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2" sqref="G12"/>
    </sheetView>
  </sheetViews>
  <sheetFormatPr defaultRowHeight="15"/>
  <cols>
    <col min="1" max="1" width="4.28515625" style="40" customWidth="1"/>
    <col min="2" max="2" width="13.28515625" style="164" customWidth="1"/>
    <col min="3" max="3" width="16.5703125" style="40" bestFit="1" customWidth="1"/>
    <col min="4" max="4" width="20.42578125" style="82" customWidth="1"/>
    <col min="5" max="6" width="13.7109375" style="52" customWidth="1"/>
    <col min="7" max="7" width="15.42578125" style="53" customWidth="1"/>
    <col min="8" max="8" width="2.5703125" style="40" customWidth="1"/>
    <col min="9" max="9" width="13.7109375" style="40" customWidth="1"/>
    <col min="10" max="10" width="15.42578125" style="40" customWidth="1"/>
    <col min="11" max="16384" width="9.140625" style="40"/>
  </cols>
  <sheetData>
    <row r="1" spans="2:10" ht="18.75">
      <c r="B1" s="672" t="s">
        <v>3</v>
      </c>
      <c r="C1" s="672"/>
      <c r="D1" s="672"/>
      <c r="E1" s="672"/>
      <c r="F1" s="672"/>
      <c r="G1" s="672"/>
    </row>
    <row r="2" spans="2:10" ht="18.75">
      <c r="B2" s="672" t="s">
        <v>46</v>
      </c>
      <c r="C2" s="672"/>
      <c r="D2" s="672"/>
      <c r="E2" s="672"/>
      <c r="F2" s="672"/>
      <c r="G2" s="672"/>
    </row>
    <row r="3" spans="2:10" ht="15.75" thickBot="1">
      <c r="B3" s="158"/>
      <c r="C3" s="41"/>
      <c r="D3" s="80"/>
      <c r="E3" s="42"/>
      <c r="F3" s="42"/>
      <c r="G3" s="43"/>
    </row>
    <row r="4" spans="2:10" ht="15.75" customHeight="1" thickTop="1">
      <c r="B4" s="159" t="s">
        <v>10</v>
      </c>
      <c r="C4" s="45" t="s">
        <v>11</v>
      </c>
      <c r="D4" s="673" t="s">
        <v>12</v>
      </c>
      <c r="E4" s="46" t="s">
        <v>9</v>
      </c>
      <c r="F4" s="46" t="s">
        <v>13</v>
      </c>
      <c r="G4" s="291" t="s">
        <v>8</v>
      </c>
      <c r="I4" s="671" t="s">
        <v>22</v>
      </c>
      <c r="J4" s="671" t="s">
        <v>23</v>
      </c>
    </row>
    <row r="5" spans="2:10" ht="15.75" thickBot="1">
      <c r="B5" s="160" t="s">
        <v>14</v>
      </c>
      <c r="C5" s="47" t="s">
        <v>15</v>
      </c>
      <c r="D5" s="674"/>
      <c r="E5" s="48" t="s">
        <v>16</v>
      </c>
      <c r="F5" s="48" t="s">
        <v>16</v>
      </c>
      <c r="G5" s="292" t="s">
        <v>17</v>
      </c>
      <c r="I5" s="671"/>
      <c r="J5" s="671"/>
    </row>
    <row r="6" spans="2:10" ht="15.75" thickTop="1">
      <c r="B6" s="174"/>
      <c r="C6" s="111"/>
      <c r="D6" s="110"/>
      <c r="E6" s="111"/>
      <c r="F6" s="111"/>
      <c r="G6" s="293"/>
    </row>
    <row r="7" spans="2:10">
      <c r="B7" s="257">
        <v>41639</v>
      </c>
      <c r="C7" s="258" t="s">
        <v>25</v>
      </c>
      <c r="D7" s="107"/>
      <c r="E7" s="108"/>
      <c r="F7" s="152"/>
      <c r="G7" s="477">
        <f>F7</f>
        <v>0</v>
      </c>
      <c r="H7" s="58"/>
    </row>
    <row r="8" spans="2:10">
      <c r="B8" s="271">
        <v>41708</v>
      </c>
      <c r="C8" s="145" t="s">
        <v>293</v>
      </c>
      <c r="D8" s="448"/>
      <c r="E8" s="147"/>
      <c r="F8" s="92">
        <v>288750</v>
      </c>
      <c r="G8" s="456">
        <f>F8</f>
        <v>288750</v>
      </c>
    </row>
    <row r="9" spans="2:10">
      <c r="B9" s="462">
        <v>41771</v>
      </c>
      <c r="C9" s="446" t="s">
        <v>406</v>
      </c>
      <c r="D9" s="461" t="s">
        <v>601</v>
      </c>
      <c r="E9" s="463">
        <v>288750</v>
      </c>
      <c r="F9" s="152"/>
      <c r="G9" s="478">
        <f>G8-E9</f>
        <v>0</v>
      </c>
    </row>
    <row r="10" spans="2:10">
      <c r="B10" s="271">
        <v>41820</v>
      </c>
      <c r="C10" s="145" t="s">
        <v>557</v>
      </c>
      <c r="D10" s="448"/>
      <c r="E10" s="147"/>
      <c r="F10" s="92">
        <v>786759</v>
      </c>
      <c r="G10" s="280">
        <f>F10</f>
        <v>786759</v>
      </c>
    </row>
    <row r="11" spans="2:10">
      <c r="B11" s="462">
        <v>41836</v>
      </c>
      <c r="C11" s="446" t="s">
        <v>609</v>
      </c>
      <c r="D11" s="461" t="s">
        <v>608</v>
      </c>
      <c r="E11" s="463">
        <v>786759</v>
      </c>
      <c r="F11" s="152"/>
      <c r="G11" s="478">
        <f>G10-E11</f>
        <v>0</v>
      </c>
    </row>
    <row r="12" spans="2:10">
      <c r="B12" s="271">
        <v>41873</v>
      </c>
      <c r="C12" s="145" t="s">
        <v>702</v>
      </c>
      <c r="D12" s="448"/>
      <c r="E12" s="147"/>
      <c r="F12" s="150">
        <v>279840</v>
      </c>
      <c r="G12" s="473">
        <f>F12</f>
        <v>279840</v>
      </c>
    </row>
    <row r="13" spans="2:10">
      <c r="B13" s="492"/>
      <c r="C13" s="149"/>
      <c r="D13" s="493"/>
      <c r="E13" s="195"/>
      <c r="F13" s="150"/>
      <c r="G13" s="473"/>
    </row>
    <row r="14" spans="2:10" s="54" customFormat="1" ht="13.5" thickBot="1">
      <c r="B14" s="358"/>
      <c r="C14" s="359"/>
      <c r="D14" s="359"/>
      <c r="E14" s="352"/>
      <c r="F14" s="359"/>
      <c r="G14" s="356"/>
    </row>
    <row r="15" spans="2:10" ht="15.75" thickTop="1">
      <c r="B15" s="449"/>
      <c r="C15" s="450"/>
      <c r="D15" s="451"/>
      <c r="E15" s="452"/>
      <c r="F15" s="452"/>
      <c r="G15" s="453"/>
    </row>
    <row r="16" spans="2:10">
      <c r="B16" s="165"/>
      <c r="C16" s="98"/>
      <c r="D16" s="454"/>
      <c r="E16" s="99"/>
      <c r="F16" s="99"/>
      <c r="G16" s="455"/>
    </row>
    <row r="17" spans="2:7">
      <c r="B17" s="165"/>
      <c r="C17" s="98"/>
      <c r="D17" s="454"/>
      <c r="E17" s="99"/>
      <c r="F17" s="99"/>
      <c r="G17" s="455"/>
    </row>
    <row r="18" spans="2:7">
      <c r="B18" s="165"/>
      <c r="C18" s="98"/>
      <c r="D18" s="454"/>
      <c r="E18" s="99"/>
      <c r="F18" s="99"/>
      <c r="G18" s="455"/>
    </row>
    <row r="19" spans="2:7">
      <c r="B19" s="165"/>
      <c r="C19" s="98"/>
      <c r="D19" s="454"/>
      <c r="E19" s="99"/>
      <c r="F19" s="99"/>
      <c r="G19" s="455"/>
    </row>
    <row r="20" spans="2:7">
      <c r="B20" s="165"/>
      <c r="C20" s="98"/>
      <c r="D20" s="454"/>
      <c r="E20" s="99"/>
      <c r="F20" s="99"/>
      <c r="G20" s="455"/>
    </row>
    <row r="21" spans="2:7">
      <c r="B21" s="165"/>
      <c r="C21" s="98"/>
      <c r="D21" s="454"/>
      <c r="E21" s="99"/>
      <c r="F21" s="99"/>
      <c r="G21" s="455"/>
    </row>
    <row r="22" spans="2:7">
      <c r="B22" s="165"/>
      <c r="C22" s="98"/>
      <c r="D22" s="454"/>
      <c r="E22" s="99"/>
      <c r="F22" s="99"/>
      <c r="G22" s="455"/>
    </row>
    <row r="23" spans="2:7">
      <c r="B23" s="176"/>
      <c r="C23" s="55"/>
      <c r="D23" s="81"/>
      <c r="E23" s="56"/>
      <c r="F23" s="56"/>
      <c r="G23" s="294"/>
    </row>
    <row r="24" spans="2:7">
      <c r="B24" s="176"/>
      <c r="C24" s="55"/>
      <c r="D24" s="81"/>
      <c r="E24" s="56"/>
      <c r="F24" s="56"/>
      <c r="G24" s="294"/>
    </row>
  </sheetData>
  <mergeCells count="5">
    <mergeCell ref="B1:G1"/>
    <mergeCell ref="D4:D5"/>
    <mergeCell ref="B2:G2"/>
    <mergeCell ref="I4:I5"/>
    <mergeCell ref="J4:J5"/>
  </mergeCells>
  <pageMargins left="0.31496062992125984" right="0.47244094488188981" top="0.35433070866141736" bottom="0.74803149606299213" header="0.31496062992125984" footer="0.31496062992125984"/>
  <pageSetup paperSize="9" orientation="portrait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B1:J21"/>
  <sheetViews>
    <sheetView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E16" sqref="E16"/>
    </sheetView>
  </sheetViews>
  <sheetFormatPr defaultRowHeight="15"/>
  <cols>
    <col min="1" max="1" width="4.28515625" style="40" customWidth="1"/>
    <col min="2" max="2" width="16.28515625" style="179" customWidth="1"/>
    <col min="3" max="3" width="20.42578125" style="40" customWidth="1"/>
    <col min="4" max="4" width="19.28515625" style="60" customWidth="1"/>
    <col min="5" max="5" width="13" style="60" customWidth="1"/>
    <col min="6" max="6" width="13" style="52" customWidth="1"/>
    <col min="7" max="7" width="13.5703125" style="58" customWidth="1"/>
    <col min="8" max="8" width="3.140625" style="40" customWidth="1"/>
    <col min="9" max="9" width="14.140625" style="40" bestFit="1" customWidth="1"/>
    <col min="10" max="10" width="17" style="40" customWidth="1"/>
    <col min="11" max="16384" width="9.140625" style="40"/>
  </cols>
  <sheetData>
    <row r="1" spans="2:10" ht="15.75" customHeight="1">
      <c r="B1" s="672" t="s">
        <v>4</v>
      </c>
      <c r="C1" s="672"/>
      <c r="D1" s="672"/>
      <c r="E1" s="672"/>
      <c r="F1" s="672"/>
      <c r="G1" s="672"/>
    </row>
    <row r="2" spans="2:10" ht="15.75" customHeight="1">
      <c r="B2" s="672" t="s">
        <v>46</v>
      </c>
      <c r="C2" s="672"/>
      <c r="D2" s="672"/>
      <c r="E2" s="672"/>
      <c r="F2" s="672"/>
      <c r="G2" s="672"/>
    </row>
    <row r="3" spans="2:10" ht="15.75" thickBot="1">
      <c r="B3" s="177"/>
      <c r="C3" s="41"/>
      <c r="F3" s="42"/>
      <c r="G3" s="59"/>
    </row>
    <row r="4" spans="2:10" ht="15.75" customHeight="1" thickTop="1">
      <c r="B4" s="159" t="s">
        <v>10</v>
      </c>
      <c r="C4" s="45" t="s">
        <v>11</v>
      </c>
      <c r="D4" s="673" t="s">
        <v>12</v>
      </c>
      <c r="E4" s="46" t="s">
        <v>9</v>
      </c>
      <c r="F4" s="46" t="s">
        <v>13</v>
      </c>
      <c r="G4" s="45" t="s">
        <v>8</v>
      </c>
      <c r="I4" s="671" t="s">
        <v>22</v>
      </c>
      <c r="J4" s="671" t="s">
        <v>23</v>
      </c>
    </row>
    <row r="5" spans="2:10" ht="15.75" thickBot="1">
      <c r="B5" s="160" t="s">
        <v>14</v>
      </c>
      <c r="C5" s="47" t="s">
        <v>15</v>
      </c>
      <c r="D5" s="674"/>
      <c r="E5" s="48" t="s">
        <v>16</v>
      </c>
      <c r="F5" s="48" t="s">
        <v>16</v>
      </c>
      <c r="G5" s="49" t="s">
        <v>17</v>
      </c>
      <c r="I5" s="671"/>
      <c r="J5" s="671"/>
    </row>
    <row r="6" spans="2:10" ht="15.75" thickTop="1">
      <c r="B6" s="163"/>
      <c r="C6" s="97"/>
      <c r="D6" s="104"/>
      <c r="E6" s="77"/>
      <c r="F6" s="77"/>
      <c r="G6" s="66"/>
    </row>
    <row r="7" spans="2:10">
      <c r="B7" s="257">
        <v>41274</v>
      </c>
      <c r="C7" s="258" t="s">
        <v>25</v>
      </c>
      <c r="D7" s="104"/>
      <c r="E7" s="77"/>
      <c r="F7" s="261"/>
      <c r="G7" s="547">
        <f>F7</f>
        <v>0</v>
      </c>
    </row>
    <row r="8" spans="2:10">
      <c r="B8" s="156"/>
      <c r="C8" s="95"/>
      <c r="D8" s="272"/>
      <c r="E8" s="137"/>
      <c r="F8" s="96"/>
      <c r="G8" s="129"/>
    </row>
    <row r="9" spans="2:10">
      <c r="B9" s="375"/>
      <c r="C9" s="376"/>
      <c r="D9" s="376"/>
      <c r="E9" s="377"/>
      <c r="F9" s="96"/>
      <c r="G9" s="129"/>
    </row>
    <row r="10" spans="2:10">
      <c r="B10" s="375"/>
      <c r="C10" s="376"/>
      <c r="D10" s="376"/>
      <c r="E10" s="377"/>
      <c r="F10" s="96"/>
      <c r="G10" s="296"/>
    </row>
    <row r="11" spans="2:10" ht="15.75" thickBot="1">
      <c r="B11" s="175"/>
      <c r="C11" s="113"/>
      <c r="D11" s="313"/>
      <c r="E11" s="312"/>
      <c r="F11" s="312"/>
      <c r="G11" s="314"/>
    </row>
    <row r="12" spans="2:10" ht="15.75" thickTop="1">
      <c r="B12" s="178"/>
      <c r="C12" s="55"/>
      <c r="D12" s="89"/>
      <c r="E12" s="89"/>
      <c r="F12" s="56"/>
      <c r="G12" s="57"/>
    </row>
    <row r="13" spans="2:10">
      <c r="B13" s="178"/>
      <c r="C13" s="55"/>
      <c r="F13" s="56"/>
      <c r="G13" s="57"/>
    </row>
    <row r="14" spans="2:10">
      <c r="B14" s="178"/>
      <c r="C14" s="55"/>
      <c r="F14" s="56"/>
      <c r="G14" s="57"/>
    </row>
    <row r="15" spans="2:10">
      <c r="B15" s="178"/>
      <c r="C15" s="55"/>
      <c r="F15" s="56"/>
      <c r="G15" s="57"/>
    </row>
    <row r="16" spans="2:10">
      <c r="B16" s="178"/>
      <c r="C16" s="55"/>
      <c r="F16" s="56"/>
      <c r="G16" s="57"/>
    </row>
    <row r="17" spans="2:7">
      <c r="B17" s="178"/>
      <c r="C17" s="55"/>
      <c r="F17" s="56"/>
      <c r="G17" s="57"/>
    </row>
    <row r="18" spans="2:7">
      <c r="B18" s="178"/>
      <c r="C18" s="55"/>
      <c r="F18" s="56"/>
      <c r="G18" s="57"/>
    </row>
    <row r="19" spans="2:7">
      <c r="B19" s="178"/>
      <c r="C19" s="55"/>
      <c r="F19" s="56"/>
      <c r="G19" s="57"/>
    </row>
    <row r="20" spans="2:7">
      <c r="B20" s="178"/>
      <c r="C20" s="55"/>
      <c r="F20" s="56"/>
      <c r="G20" s="57"/>
    </row>
    <row r="21" spans="2:7">
      <c r="B21" s="178"/>
      <c r="C21" s="55"/>
      <c r="F21" s="56"/>
      <c r="G21" s="57"/>
    </row>
  </sheetData>
  <mergeCells count="5">
    <mergeCell ref="B1:G1"/>
    <mergeCell ref="D4:D5"/>
    <mergeCell ref="B2:G2"/>
    <mergeCell ref="I4:I5"/>
    <mergeCell ref="J4:J5"/>
  </mergeCells>
  <pageMargins left="0.39370078740157483" right="0.11811023622047245" top="0.43307086614173229" bottom="0.74803149606299213" header="0.39370078740157483" footer="0.31496062992125984"/>
  <pageSetup paperSize="9" orientation="portrait" r:id="rId1"/>
  <headerFooter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K36"/>
  <sheetViews>
    <sheetView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I29" sqref="I29"/>
    </sheetView>
  </sheetViews>
  <sheetFormatPr defaultRowHeight="12.75"/>
  <cols>
    <col min="1" max="1" width="4.5703125" style="54" customWidth="1"/>
    <col min="2" max="2" width="12.42578125" style="173" customWidth="1"/>
    <col min="3" max="3" width="18.42578125" style="54" customWidth="1"/>
    <col min="4" max="4" width="25.28515625" style="50" customWidth="1"/>
    <col min="5" max="5" width="11.85546875" style="54" customWidth="1"/>
    <col min="6" max="6" width="12.5703125" style="60" customWidth="1"/>
    <col min="7" max="7" width="14.140625" style="63" customWidth="1"/>
    <col min="8" max="8" width="2.42578125" style="63" customWidth="1"/>
    <col min="9" max="9" width="14.140625" style="54" customWidth="1"/>
    <col min="10" max="10" width="17.5703125" style="60" customWidth="1"/>
    <col min="11" max="16384" width="9.140625" style="54"/>
  </cols>
  <sheetData>
    <row r="1" spans="2:11" ht="18.75">
      <c r="C1" s="71" t="s">
        <v>7</v>
      </c>
      <c r="D1" s="83"/>
      <c r="E1" s="71"/>
      <c r="F1" s="71"/>
      <c r="G1" s="71"/>
      <c r="H1" s="71"/>
    </row>
    <row r="2" spans="2:11" ht="18.75">
      <c r="B2" s="672" t="s">
        <v>46</v>
      </c>
      <c r="C2" s="672"/>
      <c r="D2" s="672"/>
      <c r="E2" s="672"/>
      <c r="F2" s="672"/>
      <c r="G2" s="672"/>
      <c r="H2" s="71"/>
    </row>
    <row r="3" spans="2:11" ht="13.5" thickBot="1">
      <c r="B3" s="180"/>
      <c r="C3" s="64"/>
      <c r="F3" s="61"/>
      <c r="G3" s="62"/>
      <c r="H3" s="85"/>
    </row>
    <row r="4" spans="2:11" s="40" customFormat="1" ht="15.75" customHeight="1" thickTop="1">
      <c r="B4" s="159" t="s">
        <v>10</v>
      </c>
      <c r="C4" s="45" t="s">
        <v>11</v>
      </c>
      <c r="D4" s="673" t="s">
        <v>12</v>
      </c>
      <c r="E4" s="46" t="s">
        <v>9</v>
      </c>
      <c r="F4" s="46" t="s">
        <v>13</v>
      </c>
      <c r="G4" s="45" t="s">
        <v>8</v>
      </c>
      <c r="H4" s="86"/>
      <c r="I4" s="671" t="s">
        <v>22</v>
      </c>
      <c r="J4" s="671" t="s">
        <v>23</v>
      </c>
    </row>
    <row r="5" spans="2:11" s="40" customFormat="1" ht="15.75" thickBot="1">
      <c r="B5" s="160" t="s">
        <v>14</v>
      </c>
      <c r="C5" s="47" t="s">
        <v>15</v>
      </c>
      <c r="D5" s="674"/>
      <c r="E5" s="48" t="s">
        <v>16</v>
      </c>
      <c r="F5" s="48" t="s">
        <v>16</v>
      </c>
      <c r="G5" s="49" t="s">
        <v>17</v>
      </c>
      <c r="H5" s="87"/>
      <c r="I5" s="671"/>
      <c r="J5" s="671"/>
    </row>
    <row r="6" spans="2:11" s="40" customFormat="1" ht="15.75" thickTop="1">
      <c r="B6" s="174"/>
      <c r="C6" s="111"/>
      <c r="D6" s="105"/>
      <c r="E6" s="115"/>
      <c r="F6" s="112"/>
      <c r="G6" s="112"/>
      <c r="H6" s="88"/>
      <c r="J6" s="52"/>
    </row>
    <row r="7" spans="2:11">
      <c r="B7" s="257">
        <v>41639</v>
      </c>
      <c r="C7" s="258" t="s">
        <v>25</v>
      </c>
      <c r="D7" s="192"/>
      <c r="E7" s="191"/>
      <c r="F7" s="151">
        <v>3128481786</v>
      </c>
      <c r="G7" s="256">
        <f>F7</f>
        <v>3128481786</v>
      </c>
      <c r="H7" s="89"/>
    </row>
    <row r="8" spans="2:11">
      <c r="B8" s="411">
        <v>41648</v>
      </c>
      <c r="C8" s="393" t="s">
        <v>83</v>
      </c>
      <c r="D8" s="233" t="s">
        <v>84</v>
      </c>
      <c r="E8" s="395">
        <v>205676812</v>
      </c>
      <c r="F8" s="374"/>
      <c r="G8" s="250">
        <f>G7+F8-E8</f>
        <v>2922804974</v>
      </c>
      <c r="H8" s="360"/>
      <c r="I8" s="348"/>
      <c r="J8" s="349"/>
      <c r="K8" s="348"/>
    </row>
    <row r="9" spans="2:11" ht="15" customHeight="1">
      <c r="B9" s="392">
        <v>41663</v>
      </c>
      <c r="C9" s="393" t="s">
        <v>68</v>
      </c>
      <c r="D9" s="299" t="s">
        <v>69</v>
      </c>
      <c r="E9" s="394">
        <v>515803970</v>
      </c>
      <c r="F9" s="144"/>
      <c r="G9" s="137">
        <f t="shared" ref="G9:G34" si="0">G8+F9-E9</f>
        <v>2407001004</v>
      </c>
      <c r="H9" s="360"/>
      <c r="I9" s="348"/>
      <c r="J9" s="349"/>
      <c r="K9" s="348"/>
    </row>
    <row r="10" spans="2:11" ht="15" customHeight="1">
      <c r="B10" s="392">
        <v>41667</v>
      </c>
      <c r="C10" s="393" t="s">
        <v>73</v>
      </c>
      <c r="D10" s="299" t="s">
        <v>74</v>
      </c>
      <c r="E10" s="394">
        <v>452326930</v>
      </c>
      <c r="F10" s="144"/>
      <c r="G10" s="137">
        <f t="shared" si="0"/>
        <v>1954674074</v>
      </c>
      <c r="H10" s="360"/>
      <c r="I10" s="348"/>
      <c r="J10" s="349"/>
      <c r="K10" s="348"/>
    </row>
    <row r="11" spans="2:11" ht="15" customHeight="1">
      <c r="B11" s="199">
        <v>41669</v>
      </c>
      <c r="C11" s="200" t="s">
        <v>108</v>
      </c>
      <c r="D11" s="146" t="s">
        <v>19</v>
      </c>
      <c r="E11" s="195"/>
      <c r="F11" s="150">
        <v>651199119</v>
      </c>
      <c r="G11" s="280">
        <f t="shared" si="0"/>
        <v>2605873193</v>
      </c>
      <c r="H11" s="361"/>
      <c r="I11" s="348"/>
      <c r="J11" s="349">
        <f>SUM(E8:E10)</f>
        <v>1173807712</v>
      </c>
      <c r="K11" s="348"/>
    </row>
    <row r="12" spans="2:11" ht="15" customHeight="1">
      <c r="B12" s="571">
        <v>41697</v>
      </c>
      <c r="C12" s="572" t="s">
        <v>148</v>
      </c>
      <c r="D12" s="299" t="s">
        <v>149</v>
      </c>
      <c r="E12" s="573">
        <v>739518340</v>
      </c>
      <c r="F12" s="247"/>
      <c r="G12" s="137">
        <f t="shared" si="0"/>
        <v>1866354853</v>
      </c>
      <c r="H12" s="361"/>
      <c r="I12" s="348"/>
      <c r="J12" s="349"/>
      <c r="K12" s="348"/>
    </row>
    <row r="13" spans="2:11" ht="15" customHeight="1">
      <c r="B13" s="199">
        <v>41698</v>
      </c>
      <c r="C13" s="200" t="s">
        <v>182</v>
      </c>
      <c r="D13" s="534"/>
      <c r="E13" s="147"/>
      <c r="F13" s="150">
        <v>368551315</v>
      </c>
      <c r="G13" s="280">
        <f t="shared" si="0"/>
        <v>2234906168</v>
      </c>
      <c r="H13" s="361"/>
      <c r="I13" s="348"/>
      <c r="J13" s="349"/>
      <c r="K13" s="348"/>
    </row>
    <row r="14" spans="2:11" ht="15" customHeight="1">
      <c r="B14" s="541">
        <v>41726</v>
      </c>
      <c r="C14" s="200" t="s">
        <v>284</v>
      </c>
      <c r="D14" s="534"/>
      <c r="E14" s="542"/>
      <c r="F14" s="150">
        <v>713602670</v>
      </c>
      <c r="G14" s="137">
        <f t="shared" si="0"/>
        <v>2948508838</v>
      </c>
      <c r="H14" s="361"/>
      <c r="I14" s="350"/>
      <c r="J14" s="349"/>
      <c r="K14" s="348"/>
    </row>
    <row r="15" spans="2:11" ht="15" customHeight="1">
      <c r="B15" s="571">
        <v>41726</v>
      </c>
      <c r="C15" s="572" t="s">
        <v>231</v>
      </c>
      <c r="D15" s="299" t="s">
        <v>232</v>
      </c>
      <c r="E15" s="573">
        <v>557034830</v>
      </c>
      <c r="F15" s="150"/>
      <c r="G15" s="280">
        <f t="shared" si="0"/>
        <v>2391474008</v>
      </c>
      <c r="H15" s="361"/>
      <c r="I15" s="348"/>
      <c r="J15" s="349">
        <f>SUM(E12:E14)</f>
        <v>739518340</v>
      </c>
      <c r="K15" s="348"/>
    </row>
    <row r="16" spans="2:11" ht="15" customHeight="1">
      <c r="B16" s="571">
        <v>41758</v>
      </c>
      <c r="C16" s="572" t="s">
        <v>317</v>
      </c>
      <c r="D16" s="299" t="s">
        <v>318</v>
      </c>
      <c r="E16" s="573">
        <v>658120904</v>
      </c>
      <c r="F16" s="150"/>
      <c r="G16" s="137">
        <f t="shared" si="0"/>
        <v>1733353104</v>
      </c>
      <c r="H16" s="361"/>
      <c r="I16" s="350"/>
      <c r="J16" s="349"/>
      <c r="K16" s="348"/>
    </row>
    <row r="17" spans="1:11" ht="15" customHeight="1">
      <c r="B17" s="199">
        <v>41759</v>
      </c>
      <c r="C17" s="200" t="s">
        <v>372</v>
      </c>
      <c r="D17" s="146"/>
      <c r="E17" s="147"/>
      <c r="F17" s="150">
        <v>1445114454</v>
      </c>
      <c r="G17" s="280">
        <f t="shared" si="0"/>
        <v>3178467558</v>
      </c>
      <c r="H17" s="361"/>
      <c r="I17" s="348"/>
      <c r="J17" s="349"/>
      <c r="K17" s="348"/>
    </row>
    <row r="18" spans="1:11" ht="15" customHeight="1">
      <c r="B18" s="161">
        <v>41789</v>
      </c>
      <c r="C18" s="440" t="s">
        <v>428</v>
      </c>
      <c r="D18" s="299" t="s">
        <v>427</v>
      </c>
      <c r="E18" s="636">
        <v>651199119</v>
      </c>
      <c r="F18" s="137"/>
      <c r="G18" s="137">
        <f t="shared" si="0"/>
        <v>2527268439</v>
      </c>
      <c r="H18" s="361"/>
      <c r="I18" s="350"/>
      <c r="J18" s="349"/>
      <c r="K18" s="348"/>
    </row>
    <row r="19" spans="1:11" ht="15" customHeight="1">
      <c r="B19" s="156">
        <v>41779</v>
      </c>
      <c r="C19" s="95" t="s">
        <v>489</v>
      </c>
      <c r="D19" s="534"/>
      <c r="E19" s="147"/>
      <c r="F19" s="137">
        <v>660786473</v>
      </c>
      <c r="G19" s="137">
        <f t="shared" si="0"/>
        <v>3188054912</v>
      </c>
      <c r="H19" s="361"/>
      <c r="I19" s="348"/>
      <c r="J19" s="349"/>
      <c r="K19" s="348"/>
    </row>
    <row r="20" spans="1:11" ht="15" customHeight="1">
      <c r="B20" s="264">
        <v>41790</v>
      </c>
      <c r="C20" s="265" t="s">
        <v>490</v>
      </c>
      <c r="D20" s="534"/>
      <c r="E20" s="270"/>
      <c r="F20" s="268">
        <v>281829351.10000002</v>
      </c>
      <c r="G20" s="280">
        <f t="shared" si="0"/>
        <v>3469884263.0999999</v>
      </c>
      <c r="H20" s="361"/>
      <c r="I20" s="348">
        <f>SUM(F19:F20)</f>
        <v>942615824.10000002</v>
      </c>
      <c r="J20" s="349">
        <f>SUM(E18)</f>
        <v>651199119</v>
      </c>
      <c r="K20" s="348"/>
    </row>
    <row r="21" spans="1:11" ht="15" customHeight="1">
      <c r="A21" s="65"/>
      <c r="B21" s="199">
        <v>41816</v>
      </c>
      <c r="C21" s="145" t="s">
        <v>558</v>
      </c>
      <c r="D21" s="146"/>
      <c r="E21" s="147"/>
      <c r="F21" s="137">
        <v>900564092</v>
      </c>
      <c r="G21" s="137">
        <f t="shared" si="0"/>
        <v>4370448355.1000004</v>
      </c>
      <c r="H21" s="362"/>
      <c r="I21" s="348"/>
      <c r="J21" s="349">
        <f>SUM(E19:E20)</f>
        <v>0</v>
      </c>
      <c r="K21" s="348"/>
    </row>
    <row r="22" spans="1:11" ht="15" customHeight="1">
      <c r="A22" s="65"/>
      <c r="B22" s="264">
        <v>41820</v>
      </c>
      <c r="C22" s="265" t="s">
        <v>559</v>
      </c>
      <c r="D22" s="269"/>
      <c r="E22" s="267"/>
      <c r="F22" s="270">
        <v>474920710</v>
      </c>
      <c r="G22" s="137">
        <f t="shared" si="0"/>
        <v>4845369065.1000004</v>
      </c>
      <c r="H22" s="357"/>
      <c r="I22" s="348">
        <f>SUM(F21:F22)</f>
        <v>1375484802</v>
      </c>
      <c r="J22" s="349"/>
      <c r="K22" s="348"/>
    </row>
    <row r="23" spans="1:11" ht="15" customHeight="1">
      <c r="B23" s="161">
        <v>41815</v>
      </c>
      <c r="C23" s="440" t="s">
        <v>587</v>
      </c>
      <c r="D23" s="299" t="s">
        <v>221</v>
      </c>
      <c r="E23" s="195">
        <v>368551315</v>
      </c>
      <c r="F23" s="270"/>
      <c r="G23" s="280">
        <f t="shared" si="0"/>
        <v>4476817750.1000004</v>
      </c>
      <c r="H23" s="357"/>
      <c r="I23" s="350"/>
      <c r="J23" s="349"/>
      <c r="K23" s="348"/>
    </row>
    <row r="24" spans="1:11" ht="15" customHeight="1">
      <c r="B24" s="156">
        <v>41835</v>
      </c>
      <c r="C24" s="95" t="s">
        <v>629</v>
      </c>
      <c r="D24" s="534"/>
      <c r="E24" s="147"/>
      <c r="F24" s="137">
        <v>857843803</v>
      </c>
      <c r="G24" s="137">
        <f t="shared" si="0"/>
        <v>5334661553.1000004</v>
      </c>
      <c r="H24" s="357"/>
      <c r="I24" s="350"/>
      <c r="J24" s="349"/>
      <c r="K24" s="348"/>
    </row>
    <row r="25" spans="1:11" ht="15" customHeight="1">
      <c r="B25" s="199">
        <v>41843</v>
      </c>
      <c r="C25" s="145" t="s">
        <v>630</v>
      </c>
      <c r="D25" s="146"/>
      <c r="E25" s="363"/>
      <c r="F25" s="144">
        <v>223571590</v>
      </c>
      <c r="G25" s="137">
        <f t="shared" si="0"/>
        <v>5558233143.1000004</v>
      </c>
      <c r="H25" s="357"/>
      <c r="I25" s="350">
        <f>SUM(F24:F25)</f>
        <v>1081415393</v>
      </c>
      <c r="J25" s="349">
        <f>SUM(E26)</f>
        <v>713602670</v>
      </c>
      <c r="K25" s="348"/>
    </row>
    <row r="26" spans="1:11" ht="15" customHeight="1">
      <c r="B26" s="161">
        <v>41843</v>
      </c>
      <c r="C26" s="440" t="s">
        <v>600</v>
      </c>
      <c r="D26" s="299" t="s">
        <v>601</v>
      </c>
      <c r="E26" s="195">
        <v>713602670</v>
      </c>
      <c r="F26" s="268"/>
      <c r="G26" s="280">
        <f t="shared" si="0"/>
        <v>4844630473.1000004</v>
      </c>
      <c r="H26" s="357"/>
      <c r="I26" s="348"/>
      <c r="J26" s="349"/>
      <c r="K26" s="348"/>
    </row>
    <row r="27" spans="1:11" ht="15" customHeight="1">
      <c r="B27" s="162">
        <v>41866</v>
      </c>
      <c r="C27" s="143" t="s">
        <v>643</v>
      </c>
      <c r="D27" s="299"/>
      <c r="E27" s="195"/>
      <c r="F27" s="660">
        <v>950795010</v>
      </c>
      <c r="G27" s="137">
        <f t="shared" si="0"/>
        <v>5795425483.1000004</v>
      </c>
      <c r="H27" s="357"/>
      <c r="I27" s="348"/>
      <c r="J27" s="349"/>
      <c r="K27" s="348"/>
    </row>
    <row r="28" spans="1:11" ht="15" customHeight="1">
      <c r="B28" s="162">
        <v>41879</v>
      </c>
      <c r="C28" s="143" t="s">
        <v>708</v>
      </c>
      <c r="D28" s="534"/>
      <c r="E28" s="147"/>
      <c r="F28" s="660">
        <v>151690110</v>
      </c>
      <c r="G28" s="137">
        <f t="shared" si="0"/>
        <v>5947115593.1000004</v>
      </c>
      <c r="H28" s="357"/>
      <c r="I28" s="348"/>
      <c r="J28" s="349"/>
      <c r="K28" s="348"/>
    </row>
    <row r="29" spans="1:11" ht="15" customHeight="1">
      <c r="B29" s="161">
        <v>41880</v>
      </c>
      <c r="C29" s="440" t="s">
        <v>700</v>
      </c>
      <c r="D29" s="299" t="s">
        <v>701</v>
      </c>
      <c r="E29" s="195">
        <v>1445114454</v>
      </c>
      <c r="F29" s="660"/>
      <c r="G29" s="280">
        <f t="shared" si="0"/>
        <v>4502001139.1000004</v>
      </c>
      <c r="H29" s="357"/>
      <c r="I29" s="348">
        <f>SUM(F27:F29)</f>
        <v>1102485120</v>
      </c>
      <c r="J29" s="349"/>
      <c r="K29" s="348"/>
    </row>
    <row r="30" spans="1:11" ht="15" customHeight="1">
      <c r="B30" s="161"/>
      <c r="C30" s="440"/>
      <c r="D30" s="299"/>
      <c r="E30" s="195"/>
      <c r="F30" s="660"/>
      <c r="G30" s="137">
        <f t="shared" si="0"/>
        <v>4502001139.1000004</v>
      </c>
      <c r="H30" s="357"/>
      <c r="I30" s="348"/>
      <c r="J30" s="349"/>
      <c r="K30" s="348"/>
    </row>
    <row r="31" spans="1:11" ht="15" customHeight="1">
      <c r="B31" s="378"/>
      <c r="C31" s="233"/>
      <c r="D31" s="299"/>
      <c r="E31" s="195"/>
      <c r="F31" s="660"/>
      <c r="G31" s="137">
        <f t="shared" si="0"/>
        <v>4502001139.1000004</v>
      </c>
      <c r="H31" s="357"/>
      <c r="I31" s="348"/>
      <c r="J31" s="349"/>
      <c r="K31" s="348"/>
    </row>
    <row r="32" spans="1:11" ht="15" customHeight="1">
      <c r="B32" s="378"/>
      <c r="C32" s="233"/>
      <c r="D32" s="299"/>
      <c r="E32" s="195"/>
      <c r="F32" s="660"/>
      <c r="G32" s="137">
        <f t="shared" si="0"/>
        <v>4502001139.1000004</v>
      </c>
      <c r="H32" s="357"/>
      <c r="I32" s="348"/>
      <c r="J32" s="349"/>
      <c r="K32" s="348"/>
    </row>
    <row r="33" spans="1:11" ht="15" customHeight="1">
      <c r="A33" s="65"/>
      <c r="B33" s="199"/>
      <c r="C33" s="145"/>
      <c r="D33" s="146"/>
      <c r="E33" s="543"/>
      <c r="F33" s="270"/>
      <c r="G33" s="137">
        <f t="shared" si="0"/>
        <v>4502001139.1000004</v>
      </c>
      <c r="H33" s="357"/>
      <c r="I33" s="348"/>
      <c r="J33" s="349"/>
      <c r="K33" s="348"/>
    </row>
    <row r="34" spans="1:11" ht="15" customHeight="1">
      <c r="A34" s="65"/>
      <c r="B34" s="264"/>
      <c r="C34" s="265"/>
      <c r="D34" s="266"/>
      <c r="E34" s="544"/>
      <c r="F34" s="268"/>
      <c r="G34" s="137">
        <f t="shared" si="0"/>
        <v>4502001139.1000004</v>
      </c>
      <c r="H34" s="357"/>
      <c r="I34" s="348"/>
      <c r="J34" s="349"/>
      <c r="K34" s="348"/>
    </row>
    <row r="35" spans="1:11" ht="15" customHeight="1" thickBot="1">
      <c r="B35" s="315"/>
      <c r="C35" s="304"/>
      <c r="D35" s="316"/>
      <c r="E35" s="304"/>
      <c r="F35" s="317"/>
      <c r="G35" s="318"/>
      <c r="H35" s="357"/>
      <c r="I35" s="348"/>
      <c r="J35" s="349"/>
      <c r="K35" s="348"/>
    </row>
    <row r="36" spans="1:11" ht="13.5" thickTop="1"/>
  </sheetData>
  <sortState ref="B8:E10">
    <sortCondition ref="B8"/>
  </sortState>
  <mergeCells count="4">
    <mergeCell ref="D4:D5"/>
    <mergeCell ref="B2:G2"/>
    <mergeCell ref="I4:I5"/>
    <mergeCell ref="J4:J5"/>
  </mergeCells>
  <pageMargins left="0.36" right="0.39370078740157483" top="0.43307086614173229" bottom="0.47244094488188981" header="0.31496062992125984" footer="0.48"/>
  <pageSetup paperSize="9" orientation="portrait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B1:J26"/>
  <sheetViews>
    <sheetView workbookViewId="0">
      <selection activeCell="C20" sqref="C20"/>
    </sheetView>
  </sheetViews>
  <sheetFormatPr defaultRowHeight="15"/>
  <cols>
    <col min="1" max="1" width="4.28515625" style="40" customWidth="1"/>
    <col min="2" max="2" width="14.5703125" style="70" customWidth="1"/>
    <col min="3" max="3" width="18.28515625" style="40" customWidth="1"/>
    <col min="4" max="4" width="20.140625" style="60" customWidth="1"/>
    <col min="5" max="5" width="13" style="60" customWidth="1"/>
    <col min="6" max="6" width="13" style="52" customWidth="1"/>
    <col min="7" max="7" width="13.5703125" style="58" customWidth="1"/>
    <col min="8" max="8" width="2.5703125" style="40" customWidth="1"/>
    <col min="9" max="9" width="15.7109375" style="40" customWidth="1"/>
    <col min="10" max="10" width="14.5703125" style="40" customWidth="1"/>
    <col min="11" max="16384" width="9.140625" style="40"/>
  </cols>
  <sheetData>
    <row r="1" spans="2:10" ht="15.75" customHeight="1">
      <c r="B1" s="672" t="s">
        <v>20</v>
      </c>
      <c r="C1" s="672"/>
      <c r="D1" s="672"/>
      <c r="E1" s="672"/>
      <c r="F1" s="672"/>
      <c r="G1" s="672"/>
    </row>
    <row r="2" spans="2:10" ht="15.75" customHeight="1">
      <c r="B2" s="672" t="s">
        <v>46</v>
      </c>
      <c r="C2" s="672"/>
      <c r="D2" s="672"/>
      <c r="E2" s="672"/>
      <c r="F2" s="672"/>
      <c r="G2" s="672"/>
    </row>
    <row r="3" spans="2:10" ht="15.75" thickBot="1">
      <c r="B3" s="68"/>
      <c r="C3" s="41"/>
      <c r="F3" s="42"/>
      <c r="G3" s="59"/>
    </row>
    <row r="4" spans="2:10" ht="15.75" customHeight="1" thickTop="1">
      <c r="B4" s="44" t="s">
        <v>10</v>
      </c>
      <c r="C4" s="45" t="s">
        <v>11</v>
      </c>
      <c r="D4" s="673" t="s">
        <v>12</v>
      </c>
      <c r="E4" s="46" t="s">
        <v>9</v>
      </c>
      <c r="F4" s="46" t="s">
        <v>13</v>
      </c>
      <c r="G4" s="45" t="s">
        <v>8</v>
      </c>
      <c r="I4" s="671" t="s">
        <v>22</v>
      </c>
      <c r="J4" s="671" t="s">
        <v>23</v>
      </c>
    </row>
    <row r="5" spans="2:10" ht="15.75" thickBot="1">
      <c r="B5" s="90" t="s">
        <v>14</v>
      </c>
      <c r="C5" s="47" t="s">
        <v>15</v>
      </c>
      <c r="D5" s="674"/>
      <c r="E5" s="48" t="s">
        <v>16</v>
      </c>
      <c r="F5" s="48" t="s">
        <v>16</v>
      </c>
      <c r="G5" s="49" t="s">
        <v>17</v>
      </c>
      <c r="I5" s="671"/>
      <c r="J5" s="671"/>
    </row>
    <row r="6" spans="2:10" ht="15.75" thickTop="1">
      <c r="B6" s="197"/>
      <c r="C6" s="106"/>
      <c r="D6" s="272"/>
      <c r="E6" s="137"/>
      <c r="F6" s="114"/>
      <c r="G6" s="236"/>
    </row>
    <row r="7" spans="2:10">
      <c r="B7" s="257">
        <v>41639</v>
      </c>
      <c r="C7" s="258" t="s">
        <v>25</v>
      </c>
      <c r="D7" s="231"/>
      <c r="E7" s="232"/>
      <c r="F7" s="39"/>
      <c r="G7" s="234">
        <f>F7</f>
        <v>0</v>
      </c>
    </row>
    <row r="8" spans="2:10">
      <c r="B8" s="183">
        <v>41754</v>
      </c>
      <c r="C8" s="120" t="s">
        <v>373</v>
      </c>
      <c r="D8" s="376"/>
      <c r="E8" s="377"/>
      <c r="F8" s="96">
        <v>19800000</v>
      </c>
      <c r="G8" s="193">
        <f>G7+F8-E8</f>
        <v>19800000</v>
      </c>
    </row>
    <row r="9" spans="2:10">
      <c r="B9" s="277">
        <v>41771</v>
      </c>
      <c r="C9" s="230" t="s">
        <v>409</v>
      </c>
      <c r="D9" s="216" t="s">
        <v>408</v>
      </c>
      <c r="E9" s="217">
        <v>19800000</v>
      </c>
      <c r="F9" s="92"/>
      <c r="G9" s="193">
        <f>G8+F9-E9</f>
        <v>0</v>
      </c>
    </row>
    <row r="10" spans="2:10">
      <c r="B10" s="172"/>
      <c r="C10" s="149"/>
      <c r="D10" s="376"/>
      <c r="E10" s="421"/>
      <c r="F10" s="92"/>
      <c r="G10" s="465">
        <f>G9+F10-E10</f>
        <v>0</v>
      </c>
    </row>
    <row r="11" spans="2:10">
      <c r="B11" s="171"/>
      <c r="C11" s="255"/>
      <c r="D11" s="140"/>
      <c r="E11" s="142"/>
      <c r="F11" s="150"/>
      <c r="G11" s="295">
        <f>F11</f>
        <v>0</v>
      </c>
    </row>
    <row r="12" spans="2:10" ht="15" customHeight="1">
      <c r="B12" s="172"/>
      <c r="C12" s="149"/>
      <c r="D12" s="376"/>
      <c r="E12" s="421"/>
      <c r="F12" s="92"/>
      <c r="G12" s="193">
        <f>G11+F12-E12</f>
        <v>0</v>
      </c>
    </row>
    <row r="13" spans="2:10" ht="15" customHeight="1">
      <c r="B13" s="201"/>
      <c r="C13" s="38"/>
      <c r="E13" s="51"/>
      <c r="F13" s="39"/>
      <c r="G13" s="193">
        <f>G12+F13-E13</f>
        <v>0</v>
      </c>
    </row>
    <row r="14" spans="2:10" ht="15" customHeight="1">
      <c r="B14" s="172"/>
      <c r="C14" s="149"/>
      <c r="D14" s="376"/>
      <c r="E14" s="421"/>
      <c r="F14" s="472"/>
      <c r="G14" s="193">
        <f>G13+F14-E14</f>
        <v>0</v>
      </c>
    </row>
    <row r="15" spans="2:10" ht="15" customHeight="1">
      <c r="B15" s="322"/>
      <c r="C15" s="324"/>
      <c r="E15" s="471"/>
      <c r="F15" s="472"/>
      <c r="G15" s="295">
        <f>G14+F15-E15</f>
        <v>0</v>
      </c>
    </row>
    <row r="16" spans="2:10" ht="15" customHeight="1">
      <c r="B16" s="411"/>
      <c r="C16" s="458"/>
      <c r="D16" s="494"/>
      <c r="E16" s="395"/>
      <c r="F16" s="472"/>
      <c r="G16" s="295">
        <f>G15+F16-E16</f>
        <v>0</v>
      </c>
    </row>
    <row r="17" spans="2:7" ht="15.75" thickBot="1">
      <c r="B17" s="495"/>
      <c r="C17" s="496"/>
      <c r="D17" s="61"/>
      <c r="E17" s="317"/>
      <c r="F17" s="497"/>
      <c r="G17" s="498"/>
    </row>
    <row r="18" spans="2:7" ht="15.75" thickTop="1">
      <c r="B18" s="69"/>
      <c r="C18" s="55"/>
      <c r="D18" s="89"/>
      <c r="E18" s="89"/>
      <c r="F18" s="56"/>
      <c r="G18" s="57"/>
    </row>
    <row r="19" spans="2:7">
      <c r="B19" s="69"/>
      <c r="C19" s="55"/>
      <c r="F19" s="56"/>
      <c r="G19" s="57"/>
    </row>
    <row r="20" spans="2:7">
      <c r="B20" s="69"/>
      <c r="C20" s="55"/>
      <c r="F20" s="56"/>
      <c r="G20" s="57"/>
    </row>
    <row r="21" spans="2:7">
      <c r="B21" s="69"/>
      <c r="C21" s="55"/>
      <c r="F21" s="56"/>
      <c r="G21" s="57"/>
    </row>
    <row r="22" spans="2:7">
      <c r="B22" s="69"/>
      <c r="C22" s="55"/>
      <c r="F22" s="56"/>
      <c r="G22" s="57"/>
    </row>
    <row r="23" spans="2:7">
      <c r="B23" s="69"/>
      <c r="C23" s="55"/>
      <c r="F23" s="56"/>
      <c r="G23" s="57"/>
    </row>
    <row r="24" spans="2:7">
      <c r="B24" s="69"/>
      <c r="C24" s="55"/>
      <c r="F24" s="56"/>
      <c r="G24" s="57"/>
    </row>
    <row r="25" spans="2:7">
      <c r="B25" s="69"/>
      <c r="C25" s="55"/>
      <c r="F25" s="56"/>
      <c r="G25" s="57"/>
    </row>
    <row r="26" spans="2:7">
      <c r="B26" s="69"/>
      <c r="C26" s="55"/>
      <c r="F26" s="56"/>
      <c r="G26" s="57"/>
    </row>
  </sheetData>
  <mergeCells count="5">
    <mergeCell ref="B1:G1"/>
    <mergeCell ref="D4:D5"/>
    <mergeCell ref="B2:G2"/>
    <mergeCell ref="I4:I5"/>
    <mergeCell ref="J4:J5"/>
  </mergeCells>
  <pageMargins left="0.41" right="0.12" top="0.44" bottom="0.74803149606299202" header="0.38" footer="0.31496062992126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L1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5" sqref="B25"/>
    </sheetView>
  </sheetViews>
  <sheetFormatPr defaultRowHeight="15"/>
  <cols>
    <col min="1" max="1" width="3" style="40" customWidth="1"/>
    <col min="2" max="2" width="11.7109375" style="164" customWidth="1"/>
    <col min="3" max="3" width="18.7109375" style="40" customWidth="1"/>
    <col min="4" max="5" width="11.28515625" style="40" customWidth="1"/>
    <col min="6" max="7" width="11.5703125" style="52" customWidth="1"/>
    <col min="8" max="8" width="14.42578125" style="406" customWidth="1"/>
    <col min="9" max="9" width="16.5703125" style="53" customWidth="1"/>
    <col min="10" max="10" width="2.140625" style="40" customWidth="1"/>
    <col min="11" max="11" width="15.5703125" style="104" customWidth="1"/>
    <col min="12" max="12" width="16.7109375" style="104" bestFit="1" customWidth="1"/>
    <col min="13" max="16384" width="9.140625" style="40"/>
  </cols>
  <sheetData>
    <row r="1" spans="2:12" ht="18.75">
      <c r="B1" s="672" t="s">
        <v>31</v>
      </c>
      <c r="C1" s="672"/>
      <c r="D1" s="672"/>
      <c r="E1" s="672"/>
      <c r="F1" s="672"/>
      <c r="G1" s="672"/>
      <c r="H1" s="672"/>
      <c r="I1" s="672"/>
    </row>
    <row r="2" spans="2:12" ht="18.75">
      <c r="B2" s="672" t="s">
        <v>46</v>
      </c>
      <c r="C2" s="672"/>
      <c r="D2" s="672"/>
      <c r="E2" s="672"/>
      <c r="F2" s="672"/>
      <c r="G2" s="672"/>
      <c r="H2" s="672"/>
      <c r="I2" s="672"/>
    </row>
    <row r="3" spans="2:12" ht="15.75" thickBot="1">
      <c r="B3" s="158"/>
      <c r="C3" s="41"/>
      <c r="F3" s="42"/>
      <c r="G3" s="42"/>
      <c r="H3" s="401"/>
      <c r="I3" s="43"/>
    </row>
    <row r="4" spans="2:12" ht="15.75" customHeight="1" thickTop="1">
      <c r="B4" s="159" t="s">
        <v>10</v>
      </c>
      <c r="C4" s="45" t="s">
        <v>11</v>
      </c>
      <c r="D4" s="680" t="s">
        <v>9</v>
      </c>
      <c r="E4" s="681"/>
      <c r="F4" s="678" t="s">
        <v>13</v>
      </c>
      <c r="G4" s="679"/>
      <c r="H4" s="678" t="s">
        <v>8</v>
      </c>
      <c r="I4" s="679"/>
      <c r="K4" s="675" t="s">
        <v>22</v>
      </c>
      <c r="L4" s="675" t="s">
        <v>23</v>
      </c>
    </row>
    <row r="5" spans="2:12" ht="15.75" thickBot="1">
      <c r="B5" s="160" t="s">
        <v>14</v>
      </c>
      <c r="C5" s="47" t="s">
        <v>15</v>
      </c>
      <c r="D5" s="48" t="s">
        <v>30</v>
      </c>
      <c r="E5" s="48" t="s">
        <v>16</v>
      </c>
      <c r="F5" s="48" t="s">
        <v>30</v>
      </c>
      <c r="G5" s="408" t="s">
        <v>16</v>
      </c>
      <c r="H5" s="402" t="s">
        <v>30</v>
      </c>
      <c r="I5" s="48" t="s">
        <v>16</v>
      </c>
      <c r="K5" s="675"/>
      <c r="L5" s="675"/>
    </row>
    <row r="6" spans="2:12" ht="15.75" thickTop="1">
      <c r="B6" s="161"/>
      <c r="C6" s="93"/>
      <c r="D6" s="94"/>
      <c r="E6" s="195"/>
      <c r="F6" s="92"/>
      <c r="G6" s="150"/>
      <c r="H6" s="403"/>
      <c r="I6" s="37"/>
    </row>
    <row r="7" spans="2:12" s="321" customFormat="1">
      <c r="B7" s="257">
        <v>41639</v>
      </c>
      <c r="C7" s="258" t="s">
        <v>25</v>
      </c>
      <c r="D7" s="147"/>
      <c r="E7" s="147"/>
      <c r="F7" s="407"/>
      <c r="G7" s="150"/>
      <c r="H7" s="403"/>
      <c r="I7" s="196">
        <f>G7</f>
        <v>0</v>
      </c>
      <c r="K7" s="272"/>
      <c r="L7" s="272"/>
    </row>
    <row r="8" spans="2:12">
      <c r="B8" s="370"/>
      <c r="C8" s="371"/>
      <c r="D8" s="396"/>
      <c r="E8" s="195"/>
      <c r="F8" s="397"/>
      <c r="G8" s="150"/>
      <c r="H8" s="414"/>
      <c r="I8" s="409">
        <f>I7+G8-E8</f>
        <v>0</v>
      </c>
    </row>
    <row r="9" spans="2:12" ht="15.75" thickBot="1">
      <c r="B9" s="303"/>
      <c r="C9" s="304"/>
      <c r="D9" s="304"/>
      <c r="E9" s="64"/>
      <c r="F9" s="483"/>
      <c r="G9" s="483"/>
      <c r="H9" s="499"/>
      <c r="I9" s="305"/>
      <c r="K9" s="40"/>
      <c r="L9" s="40"/>
    </row>
    <row r="10" spans="2:12" ht="15.75" thickTop="1">
      <c r="K10" s="40"/>
      <c r="L10" s="40"/>
    </row>
  </sheetData>
  <mergeCells count="7">
    <mergeCell ref="L4:L5"/>
    <mergeCell ref="B1:I1"/>
    <mergeCell ref="B2:I2"/>
    <mergeCell ref="D4:E4"/>
    <mergeCell ref="F4:G4"/>
    <mergeCell ref="H4:I4"/>
    <mergeCell ref="K4:K5"/>
  </mergeCells>
  <pageMargins left="0.37" right="0.25" top="0.39370078740157483" bottom="0.62992125984251968" header="0.31496062992125984" footer="0.51181102362204722"/>
  <pageSetup paperSize="9" scale="90" orientation="portrait" r:id="rId1"/>
  <headerFooter>
    <oddFooter>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B1:G15"/>
  <sheetViews>
    <sheetView workbookViewId="0">
      <selection activeCell="G11" sqref="G11"/>
    </sheetView>
  </sheetViews>
  <sheetFormatPr defaultRowHeight="15"/>
  <cols>
    <col min="1" max="1" width="4" style="1" customWidth="1"/>
    <col min="2" max="2" width="14.5703125" style="184" customWidth="1"/>
    <col min="3" max="3" width="16.5703125" style="7" customWidth="1"/>
    <col min="4" max="4" width="19.28515625" style="13" customWidth="1"/>
    <col min="5" max="5" width="12.42578125" style="15" customWidth="1"/>
    <col min="6" max="6" width="13" style="18" customWidth="1"/>
    <col min="7" max="7" width="13.140625" style="9" customWidth="1"/>
    <col min="8" max="8" width="2" style="1" customWidth="1"/>
    <col min="9" max="16384" width="9.140625" style="1"/>
  </cols>
  <sheetData>
    <row r="1" spans="2:7" ht="18.75">
      <c r="B1" s="682" t="s">
        <v>21</v>
      </c>
      <c r="C1" s="682"/>
      <c r="D1" s="682"/>
      <c r="E1" s="682"/>
      <c r="F1" s="682"/>
      <c r="G1" s="682"/>
    </row>
    <row r="2" spans="2:7" ht="18.75">
      <c r="B2" s="682" t="s">
        <v>46</v>
      </c>
      <c r="C2" s="682"/>
      <c r="D2" s="682"/>
      <c r="E2" s="682"/>
      <c r="F2" s="682"/>
      <c r="G2" s="682"/>
    </row>
    <row r="3" spans="2:7" ht="15.75" thickBot="1">
      <c r="B3" s="181"/>
      <c r="C3" s="5"/>
      <c r="D3" s="14"/>
      <c r="E3" s="16"/>
      <c r="F3" s="19"/>
    </row>
    <row r="4" spans="2:7" ht="15.75" customHeight="1" thickTop="1">
      <c r="B4" s="154" t="s">
        <v>10</v>
      </c>
      <c r="C4" s="33" t="s">
        <v>11</v>
      </c>
      <c r="D4" s="669" t="s">
        <v>12</v>
      </c>
      <c r="E4" s="32" t="s">
        <v>9</v>
      </c>
      <c r="F4" s="32" t="s">
        <v>13</v>
      </c>
      <c r="G4" s="33" t="s">
        <v>8</v>
      </c>
    </row>
    <row r="5" spans="2:7" ht="15.75" thickBot="1">
      <c r="B5" s="155" t="s">
        <v>14</v>
      </c>
      <c r="C5" s="35" t="s">
        <v>15</v>
      </c>
      <c r="D5" s="670"/>
      <c r="E5" s="36" t="s">
        <v>16</v>
      </c>
      <c r="F5" s="36" t="s">
        <v>16</v>
      </c>
      <c r="G5" s="34" t="s">
        <v>17</v>
      </c>
    </row>
    <row r="6" spans="2:7" ht="15.75" thickTop="1">
      <c r="B6" s="182"/>
      <c r="C6" s="91"/>
      <c r="D6" s="116"/>
      <c r="E6" s="117"/>
      <c r="F6" s="118"/>
      <c r="G6" s="148"/>
    </row>
    <row r="7" spans="2:7">
      <c r="B7" s="257">
        <v>41639</v>
      </c>
      <c r="C7" s="258" t="s">
        <v>25</v>
      </c>
      <c r="D7" s="262"/>
      <c r="E7" s="263"/>
      <c r="F7" s="276"/>
      <c r="G7" s="128">
        <f>F7</f>
        <v>0</v>
      </c>
    </row>
    <row r="8" spans="2:7">
      <c r="B8" s="183">
        <v>41674</v>
      </c>
      <c r="C8" s="576" t="s">
        <v>194</v>
      </c>
      <c r="D8" s="119"/>
      <c r="E8" s="121">
        <v>0</v>
      </c>
      <c r="F8" s="276">
        <v>456000</v>
      </c>
      <c r="G8" s="286">
        <f>F8</f>
        <v>456000</v>
      </c>
    </row>
    <row r="9" spans="2:7">
      <c r="B9" s="172">
        <v>41724</v>
      </c>
      <c r="C9" s="149" t="s">
        <v>295</v>
      </c>
      <c r="D9" s="194"/>
      <c r="E9" s="195">
        <v>456000</v>
      </c>
      <c r="F9" s="589">
        <v>0</v>
      </c>
      <c r="G9" s="501">
        <f>G8-E9</f>
        <v>0</v>
      </c>
    </row>
    <row r="10" spans="2:7">
      <c r="B10" s="199">
        <v>41881</v>
      </c>
      <c r="C10" s="666" t="s">
        <v>728</v>
      </c>
      <c r="D10" s="665" t="s">
        <v>728</v>
      </c>
      <c r="E10" s="147"/>
      <c r="F10" s="500">
        <v>456000</v>
      </c>
      <c r="G10" s="501">
        <f>G9+F10-E10</f>
        <v>456000</v>
      </c>
    </row>
    <row r="11" spans="2:7">
      <c r="B11" s="172"/>
      <c r="C11" s="149"/>
      <c r="D11" s="194"/>
      <c r="E11" s="195"/>
      <c r="F11" s="589"/>
      <c r="G11" s="501"/>
    </row>
    <row r="12" spans="2:7">
      <c r="B12" s="172"/>
      <c r="C12" s="149"/>
      <c r="D12" s="194"/>
      <c r="E12" s="195"/>
      <c r="F12" s="589"/>
      <c r="G12" s="501"/>
    </row>
    <row r="13" spans="2:7">
      <c r="B13" s="172"/>
      <c r="C13" s="221"/>
      <c r="D13" s="194"/>
      <c r="E13" s="195"/>
      <c r="F13" s="500"/>
      <c r="G13" s="501"/>
    </row>
    <row r="14" spans="2:7" ht="15.75" thickBot="1">
      <c r="B14" s="502"/>
      <c r="C14" s="503"/>
      <c r="D14" s="504"/>
      <c r="E14" s="505"/>
      <c r="F14" s="506"/>
      <c r="G14" s="507"/>
    </row>
    <row r="15" spans="2:7" ht="15.75" thickTop="1"/>
  </sheetData>
  <mergeCells count="3">
    <mergeCell ref="D4:D5"/>
    <mergeCell ref="B2:G2"/>
    <mergeCell ref="B1:G1"/>
  </mergeCells>
  <pageMargins left="0.54" right="0.36" top="0.74803149606299202" bottom="0.74803149606299202" header="0.31496062992126" footer="0.31496062992126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60"/>
  <sheetViews>
    <sheetView topLeftCell="A19" workbookViewId="0">
      <selection activeCell="G28" sqref="G28"/>
    </sheetView>
  </sheetViews>
  <sheetFormatPr defaultRowHeight="15"/>
  <cols>
    <col min="1" max="1" width="4.42578125" style="1" customWidth="1"/>
    <col min="2" max="2" width="11.7109375" style="184" customWidth="1"/>
    <col min="3" max="3" width="19.85546875" style="7" customWidth="1"/>
    <col min="4" max="4" width="20.140625" style="7" customWidth="1"/>
    <col min="5" max="5" width="13.42578125" style="13" customWidth="1"/>
    <col min="6" max="6" width="14" style="15" customWidth="1"/>
    <col min="7" max="7" width="16.85546875" style="18" customWidth="1"/>
    <col min="8" max="8" width="3.85546875" style="1" customWidth="1"/>
    <col min="9" max="9" width="15.140625" style="1" bestFit="1" customWidth="1"/>
    <col min="10" max="10" width="14.7109375" style="1" customWidth="1"/>
    <col min="11" max="16384" width="9.140625" style="1"/>
  </cols>
  <sheetData>
    <row r="1" spans="1:10" ht="18.75">
      <c r="B1" s="682" t="s">
        <v>5</v>
      </c>
      <c r="C1" s="682"/>
      <c r="D1" s="682"/>
      <c r="E1" s="682"/>
      <c r="F1" s="682"/>
      <c r="G1" s="682"/>
    </row>
    <row r="2" spans="1:10" ht="18.75">
      <c r="B2" s="682" t="s">
        <v>46</v>
      </c>
      <c r="C2" s="682"/>
      <c r="D2" s="682"/>
      <c r="E2" s="682"/>
      <c r="F2" s="682"/>
      <c r="G2" s="682"/>
    </row>
    <row r="3" spans="1:10" ht="15.75" thickBot="1">
      <c r="B3" s="181"/>
      <c r="C3" s="5"/>
      <c r="D3" s="5"/>
      <c r="E3" s="14"/>
      <c r="F3" s="16"/>
      <c r="G3" s="19"/>
    </row>
    <row r="4" spans="1:10" ht="15.75" customHeight="1" thickTop="1">
      <c r="B4" s="154" t="s">
        <v>10</v>
      </c>
      <c r="C4" s="33" t="s">
        <v>11</v>
      </c>
      <c r="D4" s="669" t="s">
        <v>12</v>
      </c>
      <c r="E4" s="32" t="s">
        <v>9</v>
      </c>
      <c r="F4" s="32" t="s">
        <v>13</v>
      </c>
      <c r="G4" s="33" t="s">
        <v>8</v>
      </c>
      <c r="I4" s="671" t="s">
        <v>22</v>
      </c>
      <c r="J4" s="671" t="s">
        <v>23</v>
      </c>
    </row>
    <row r="5" spans="1:10" ht="15.75" thickBot="1">
      <c r="B5" s="155" t="s">
        <v>14</v>
      </c>
      <c r="C5" s="35" t="s">
        <v>15</v>
      </c>
      <c r="D5" s="670"/>
      <c r="E5" s="36" t="s">
        <v>16</v>
      </c>
      <c r="F5" s="36" t="s">
        <v>16</v>
      </c>
      <c r="G5" s="34" t="s">
        <v>17</v>
      </c>
      <c r="I5" s="671"/>
      <c r="J5" s="671"/>
    </row>
    <row r="6" spans="1:10" ht="15.75" thickTop="1">
      <c r="B6" s="183"/>
      <c r="C6" s="120"/>
      <c r="D6" s="120"/>
      <c r="E6" s="119"/>
      <c r="F6" s="121"/>
      <c r="G6" s="122"/>
    </row>
    <row r="7" spans="1:10" s="9" customFormat="1">
      <c r="B7" s="257">
        <v>41639</v>
      </c>
      <c r="C7" s="258" t="s">
        <v>25</v>
      </c>
      <c r="D7" s="139"/>
      <c r="E7" s="138"/>
      <c r="F7" s="121">
        <v>14442120</v>
      </c>
      <c r="G7" s="123">
        <f>F7</f>
        <v>14442120</v>
      </c>
    </row>
    <row r="8" spans="1:10">
      <c r="A8" s="24"/>
      <c r="B8" s="375">
        <v>41646</v>
      </c>
      <c r="C8" s="376" t="s">
        <v>55</v>
      </c>
      <c r="D8" s="376" t="s">
        <v>56</v>
      </c>
      <c r="E8" s="633">
        <v>14442120</v>
      </c>
      <c r="F8" s="121"/>
      <c r="G8" s="466">
        <f>G7+F8-E8</f>
        <v>0</v>
      </c>
      <c r="H8" s="364"/>
      <c r="I8" s="365"/>
      <c r="J8" s="365"/>
    </row>
    <row r="9" spans="1:10">
      <c r="A9" s="24"/>
      <c r="B9" s="183">
        <v>41698</v>
      </c>
      <c r="C9" s="120" t="s">
        <v>183</v>
      </c>
      <c r="D9" s="120"/>
      <c r="E9" s="198"/>
      <c r="F9" s="121">
        <v>452760</v>
      </c>
      <c r="G9" s="136">
        <f t="shared" ref="G9:G28" si="0">G8+F9-E9</f>
        <v>452760</v>
      </c>
      <c r="H9" s="364"/>
      <c r="I9" s="365"/>
      <c r="J9" s="365"/>
    </row>
    <row r="10" spans="1:10">
      <c r="A10" s="24"/>
      <c r="B10" s="183">
        <v>41698</v>
      </c>
      <c r="C10" s="120" t="s">
        <v>184</v>
      </c>
      <c r="D10" s="120"/>
      <c r="E10" s="275"/>
      <c r="F10" s="121">
        <v>4037880</v>
      </c>
      <c r="G10" s="136">
        <f t="shared" si="0"/>
        <v>4490640</v>
      </c>
      <c r="H10" s="364"/>
      <c r="I10" s="365"/>
      <c r="J10" s="365"/>
    </row>
    <row r="11" spans="1:10">
      <c r="A11" s="24"/>
      <c r="B11" s="183">
        <v>41698</v>
      </c>
      <c r="C11" s="120" t="s">
        <v>185</v>
      </c>
      <c r="D11" s="376"/>
      <c r="E11" s="377"/>
      <c r="F11" s="121">
        <v>13860000</v>
      </c>
      <c r="G11" s="279">
        <f t="shared" si="0"/>
        <v>18350640</v>
      </c>
      <c r="H11" s="364"/>
      <c r="I11" s="365">
        <f>SUM(F8:F10)</f>
        <v>4490640</v>
      </c>
      <c r="J11" s="365"/>
    </row>
    <row r="12" spans="1:10">
      <c r="A12" s="24"/>
      <c r="B12" s="375">
        <v>41722</v>
      </c>
      <c r="C12" s="376" t="s">
        <v>220</v>
      </c>
      <c r="D12" s="376" t="s">
        <v>221</v>
      </c>
      <c r="E12" s="633">
        <v>18350640</v>
      </c>
      <c r="F12" s="223"/>
      <c r="G12" s="466">
        <f t="shared" si="0"/>
        <v>0</v>
      </c>
      <c r="H12" s="364"/>
      <c r="I12" s="365"/>
      <c r="J12" s="365"/>
    </row>
    <row r="13" spans="1:10">
      <c r="A13" s="24"/>
      <c r="B13" s="183">
        <v>41751</v>
      </c>
      <c r="C13" s="120" t="s">
        <v>374</v>
      </c>
      <c r="D13" s="120"/>
      <c r="E13" s="119"/>
      <c r="F13" s="121">
        <v>3465000</v>
      </c>
      <c r="G13" s="136">
        <f t="shared" si="0"/>
        <v>3465000</v>
      </c>
      <c r="H13" s="364"/>
      <c r="I13" s="365"/>
      <c r="J13" s="365"/>
    </row>
    <row r="14" spans="1:10">
      <c r="A14" s="24"/>
      <c r="B14" s="183">
        <v>41751</v>
      </c>
      <c r="C14" s="120" t="s">
        <v>375</v>
      </c>
      <c r="D14" s="120"/>
      <c r="E14" s="119"/>
      <c r="F14" s="121">
        <v>5377680</v>
      </c>
      <c r="G14" s="136">
        <f t="shared" si="0"/>
        <v>8842680</v>
      </c>
      <c r="H14" s="364"/>
      <c r="I14" s="365"/>
      <c r="J14" s="365"/>
    </row>
    <row r="15" spans="1:10">
      <c r="A15" s="24"/>
      <c r="B15" s="183">
        <v>41759</v>
      </c>
      <c r="C15" s="120" t="s">
        <v>376</v>
      </c>
      <c r="D15" s="120"/>
      <c r="E15" s="198"/>
      <c r="F15" s="121">
        <v>1155000</v>
      </c>
      <c r="G15" s="136">
        <f t="shared" si="0"/>
        <v>9997680</v>
      </c>
      <c r="H15" s="364"/>
      <c r="I15" s="365"/>
      <c r="J15" s="365"/>
    </row>
    <row r="16" spans="1:10">
      <c r="B16" s="289">
        <v>41759</v>
      </c>
      <c r="C16" s="290" t="s">
        <v>377</v>
      </c>
      <c r="D16" s="290"/>
      <c r="E16" s="302"/>
      <c r="F16" s="223">
        <v>3409560</v>
      </c>
      <c r="G16" s="136">
        <f t="shared" si="0"/>
        <v>13407240</v>
      </c>
      <c r="H16" s="365"/>
      <c r="I16" s="365"/>
      <c r="J16" s="365"/>
    </row>
    <row r="17" spans="2:10">
      <c r="B17" s="183">
        <v>41759</v>
      </c>
      <c r="C17" s="120" t="s">
        <v>378</v>
      </c>
      <c r="D17" s="376"/>
      <c r="E17" s="377"/>
      <c r="F17" s="121">
        <v>4620000</v>
      </c>
      <c r="G17" s="279">
        <f t="shared" si="0"/>
        <v>18027240</v>
      </c>
      <c r="H17" s="365"/>
      <c r="I17" s="365">
        <f>SUM(F15:F17)</f>
        <v>9184560</v>
      </c>
      <c r="J17" s="365"/>
    </row>
    <row r="18" spans="2:10">
      <c r="B18" s="375">
        <v>41771</v>
      </c>
      <c r="C18" s="376" t="s">
        <v>407</v>
      </c>
      <c r="D18" s="376" t="s">
        <v>408</v>
      </c>
      <c r="E18" s="377">
        <v>8842680</v>
      </c>
      <c r="F18" s="121"/>
      <c r="G18" s="136">
        <f t="shared" si="0"/>
        <v>9184560</v>
      </c>
      <c r="H18" s="365"/>
      <c r="I18" s="365"/>
      <c r="J18" s="365"/>
    </row>
    <row r="19" spans="2:10">
      <c r="B19" s="183">
        <v>41790</v>
      </c>
      <c r="C19" s="120" t="s">
        <v>487</v>
      </c>
      <c r="D19" s="376"/>
      <c r="E19" s="377"/>
      <c r="F19" s="121">
        <v>9702000</v>
      </c>
      <c r="G19" s="136">
        <f t="shared" si="0"/>
        <v>18886560</v>
      </c>
      <c r="H19" s="365"/>
      <c r="I19" s="365"/>
      <c r="J19" s="365"/>
    </row>
    <row r="20" spans="2:10">
      <c r="B20" s="183">
        <v>41790</v>
      </c>
      <c r="C20" s="120" t="s">
        <v>488</v>
      </c>
      <c r="D20" s="120"/>
      <c r="E20" s="198"/>
      <c r="F20" s="121">
        <v>4158000</v>
      </c>
      <c r="G20" s="279">
        <f t="shared" si="0"/>
        <v>23044560</v>
      </c>
      <c r="H20" s="365"/>
      <c r="I20" s="365">
        <f>SUM(F19:F20)</f>
        <v>13860000</v>
      </c>
      <c r="J20" s="365">
        <f>SUM(E18)</f>
        <v>8842680</v>
      </c>
    </row>
    <row r="21" spans="2:10">
      <c r="B21" s="375">
        <v>41794</v>
      </c>
      <c r="C21" s="376" t="s">
        <v>504</v>
      </c>
      <c r="D21" s="376" t="s">
        <v>408</v>
      </c>
      <c r="E21" s="377">
        <v>9184560</v>
      </c>
      <c r="F21" s="121"/>
      <c r="G21" s="136">
        <f t="shared" si="0"/>
        <v>13860000</v>
      </c>
      <c r="H21" s="365"/>
      <c r="I21" s="365"/>
      <c r="J21" s="365"/>
    </row>
    <row r="22" spans="2:10">
      <c r="B22" s="183">
        <v>41816</v>
      </c>
      <c r="C22" s="120" t="s">
        <v>560</v>
      </c>
      <c r="D22" s="376"/>
      <c r="E22" s="377"/>
      <c r="F22" s="121">
        <v>7428960</v>
      </c>
      <c r="G22" s="279">
        <f t="shared" si="0"/>
        <v>21288960</v>
      </c>
      <c r="H22" s="365"/>
      <c r="I22" s="365"/>
      <c r="J22" s="365"/>
    </row>
    <row r="23" spans="2:10">
      <c r="B23" s="375">
        <v>41802</v>
      </c>
      <c r="C23" s="376" t="s">
        <v>607</v>
      </c>
      <c r="D23" s="376" t="s">
        <v>505</v>
      </c>
      <c r="E23" s="377">
        <v>13860000</v>
      </c>
      <c r="F23" s="121"/>
      <c r="G23" s="279">
        <f t="shared" si="0"/>
        <v>7428960</v>
      </c>
      <c r="H23" s="365"/>
      <c r="I23" s="366">
        <f>SUM(E21:E23)</f>
        <v>23044560</v>
      </c>
      <c r="J23" s="365"/>
    </row>
    <row r="24" spans="2:10">
      <c r="B24" s="183">
        <v>41830</v>
      </c>
      <c r="C24" s="120" t="s">
        <v>628</v>
      </c>
      <c r="D24" s="120"/>
      <c r="E24" s="275"/>
      <c r="F24" s="121">
        <v>11051040</v>
      </c>
      <c r="G24" s="276">
        <f t="shared" si="0"/>
        <v>18480000</v>
      </c>
      <c r="H24" s="365"/>
      <c r="I24" s="365"/>
      <c r="J24" s="365"/>
    </row>
    <row r="25" spans="2:10">
      <c r="B25" s="375">
        <v>41836</v>
      </c>
      <c r="C25" s="376" t="s">
        <v>606</v>
      </c>
      <c r="D25" s="376" t="s">
        <v>608</v>
      </c>
      <c r="E25" s="377">
        <v>7428960</v>
      </c>
      <c r="F25" s="121"/>
      <c r="G25" s="279">
        <f t="shared" si="0"/>
        <v>11051040</v>
      </c>
      <c r="H25" s="365"/>
      <c r="I25" s="365">
        <f>SUM(F24)</f>
        <v>11051040</v>
      </c>
      <c r="J25" s="365">
        <f>SUM(E25)</f>
        <v>7428960</v>
      </c>
    </row>
    <row r="26" spans="2:10">
      <c r="B26" s="183">
        <v>41870</v>
      </c>
      <c r="C26" s="120" t="s">
        <v>703</v>
      </c>
      <c r="D26" s="120"/>
      <c r="E26" s="275"/>
      <c r="F26" s="121">
        <v>13178880</v>
      </c>
      <c r="G26" s="136">
        <f t="shared" si="0"/>
        <v>24229920</v>
      </c>
      <c r="H26" s="365"/>
      <c r="I26" s="365"/>
      <c r="J26" s="365"/>
    </row>
    <row r="27" spans="2:10">
      <c r="B27" s="289">
        <v>41873</v>
      </c>
      <c r="C27" s="120" t="s">
        <v>704</v>
      </c>
      <c r="D27" s="120"/>
      <c r="E27" s="302"/>
      <c r="F27" s="121">
        <v>2661120</v>
      </c>
      <c r="G27" s="136">
        <f t="shared" si="0"/>
        <v>26891040</v>
      </c>
      <c r="H27" s="365"/>
      <c r="I27" s="365"/>
      <c r="J27" s="365"/>
    </row>
    <row r="28" spans="2:10">
      <c r="B28" s="375">
        <v>41873</v>
      </c>
      <c r="C28" s="376" t="s">
        <v>677</v>
      </c>
      <c r="D28" s="376" t="s">
        <v>678</v>
      </c>
      <c r="E28" s="377">
        <v>11051040</v>
      </c>
      <c r="F28" s="121"/>
      <c r="G28" s="279">
        <f t="shared" si="0"/>
        <v>15840000</v>
      </c>
      <c r="H28" s="365"/>
      <c r="I28" s="365">
        <f>SUM(F26:F27)</f>
        <v>15840000</v>
      </c>
      <c r="J28" s="365"/>
    </row>
    <row r="29" spans="2:10">
      <c r="B29" s="289"/>
      <c r="C29" s="290"/>
      <c r="D29" s="290"/>
      <c r="E29" s="302"/>
      <c r="F29" s="121"/>
      <c r="G29" s="136"/>
      <c r="H29" s="365"/>
      <c r="I29" s="365"/>
      <c r="J29" s="365"/>
    </row>
    <row r="30" spans="2:10">
      <c r="B30" s="289"/>
      <c r="C30" s="290"/>
      <c r="D30" s="290"/>
      <c r="E30" s="302"/>
      <c r="F30" s="121"/>
      <c r="G30" s="279"/>
      <c r="H30" s="365"/>
      <c r="I30" s="365"/>
      <c r="J30" s="365"/>
    </row>
    <row r="31" spans="2:10">
      <c r="B31" s="183"/>
      <c r="C31" s="120"/>
      <c r="D31" s="273"/>
      <c r="E31" s="274"/>
      <c r="F31" s="121"/>
      <c r="G31" s="136"/>
      <c r="H31" s="365"/>
      <c r="I31" s="365"/>
      <c r="J31" s="365"/>
    </row>
    <row r="32" spans="2:10">
      <c r="B32" s="183"/>
      <c r="C32" s="120"/>
      <c r="D32" s="273"/>
      <c r="E32" s="274"/>
      <c r="F32" s="121"/>
      <c r="G32" s="136"/>
      <c r="H32" s="365"/>
      <c r="I32" s="365"/>
      <c r="J32" s="365"/>
    </row>
    <row r="33" spans="2:10">
      <c r="B33" s="183"/>
      <c r="C33" s="120"/>
      <c r="D33" s="273"/>
      <c r="E33" s="274"/>
      <c r="F33" s="121"/>
      <c r="G33" s="136"/>
      <c r="H33" s="365"/>
      <c r="I33" s="365"/>
      <c r="J33" s="365"/>
    </row>
    <row r="34" spans="2:10">
      <c r="B34" s="220"/>
      <c r="C34" s="221"/>
      <c r="D34" s="376"/>
      <c r="E34" s="222"/>
      <c r="F34" s="121"/>
      <c r="G34" s="279"/>
      <c r="H34" s="365"/>
      <c r="I34" s="365"/>
      <c r="J34" s="365"/>
    </row>
    <row r="35" spans="2:10">
      <c r="B35" s="183"/>
      <c r="C35" s="120"/>
      <c r="D35" s="120"/>
      <c r="E35" s="198"/>
      <c r="F35" s="121"/>
      <c r="G35" s="136"/>
      <c r="H35" s="365"/>
      <c r="I35" s="365"/>
      <c r="J35" s="365"/>
    </row>
    <row r="36" spans="2:10">
      <c r="B36" s="183"/>
      <c r="C36" s="120"/>
      <c r="D36" s="273"/>
      <c r="E36" s="274"/>
      <c r="F36" s="121"/>
      <c r="G36" s="136"/>
      <c r="H36" s="365"/>
      <c r="I36" s="365"/>
      <c r="J36" s="365"/>
    </row>
    <row r="37" spans="2:10">
      <c r="B37" s="183"/>
      <c r="C37" s="120"/>
      <c r="D37" s="120"/>
      <c r="E37" s="198"/>
      <c r="F37" s="121"/>
      <c r="G37" s="136"/>
      <c r="H37" s="365"/>
      <c r="I37" s="365"/>
      <c r="J37" s="365"/>
    </row>
    <row r="38" spans="2:10">
      <c r="B38" s="289"/>
      <c r="C38" s="290"/>
      <c r="D38" s="290"/>
      <c r="E38" s="302"/>
      <c r="F38" s="121"/>
      <c r="G38" s="136"/>
      <c r="H38" s="365"/>
      <c r="I38" s="365"/>
      <c r="J38" s="365"/>
    </row>
    <row r="39" spans="2:10">
      <c r="B39" s="289"/>
      <c r="C39" s="290"/>
      <c r="D39" s="290"/>
      <c r="E39" s="302"/>
      <c r="F39" s="121"/>
      <c r="G39" s="136"/>
      <c r="H39" s="365"/>
      <c r="I39" s="365"/>
      <c r="J39" s="365"/>
    </row>
    <row r="40" spans="2:10">
      <c r="B40" s="199"/>
      <c r="C40" s="91"/>
      <c r="D40" s="376"/>
      <c r="E40" s="222"/>
      <c r="F40" s="121"/>
      <c r="G40" s="136"/>
      <c r="H40" s="365"/>
      <c r="I40" s="365"/>
      <c r="J40" s="365"/>
    </row>
    <row r="41" spans="2:10">
      <c r="B41" s="289"/>
      <c r="C41" s="290"/>
      <c r="D41" s="290"/>
      <c r="E41" s="302"/>
      <c r="F41" s="223"/>
      <c r="G41" s="136"/>
      <c r="H41" s="365"/>
      <c r="I41" s="365"/>
      <c r="J41" s="365"/>
    </row>
    <row r="42" spans="2:10">
      <c r="B42" s="172"/>
      <c r="C42" s="93"/>
      <c r="D42" s="376"/>
      <c r="E42" s="222"/>
      <c r="F42" s="223"/>
      <c r="G42" s="136"/>
      <c r="H42" s="365"/>
      <c r="I42" s="365"/>
      <c r="J42" s="365"/>
    </row>
    <row r="43" spans="2:10">
      <c r="B43" s="172"/>
      <c r="C43" s="93"/>
      <c r="D43" s="376"/>
      <c r="E43" s="222"/>
      <c r="F43" s="223"/>
      <c r="G43" s="279"/>
      <c r="H43" s="365"/>
      <c r="I43" s="365"/>
      <c r="J43" s="365"/>
    </row>
    <row r="44" spans="2:10">
      <c r="B44" s="289"/>
      <c r="C44" s="290"/>
      <c r="D44" s="290"/>
      <c r="E44" s="302"/>
      <c r="F44" s="223"/>
      <c r="G44" s="136"/>
      <c r="H44" s="365"/>
      <c r="I44" s="365"/>
      <c r="J44" s="365"/>
    </row>
    <row r="45" spans="2:10">
      <c r="B45" s="289"/>
      <c r="C45" s="290"/>
      <c r="D45" s="290"/>
      <c r="E45" s="302"/>
      <c r="F45" s="223"/>
      <c r="G45" s="136"/>
      <c r="H45" s="365"/>
      <c r="I45" s="365"/>
      <c r="J45" s="365"/>
    </row>
    <row r="46" spans="2:10">
      <c r="B46" s="289"/>
      <c r="C46" s="290"/>
      <c r="D46" s="290"/>
      <c r="E46" s="302"/>
      <c r="F46" s="223"/>
      <c r="G46" s="136"/>
      <c r="H46" s="365"/>
      <c r="I46" s="365"/>
      <c r="J46" s="365"/>
    </row>
    <row r="47" spans="2:10">
      <c r="B47" s="289"/>
      <c r="C47" s="290"/>
      <c r="D47" s="290"/>
      <c r="E47" s="302"/>
      <c r="F47" s="223"/>
      <c r="G47" s="136"/>
      <c r="H47" s="365"/>
      <c r="I47" s="365"/>
      <c r="J47" s="365"/>
    </row>
    <row r="48" spans="2:10">
      <c r="B48" s="172"/>
      <c r="C48" s="93"/>
      <c r="D48" s="376"/>
      <c r="E48" s="222"/>
      <c r="F48" s="223"/>
      <c r="G48" s="136"/>
      <c r="H48" s="365"/>
      <c r="I48" s="365"/>
      <c r="J48" s="365"/>
    </row>
    <row r="49" spans="2:10">
      <c r="B49" s="172"/>
      <c r="C49" s="93"/>
      <c r="D49" s="376"/>
      <c r="E49" s="222"/>
      <c r="F49" s="223"/>
      <c r="G49" s="279"/>
      <c r="H49" s="365"/>
      <c r="I49" s="365"/>
      <c r="J49" s="365"/>
    </row>
    <row r="50" spans="2:10">
      <c r="B50" s="327"/>
      <c r="C50" s="328"/>
      <c r="D50" s="290"/>
      <c r="E50" s="302"/>
      <c r="F50" s="223"/>
      <c r="G50" s="500"/>
      <c r="H50" s="365"/>
      <c r="I50" s="365"/>
      <c r="J50" s="365"/>
    </row>
    <row r="51" spans="2:10">
      <c r="B51" s="508"/>
      <c r="C51" s="509"/>
      <c r="D51" s="510"/>
      <c r="E51" s="512"/>
      <c r="F51" s="223"/>
      <c r="G51" s="500"/>
      <c r="H51" s="365"/>
      <c r="I51" s="365"/>
      <c r="J51" s="365"/>
    </row>
    <row r="52" spans="2:10">
      <c r="B52" s="508"/>
      <c r="C52" s="509"/>
      <c r="D52" s="510"/>
      <c r="E52" s="512"/>
      <c r="F52" s="223"/>
      <c r="G52" s="500"/>
      <c r="H52" s="365"/>
      <c r="I52" s="365"/>
      <c r="J52" s="365"/>
    </row>
    <row r="53" spans="2:10">
      <c r="B53" s="327"/>
      <c r="C53" s="328"/>
      <c r="D53" s="290"/>
      <c r="E53" s="302"/>
      <c r="F53" s="223"/>
      <c r="G53" s="500"/>
      <c r="H53" s="365"/>
      <c r="I53" s="365"/>
      <c r="J53" s="365"/>
    </row>
    <row r="54" spans="2:10">
      <c r="B54" s="220"/>
      <c r="C54" s="149"/>
      <c r="D54" s="221"/>
      <c r="E54" s="222"/>
      <c r="F54" s="223"/>
      <c r="G54" s="511"/>
      <c r="H54" s="365"/>
      <c r="I54" s="365"/>
      <c r="J54" s="365"/>
    </row>
    <row r="55" spans="2:10">
      <c r="B55" s="289"/>
      <c r="C55" s="290"/>
      <c r="D55" s="290"/>
      <c r="E55" s="302"/>
      <c r="F55" s="223"/>
      <c r="G55" s="500"/>
      <c r="H55" s="365"/>
      <c r="I55" s="365"/>
      <c r="J55" s="365"/>
    </row>
    <row r="56" spans="2:10">
      <c r="B56" s="289"/>
      <c r="C56" s="290"/>
      <c r="D56" s="290"/>
      <c r="E56" s="302"/>
      <c r="F56" s="223"/>
      <c r="G56" s="500"/>
      <c r="H56" s="365"/>
      <c r="I56" s="365"/>
      <c r="J56" s="365"/>
    </row>
    <row r="57" spans="2:10">
      <c r="B57" s="220"/>
      <c r="C57" s="221"/>
      <c r="D57" s="221"/>
      <c r="E57" s="222"/>
      <c r="F57" s="223"/>
      <c r="G57" s="500"/>
      <c r="H57" s="365"/>
      <c r="I57" s="365"/>
      <c r="J57" s="365"/>
    </row>
    <row r="58" spans="2:10">
      <c r="B58" s="220"/>
      <c r="C58" s="221"/>
      <c r="D58" s="221"/>
      <c r="E58" s="222"/>
      <c r="F58" s="223"/>
      <c r="G58" s="511"/>
    </row>
    <row r="59" spans="2:10" ht="15.75" thickBot="1">
      <c r="B59" s="502"/>
      <c r="C59" s="503"/>
      <c r="D59" s="503"/>
      <c r="E59" s="513"/>
      <c r="F59" s="505"/>
      <c r="G59" s="514"/>
    </row>
    <row r="60" spans="2:10" ht="15.75" thickTop="1"/>
  </sheetData>
  <mergeCells count="5">
    <mergeCell ref="D4:D5"/>
    <mergeCell ref="B1:G1"/>
    <mergeCell ref="B2:G2"/>
    <mergeCell ref="I4:I5"/>
    <mergeCell ref="J4:J5"/>
  </mergeCells>
  <pageMargins left="0.47" right="0.23622047244094491" top="0.39370078740157483" bottom="0.74803149606299213" header="0.31496062992125984" footer="0.31496062992125984"/>
  <pageSetup paperSize="9" orientation="portrait" r:id="rId1"/>
  <headerFooter>
    <oddFooter>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B1:L2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7" sqref="E17"/>
    </sheetView>
  </sheetViews>
  <sheetFormatPr defaultRowHeight="15"/>
  <cols>
    <col min="1" max="1" width="3" style="40" customWidth="1"/>
    <col min="2" max="2" width="10.85546875" style="164" customWidth="1"/>
    <col min="3" max="3" width="18" style="40" customWidth="1"/>
    <col min="4" max="4" width="11.42578125" style="40" customWidth="1"/>
    <col min="5" max="5" width="12" style="52" customWidth="1"/>
    <col min="6" max="7" width="11.42578125" style="52" customWidth="1"/>
    <col min="8" max="8" width="12.42578125" style="406" customWidth="1"/>
    <col min="9" max="9" width="14" style="53" customWidth="1"/>
    <col min="10" max="10" width="2.140625" style="40" customWidth="1"/>
    <col min="11" max="11" width="15.5703125" style="104" customWidth="1"/>
    <col min="12" max="12" width="16.7109375" style="104" bestFit="1" customWidth="1"/>
    <col min="13" max="16384" width="9.140625" style="40"/>
  </cols>
  <sheetData>
    <row r="1" spans="2:12" ht="18.75">
      <c r="B1" s="672" t="s">
        <v>33</v>
      </c>
      <c r="C1" s="672"/>
      <c r="D1" s="672"/>
      <c r="E1" s="672"/>
      <c r="F1" s="672"/>
      <c r="G1" s="672"/>
      <c r="H1" s="672"/>
      <c r="I1" s="672"/>
    </row>
    <row r="2" spans="2:12" ht="18.75">
      <c r="B2" s="672" t="s">
        <v>46</v>
      </c>
      <c r="C2" s="672"/>
      <c r="D2" s="672"/>
      <c r="E2" s="672"/>
      <c r="F2" s="672"/>
      <c r="G2" s="672"/>
      <c r="H2" s="672"/>
      <c r="I2" s="672"/>
    </row>
    <row r="3" spans="2:12" ht="15.75" thickBot="1">
      <c r="B3" s="158"/>
      <c r="C3" s="41"/>
      <c r="F3" s="42"/>
      <c r="G3" s="42"/>
      <c r="H3" s="401"/>
      <c r="I3" s="43"/>
    </row>
    <row r="4" spans="2:12" ht="15.75" customHeight="1" thickTop="1">
      <c r="B4" s="159" t="s">
        <v>10</v>
      </c>
      <c r="C4" s="45" t="s">
        <v>11</v>
      </c>
      <c r="D4" s="680" t="s">
        <v>9</v>
      </c>
      <c r="E4" s="681"/>
      <c r="F4" s="678" t="s">
        <v>13</v>
      </c>
      <c r="G4" s="679"/>
      <c r="H4" s="678" t="s">
        <v>8</v>
      </c>
      <c r="I4" s="679"/>
      <c r="K4" s="675" t="s">
        <v>22</v>
      </c>
      <c r="L4" s="675" t="s">
        <v>23</v>
      </c>
    </row>
    <row r="5" spans="2:12" ht="15.75" thickBot="1">
      <c r="B5" s="160" t="s">
        <v>14</v>
      </c>
      <c r="C5" s="47" t="s">
        <v>15</v>
      </c>
      <c r="D5" s="48" t="s">
        <v>30</v>
      </c>
      <c r="E5" s="408" t="s">
        <v>16</v>
      </c>
      <c r="F5" s="48" t="s">
        <v>30</v>
      </c>
      <c r="G5" s="408" t="s">
        <v>16</v>
      </c>
      <c r="H5" s="402" t="s">
        <v>30</v>
      </c>
      <c r="I5" s="48" t="s">
        <v>16</v>
      </c>
      <c r="K5" s="675"/>
      <c r="L5" s="675"/>
    </row>
    <row r="6" spans="2:12" ht="15.75" thickTop="1">
      <c r="B6" s="161"/>
      <c r="C6" s="93"/>
      <c r="D6" s="94"/>
      <c r="E6" s="417"/>
      <c r="F6" s="92"/>
      <c r="G6" s="150"/>
      <c r="H6" s="403"/>
      <c r="I6" s="37"/>
    </row>
    <row r="7" spans="2:12" s="321" customFormat="1">
      <c r="B7" s="162">
        <v>41639</v>
      </c>
      <c r="C7" s="145" t="s">
        <v>25</v>
      </c>
      <c r="D7" s="147"/>
      <c r="E7" s="150"/>
      <c r="F7" s="407">
        <v>5399.8199999999988</v>
      </c>
      <c r="G7" s="150">
        <v>64499807.889999971</v>
      </c>
      <c r="H7" s="413">
        <f>F7</f>
        <v>5399.8199999999988</v>
      </c>
      <c r="I7" s="338">
        <f>G7</f>
        <v>64499807.889999971</v>
      </c>
      <c r="K7" s="272"/>
      <c r="L7" s="272"/>
    </row>
    <row r="8" spans="2:12">
      <c r="B8" s="370">
        <v>41646</v>
      </c>
      <c r="C8" s="371" t="s">
        <v>97</v>
      </c>
      <c r="D8" s="396">
        <v>5399.82</v>
      </c>
      <c r="E8" s="417">
        <v>64499808</v>
      </c>
      <c r="F8" s="397"/>
      <c r="G8" s="150"/>
      <c r="H8" s="414">
        <f>H7-D8</f>
        <v>0</v>
      </c>
      <c r="I8" s="420">
        <f>I7+G8-E8</f>
        <v>-0.11000002920627594</v>
      </c>
    </row>
    <row r="9" spans="2:12">
      <c r="B9" s="201">
        <v>41680</v>
      </c>
      <c r="C9" s="38" t="s">
        <v>186</v>
      </c>
      <c r="D9" s="396"/>
      <c r="E9" s="417"/>
      <c r="F9" s="397">
        <v>6400.32</v>
      </c>
      <c r="G9" s="150">
        <f>F9*12251</f>
        <v>78410320.319999993</v>
      </c>
      <c r="H9" s="575">
        <f>F9</f>
        <v>6400.32</v>
      </c>
      <c r="I9" s="474">
        <f>G9</f>
        <v>78410320.319999993</v>
      </c>
      <c r="J9" s="321"/>
      <c r="K9" s="272"/>
      <c r="L9" s="272">
        <f>SUM(E8:E9)</f>
        <v>64499808</v>
      </c>
    </row>
    <row r="10" spans="2:12">
      <c r="B10" s="370">
        <v>41703</v>
      </c>
      <c r="C10" s="371" t="s">
        <v>150</v>
      </c>
      <c r="D10" s="396">
        <v>6400.32</v>
      </c>
      <c r="E10" s="417">
        <v>78410320</v>
      </c>
      <c r="F10" s="397"/>
      <c r="G10" s="150"/>
      <c r="H10" s="414">
        <f>H9-D10</f>
        <v>0</v>
      </c>
      <c r="I10" s="420">
        <f>I9-E10</f>
        <v>0.31999999284744263</v>
      </c>
      <c r="J10" s="321"/>
      <c r="K10" s="272"/>
      <c r="L10" s="272"/>
    </row>
    <row r="11" spans="2:12">
      <c r="B11" s="201">
        <v>41702</v>
      </c>
      <c r="C11" s="38" t="s">
        <v>285</v>
      </c>
      <c r="D11" s="397"/>
      <c r="E11" s="150"/>
      <c r="F11" s="397">
        <v>5501.32</v>
      </c>
      <c r="G11" s="150">
        <f>11596*F11</f>
        <v>63793306.719999999</v>
      </c>
      <c r="H11" s="403">
        <f>F11</f>
        <v>5501.32</v>
      </c>
      <c r="I11" s="196">
        <f>G11</f>
        <v>63793306.719999999</v>
      </c>
      <c r="J11" s="321"/>
      <c r="K11" s="272"/>
      <c r="L11" s="272"/>
    </row>
    <row r="12" spans="2:12">
      <c r="B12" s="370">
        <v>41710</v>
      </c>
      <c r="C12" s="371" t="s">
        <v>244</v>
      </c>
      <c r="D12" s="396">
        <v>5501.32</v>
      </c>
      <c r="E12" s="417">
        <v>63793307</v>
      </c>
      <c r="F12" s="397"/>
      <c r="G12" s="150"/>
      <c r="H12" s="414">
        <f>H11-D12</f>
        <v>0</v>
      </c>
      <c r="I12" s="420">
        <f>I11-E12</f>
        <v>-0.2800000011920929</v>
      </c>
      <c r="J12" s="321"/>
      <c r="K12" s="423"/>
      <c r="L12" s="272"/>
    </row>
    <row r="13" spans="2:12">
      <c r="B13" s="201">
        <v>41768</v>
      </c>
      <c r="C13" s="38" t="s">
        <v>491</v>
      </c>
      <c r="D13" s="396"/>
      <c r="E13" s="395"/>
      <c r="F13" s="397">
        <v>5630.04</v>
      </c>
      <c r="G13" s="320">
        <f>F13*11537</f>
        <v>64953771.479999997</v>
      </c>
      <c r="H13" s="630">
        <f t="shared" ref="H13:I15" si="0">F13</f>
        <v>5630.04</v>
      </c>
      <c r="I13" s="629">
        <f t="shared" si="0"/>
        <v>64953771.479999997</v>
      </c>
      <c r="J13" s="321"/>
      <c r="K13" s="272"/>
      <c r="L13" s="272"/>
    </row>
    <row r="14" spans="2:12">
      <c r="B14" s="370">
        <v>41780</v>
      </c>
      <c r="C14" s="371" t="s">
        <v>497</v>
      </c>
      <c r="D14" s="396">
        <v>5630.04</v>
      </c>
      <c r="E14" s="395">
        <v>64953771</v>
      </c>
      <c r="F14" s="397"/>
      <c r="G14" s="320"/>
      <c r="H14" s="414">
        <f t="shared" si="0"/>
        <v>0</v>
      </c>
      <c r="I14" s="457">
        <f t="shared" si="0"/>
        <v>0</v>
      </c>
      <c r="J14" s="321"/>
      <c r="K14" s="272"/>
      <c r="L14" s="272"/>
    </row>
    <row r="15" spans="2:12">
      <c r="B15" s="201">
        <v>41850</v>
      </c>
      <c r="C15" s="38" t="s">
        <v>639</v>
      </c>
      <c r="D15" s="397"/>
      <c r="E15" s="320"/>
      <c r="F15" s="397">
        <v>5342.97</v>
      </c>
      <c r="G15" s="320">
        <v>63036360.060000002</v>
      </c>
      <c r="H15" s="410">
        <f t="shared" si="0"/>
        <v>5342.97</v>
      </c>
      <c r="I15" s="409">
        <f t="shared" si="0"/>
        <v>63036360.060000002</v>
      </c>
      <c r="J15" s="321"/>
      <c r="K15" s="272"/>
      <c r="L15" s="272"/>
    </row>
    <row r="16" spans="2:12">
      <c r="B16" s="370">
        <v>41876</v>
      </c>
      <c r="C16" s="371" t="s">
        <v>683</v>
      </c>
      <c r="D16" s="396">
        <v>5342.97</v>
      </c>
      <c r="E16" s="395">
        <v>63036360</v>
      </c>
      <c r="F16" s="397"/>
      <c r="G16" s="320"/>
      <c r="H16" s="414">
        <f>H15+F16-D16</f>
        <v>0</v>
      </c>
      <c r="I16" s="420">
        <f>I15+G16-E16</f>
        <v>6.0000002384185791E-2</v>
      </c>
      <c r="J16" s="321"/>
      <c r="K16" s="272"/>
      <c r="L16" s="272"/>
    </row>
    <row r="17" spans="2:12">
      <c r="B17" s="201"/>
      <c r="C17" s="38"/>
      <c r="D17" s="397"/>
      <c r="E17" s="320"/>
      <c r="F17" s="397"/>
      <c r="G17" s="320"/>
      <c r="H17" s="403"/>
      <c r="I17" s="409"/>
      <c r="J17" s="321"/>
      <c r="K17" s="272"/>
      <c r="L17" s="272"/>
    </row>
    <row r="18" spans="2:12">
      <c r="B18" s="370"/>
      <c r="C18" s="371"/>
      <c r="D18" s="396"/>
      <c r="E18" s="395"/>
      <c r="F18" s="397"/>
      <c r="G18" s="320"/>
      <c r="H18" s="414"/>
      <c r="I18" s="420"/>
      <c r="J18" s="321"/>
      <c r="K18" s="272"/>
      <c r="L18" s="272"/>
    </row>
    <row r="19" spans="2:12">
      <c r="B19" s="201"/>
      <c r="C19" s="38"/>
      <c r="D19" s="396"/>
      <c r="E19" s="395"/>
      <c r="F19" s="397"/>
      <c r="G19" s="320"/>
      <c r="H19" s="403"/>
      <c r="I19" s="409"/>
      <c r="J19" s="321"/>
      <c r="K19" s="272"/>
      <c r="L19" s="272"/>
    </row>
    <row r="20" spans="2:12">
      <c r="B20" s="322"/>
      <c r="C20" s="324"/>
      <c r="D20" s="400"/>
      <c r="E20" s="320"/>
      <c r="F20" s="400"/>
      <c r="G20" s="320"/>
      <c r="H20" s="403"/>
      <c r="I20" s="196"/>
      <c r="J20" s="321"/>
      <c r="K20" s="272"/>
      <c r="L20" s="272"/>
    </row>
    <row r="21" spans="2:12">
      <c r="B21" s="411"/>
      <c r="C21" s="458"/>
      <c r="D21" s="459"/>
      <c r="E21" s="395"/>
      <c r="F21" s="400"/>
      <c r="G21" s="320"/>
      <c r="H21" s="410"/>
      <c r="I21" s="409"/>
      <c r="J21" s="321"/>
      <c r="K21" s="272"/>
      <c r="L21" s="272"/>
    </row>
    <row r="22" spans="2:12">
      <c r="B22" s="322"/>
      <c r="C22" s="324"/>
      <c r="D22" s="400"/>
      <c r="E22" s="320"/>
      <c r="F22" s="400"/>
      <c r="G22" s="320"/>
      <c r="H22" s="403"/>
      <c r="I22" s="196"/>
      <c r="J22" s="321"/>
      <c r="K22" s="272"/>
      <c r="L22" s="272"/>
    </row>
    <row r="23" spans="2:12">
      <c r="B23" s="411"/>
      <c r="C23" s="458"/>
      <c r="D23" s="459"/>
      <c r="E23" s="395"/>
      <c r="F23" s="400"/>
      <c r="G23" s="320"/>
      <c r="H23" s="410"/>
      <c r="I23" s="409"/>
      <c r="J23" s="321"/>
      <c r="K23" s="272"/>
      <c r="L23" s="272"/>
    </row>
    <row r="24" spans="2:12" ht="15.75" thickBot="1">
      <c r="B24" s="303"/>
      <c r="C24" s="304"/>
      <c r="D24" s="304"/>
      <c r="E24" s="61"/>
      <c r="F24" s="483"/>
      <c r="G24" s="483"/>
      <c r="H24" s="401"/>
      <c r="I24" s="305"/>
      <c r="J24" s="321"/>
      <c r="K24" s="272"/>
      <c r="L24" s="272"/>
    </row>
    <row r="25" spans="2:12" ht="15.75" thickTop="1"/>
  </sheetData>
  <mergeCells count="7">
    <mergeCell ref="L4:L5"/>
    <mergeCell ref="B1:I1"/>
    <mergeCell ref="B2:I2"/>
    <mergeCell ref="D4:E4"/>
    <mergeCell ref="F4:G4"/>
    <mergeCell ref="H4:I4"/>
    <mergeCell ref="K4:K5"/>
  </mergeCells>
  <pageMargins left="0.43" right="0.33" top="0.39370078740157483" bottom="0.62992125984251968" header="0.31496062992125984" footer="0.51181102362204722"/>
  <pageSetup paperSize="9" scale="90" orientation="portrait" r:id="rId1"/>
  <headerFooter>
    <oddFooter>Page 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B1:J35"/>
  <sheetViews>
    <sheetView workbookViewId="0">
      <selection activeCell="B1" sqref="B1:G8"/>
    </sheetView>
  </sheetViews>
  <sheetFormatPr defaultRowHeight="15"/>
  <cols>
    <col min="1" max="1" width="2.85546875" style="1" customWidth="1"/>
    <col min="2" max="2" width="12.42578125" style="189" customWidth="1"/>
    <col min="3" max="3" width="17.7109375" style="1" customWidth="1"/>
    <col min="4" max="4" width="22.7109375" style="1" customWidth="1"/>
    <col min="5" max="5" width="13.7109375" style="8" customWidth="1"/>
    <col min="6" max="6" width="14.140625" style="15" customWidth="1"/>
    <col min="7" max="7" width="13.85546875" style="4" customWidth="1"/>
    <col min="8" max="8" width="4.42578125" style="1" customWidth="1"/>
    <col min="9" max="9" width="14.140625" style="1" bestFit="1" customWidth="1"/>
    <col min="10" max="10" width="14.85546875" style="1" customWidth="1"/>
    <col min="11" max="16384" width="9.140625" style="1"/>
  </cols>
  <sheetData>
    <row r="1" spans="2:10" ht="18.75">
      <c r="B1" s="682" t="s">
        <v>6</v>
      </c>
      <c r="C1" s="682"/>
      <c r="D1" s="682"/>
      <c r="E1" s="682"/>
      <c r="F1" s="682"/>
      <c r="G1" s="682"/>
    </row>
    <row r="2" spans="2:10" ht="18.75">
      <c r="B2" s="682" t="s">
        <v>46</v>
      </c>
      <c r="C2" s="682"/>
      <c r="D2" s="682"/>
      <c r="E2" s="682"/>
      <c r="F2" s="682"/>
      <c r="G2" s="682"/>
    </row>
    <row r="3" spans="2:10" ht="15.75" thickBot="1">
      <c r="B3" s="185"/>
      <c r="C3" s="2"/>
      <c r="D3" s="2"/>
      <c r="E3" s="6"/>
      <c r="F3" s="16"/>
      <c r="G3" s="3"/>
    </row>
    <row r="4" spans="2:10" ht="15.75" customHeight="1" thickTop="1">
      <c r="B4" s="154" t="s">
        <v>10</v>
      </c>
      <c r="C4" s="33" t="s">
        <v>11</v>
      </c>
      <c r="D4" s="669" t="s">
        <v>12</v>
      </c>
      <c r="E4" s="32" t="s">
        <v>9</v>
      </c>
      <c r="F4" s="32" t="s">
        <v>13</v>
      </c>
      <c r="G4" s="33" t="s">
        <v>8</v>
      </c>
      <c r="I4" s="671" t="s">
        <v>22</v>
      </c>
      <c r="J4" s="671" t="s">
        <v>23</v>
      </c>
    </row>
    <row r="5" spans="2:10" ht="15.75" thickBot="1">
      <c r="B5" s="155" t="s">
        <v>14</v>
      </c>
      <c r="C5" s="35" t="s">
        <v>15</v>
      </c>
      <c r="D5" s="670"/>
      <c r="E5" s="36" t="s">
        <v>16</v>
      </c>
      <c r="F5" s="36" t="s">
        <v>16</v>
      </c>
      <c r="G5" s="34" t="s">
        <v>17</v>
      </c>
      <c r="I5" s="671"/>
      <c r="J5" s="671"/>
    </row>
    <row r="6" spans="2:10" ht="15.75" thickTop="1">
      <c r="B6" s="186"/>
      <c r="C6" s="125"/>
      <c r="D6" s="125"/>
      <c r="E6" s="124"/>
      <c r="F6" s="118"/>
      <c r="G6" s="122"/>
    </row>
    <row r="7" spans="2:10">
      <c r="B7" s="257">
        <v>41639</v>
      </c>
      <c r="C7" s="258" t="s">
        <v>25</v>
      </c>
      <c r="D7" s="127"/>
      <c r="E7" s="124"/>
      <c r="F7" s="126">
        <v>1875897</v>
      </c>
      <c r="G7" s="123">
        <f>F7</f>
        <v>1875897</v>
      </c>
    </row>
    <row r="8" spans="2:10">
      <c r="B8" s="161">
        <v>41703</v>
      </c>
      <c r="C8" s="376" t="s">
        <v>151</v>
      </c>
      <c r="D8" s="376" t="s">
        <v>56</v>
      </c>
      <c r="E8" s="377">
        <v>1875897</v>
      </c>
      <c r="F8" s="126"/>
      <c r="G8" s="577">
        <f t="shared" ref="G8:G13" si="0">G7+F8-E8</f>
        <v>0</v>
      </c>
    </row>
    <row r="9" spans="2:10">
      <c r="B9" s="156"/>
      <c r="C9" s="127"/>
      <c r="D9" s="127"/>
      <c r="E9" s="124"/>
      <c r="F9" s="126"/>
      <c r="G9" s="276">
        <f t="shared" si="0"/>
        <v>0</v>
      </c>
      <c r="I9" s="1">
        <f>SUM(F8:F9)</f>
        <v>0</v>
      </c>
    </row>
    <row r="10" spans="2:10">
      <c r="B10" s="220"/>
      <c r="C10" s="221"/>
      <c r="D10" s="221"/>
      <c r="E10" s="222"/>
      <c r="F10" s="278"/>
      <c r="G10" s="276">
        <f t="shared" si="0"/>
        <v>0</v>
      </c>
    </row>
    <row r="11" spans="2:10">
      <c r="B11" s="183"/>
      <c r="C11" s="120"/>
      <c r="D11" s="120"/>
      <c r="E11" s="119"/>
      <c r="F11" s="275"/>
      <c r="G11" s="276">
        <f t="shared" si="0"/>
        <v>0</v>
      </c>
    </row>
    <row r="12" spans="2:10">
      <c r="B12" s="183"/>
      <c r="C12" s="120"/>
      <c r="D12" s="120"/>
      <c r="E12" s="119"/>
      <c r="F12" s="275"/>
      <c r="G12" s="276">
        <f t="shared" si="0"/>
        <v>0</v>
      </c>
    </row>
    <row r="13" spans="2:10">
      <c r="B13" s="183"/>
      <c r="C13" s="275"/>
      <c r="D13" s="120"/>
      <c r="E13" s="119"/>
      <c r="F13" s="275"/>
      <c r="G13" s="276">
        <f t="shared" si="0"/>
        <v>0</v>
      </c>
    </row>
    <row r="14" spans="2:10">
      <c r="B14" s="434"/>
      <c r="C14" s="435"/>
      <c r="D14" s="297"/>
      <c r="E14" s="298"/>
      <c r="F14" s="275"/>
      <c r="G14" s="276">
        <f t="shared" ref="G14:G22" si="1">G13+F14-E14</f>
        <v>0</v>
      </c>
      <c r="I14" s="1">
        <f>SUM(F13:F14)</f>
        <v>0</v>
      </c>
    </row>
    <row r="15" spans="2:10">
      <c r="B15" s="375"/>
      <c r="C15" s="221"/>
      <c r="D15" s="221"/>
      <c r="E15" s="377"/>
      <c r="F15" s="275"/>
      <c r="G15" s="276">
        <f>G14+F15-E15</f>
        <v>0</v>
      </c>
    </row>
    <row r="16" spans="2:10">
      <c r="B16" s="183"/>
      <c r="C16" s="120"/>
      <c r="D16" s="120"/>
      <c r="E16" s="119"/>
      <c r="F16" s="275"/>
      <c r="G16" s="276">
        <f t="shared" si="1"/>
        <v>0</v>
      </c>
    </row>
    <row r="17" spans="2:7">
      <c r="B17" s="183"/>
      <c r="C17" s="290"/>
      <c r="D17" s="290"/>
      <c r="E17" s="275"/>
      <c r="F17" s="330"/>
      <c r="G17" s="276">
        <f t="shared" si="1"/>
        <v>0</v>
      </c>
    </row>
    <row r="18" spans="2:7">
      <c r="B18" s="375"/>
      <c r="C18" s="221"/>
      <c r="D18" s="221"/>
      <c r="E18" s="377"/>
      <c r="F18" s="330"/>
      <c r="G18" s="276">
        <f t="shared" si="1"/>
        <v>0</v>
      </c>
    </row>
    <row r="19" spans="2:7">
      <c r="B19" s="375"/>
      <c r="C19" s="221"/>
      <c r="D19" s="221"/>
      <c r="E19" s="377"/>
      <c r="F19" s="330"/>
      <c r="G19" s="276">
        <f t="shared" si="1"/>
        <v>0</v>
      </c>
    </row>
    <row r="20" spans="2:7">
      <c r="B20" s="375"/>
      <c r="C20" s="221"/>
      <c r="D20" s="221"/>
      <c r="E20" s="377"/>
      <c r="F20" s="275"/>
      <c r="G20" s="276">
        <f t="shared" si="1"/>
        <v>0</v>
      </c>
    </row>
    <row r="21" spans="2:7">
      <c r="B21" s="375"/>
      <c r="C21" s="221"/>
      <c r="D21" s="221"/>
      <c r="E21" s="377"/>
      <c r="F21" s="330"/>
      <c r="G21" s="276">
        <f t="shared" si="1"/>
        <v>0</v>
      </c>
    </row>
    <row r="22" spans="2:7">
      <c r="B22" s="289"/>
      <c r="C22" s="290"/>
      <c r="D22" s="221"/>
      <c r="E22" s="222"/>
      <c r="F22" s="330"/>
      <c r="G22" s="546">
        <f t="shared" si="1"/>
        <v>0</v>
      </c>
    </row>
    <row r="23" spans="2:7" ht="15.75" thickBot="1">
      <c r="B23" s="515"/>
      <c r="C23" s="516"/>
      <c r="D23" s="516"/>
      <c r="E23" s="517"/>
      <c r="F23" s="278"/>
      <c r="G23" s="518"/>
    </row>
    <row r="24" spans="2:7" ht="15.75" thickTop="1">
      <c r="B24" s="187"/>
      <c r="C24" s="22"/>
      <c r="D24" s="22"/>
      <c r="E24" s="28"/>
      <c r="F24" s="23"/>
      <c r="G24" s="26"/>
    </row>
    <row r="25" spans="2:7">
      <c r="B25" s="188"/>
      <c r="C25" s="24"/>
      <c r="D25" s="24"/>
      <c r="E25" s="29"/>
      <c r="F25" s="25"/>
      <c r="G25" s="27"/>
    </row>
    <row r="26" spans="2:7">
      <c r="B26" s="188"/>
      <c r="C26" s="24"/>
      <c r="D26" s="24"/>
      <c r="E26" s="29"/>
      <c r="F26" s="25"/>
      <c r="G26" s="27"/>
    </row>
    <row r="27" spans="2:7">
      <c r="B27" s="188"/>
      <c r="C27" s="24"/>
      <c r="D27" s="24"/>
      <c r="E27" s="29"/>
      <c r="F27" s="25"/>
      <c r="G27" s="27"/>
    </row>
    <row r="28" spans="2:7">
      <c r="B28" s="188"/>
      <c r="C28" s="24"/>
      <c r="D28" s="24"/>
      <c r="E28" s="29"/>
      <c r="F28" s="25"/>
      <c r="G28" s="27"/>
    </row>
    <row r="29" spans="2:7">
      <c r="B29" s="188"/>
      <c r="C29" s="24"/>
      <c r="D29" s="24"/>
      <c r="E29" s="29"/>
      <c r="F29" s="25"/>
      <c r="G29" s="27"/>
    </row>
    <row r="30" spans="2:7">
      <c r="B30" s="188"/>
      <c r="C30" s="24"/>
      <c r="D30" s="24"/>
      <c r="E30" s="29"/>
      <c r="F30" s="25"/>
      <c r="G30" s="27"/>
    </row>
    <row r="31" spans="2:7">
      <c r="B31" s="188"/>
      <c r="C31" s="24"/>
      <c r="D31" s="24"/>
      <c r="E31" s="29"/>
      <c r="F31" s="25"/>
      <c r="G31" s="27"/>
    </row>
    <row r="32" spans="2:7">
      <c r="B32" s="188"/>
      <c r="C32" s="24"/>
      <c r="D32" s="24"/>
      <c r="E32" s="29"/>
      <c r="F32" s="25"/>
      <c r="G32" s="27"/>
    </row>
    <row r="33" spans="2:7">
      <c r="B33" s="188"/>
      <c r="C33" s="24"/>
      <c r="D33" s="24"/>
      <c r="E33" s="29"/>
      <c r="F33" s="25"/>
      <c r="G33" s="27"/>
    </row>
    <row r="34" spans="2:7">
      <c r="B34" s="188"/>
      <c r="C34" s="24"/>
      <c r="D34" s="24"/>
      <c r="E34" s="29"/>
      <c r="F34" s="25"/>
      <c r="G34" s="27"/>
    </row>
    <row r="35" spans="2:7">
      <c r="B35" s="188"/>
      <c r="C35" s="24"/>
      <c r="D35" s="24"/>
      <c r="E35" s="29"/>
      <c r="F35" s="25"/>
      <c r="G35" s="27"/>
    </row>
  </sheetData>
  <mergeCells count="5">
    <mergeCell ref="D4:D5"/>
    <mergeCell ref="B1:G1"/>
    <mergeCell ref="B2:G2"/>
    <mergeCell ref="I4:I5"/>
    <mergeCell ref="J4:J5"/>
  </mergeCells>
  <pageMargins left="0.47" right="0.23622047244094491" top="0.43307086614173229" bottom="0.74803149606299213" header="0.31496062992125984" footer="0.31496062992125984"/>
  <pageSetup paperSize="9" orientation="portrait" r:id="rId1"/>
  <headerFooter>
    <oddFooter>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B1:L2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3" sqref="B1:B1048576"/>
    </sheetView>
  </sheetViews>
  <sheetFormatPr defaultRowHeight="15"/>
  <cols>
    <col min="1" max="1" width="3" style="40" customWidth="1"/>
    <col min="2" max="2" width="11.7109375" style="697" customWidth="1"/>
    <col min="3" max="3" width="20.42578125" style="40" customWidth="1"/>
    <col min="4" max="4" width="11.7109375" style="40" customWidth="1"/>
    <col min="5" max="5" width="11.42578125" style="40" customWidth="1"/>
    <col min="6" max="7" width="11.7109375" style="52" customWidth="1"/>
    <col min="8" max="8" width="12.28515625" style="406" customWidth="1"/>
    <col min="9" max="9" width="14.140625" style="53" customWidth="1"/>
    <col min="10" max="10" width="2.140625" style="40" customWidth="1"/>
    <col min="11" max="11" width="15.5703125" style="104" customWidth="1"/>
    <col min="12" max="12" width="16.7109375" style="104" bestFit="1" customWidth="1"/>
    <col min="13" max="16384" width="9.140625" style="40"/>
  </cols>
  <sheetData>
    <row r="1" spans="2:12" ht="18.75">
      <c r="B1" s="672" t="s">
        <v>286</v>
      </c>
      <c r="C1" s="672"/>
      <c r="D1" s="672"/>
      <c r="E1" s="672"/>
      <c r="F1" s="672"/>
      <c r="G1" s="672"/>
      <c r="H1" s="672"/>
      <c r="I1" s="672"/>
    </row>
    <row r="2" spans="2:12" ht="18.75">
      <c r="B2" s="672" t="s">
        <v>46</v>
      </c>
      <c r="C2" s="672"/>
      <c r="D2" s="672"/>
      <c r="E2" s="672"/>
      <c r="F2" s="672"/>
      <c r="G2" s="672"/>
      <c r="H2" s="672"/>
      <c r="I2" s="672"/>
    </row>
    <row r="3" spans="2:12" ht="15.75" thickBot="1">
      <c r="B3" s="687"/>
      <c r="C3" s="41"/>
      <c r="F3" s="42"/>
      <c r="G3" s="42"/>
      <c r="H3" s="401"/>
      <c r="I3" s="43"/>
    </row>
    <row r="4" spans="2:12" ht="15.75" customHeight="1" thickTop="1">
      <c r="B4" s="688" t="s">
        <v>10</v>
      </c>
      <c r="C4" s="45" t="s">
        <v>11</v>
      </c>
      <c r="D4" s="680" t="s">
        <v>9</v>
      </c>
      <c r="E4" s="681"/>
      <c r="F4" s="678" t="s">
        <v>13</v>
      </c>
      <c r="G4" s="679"/>
      <c r="H4" s="678" t="s">
        <v>8</v>
      </c>
      <c r="I4" s="679"/>
      <c r="K4" s="675" t="s">
        <v>22</v>
      </c>
      <c r="L4" s="675" t="s">
        <v>23</v>
      </c>
    </row>
    <row r="5" spans="2:12" ht="15.75" thickBot="1">
      <c r="B5" s="689" t="s">
        <v>14</v>
      </c>
      <c r="C5" s="47" t="s">
        <v>15</v>
      </c>
      <c r="D5" s="48" t="s">
        <v>30</v>
      </c>
      <c r="E5" s="48" t="s">
        <v>16</v>
      </c>
      <c r="F5" s="48" t="s">
        <v>30</v>
      </c>
      <c r="G5" s="408" t="s">
        <v>16</v>
      </c>
      <c r="H5" s="428" t="s">
        <v>30</v>
      </c>
      <c r="I5" s="408" t="s">
        <v>16</v>
      </c>
      <c r="K5" s="675"/>
      <c r="L5" s="675"/>
    </row>
    <row r="6" spans="2:12" ht="15.75" thickTop="1">
      <c r="B6" s="690"/>
      <c r="C6" s="93"/>
      <c r="D6" s="94"/>
      <c r="E6" s="195"/>
      <c r="F6" s="92"/>
      <c r="G6" s="150"/>
      <c r="H6" s="403"/>
      <c r="I6" s="628"/>
    </row>
    <row r="7" spans="2:12" s="321" customFormat="1">
      <c r="B7" s="691">
        <v>41639</v>
      </c>
      <c r="C7" s="258" t="s">
        <v>25</v>
      </c>
      <c r="D7" s="147"/>
      <c r="E7" s="147"/>
      <c r="F7" s="407"/>
      <c r="G7" s="150"/>
      <c r="H7" s="574">
        <f>H6+F7-D7</f>
        <v>0</v>
      </c>
      <c r="I7" s="629">
        <f>G7</f>
        <v>0</v>
      </c>
      <c r="K7" s="272"/>
      <c r="L7" s="272"/>
    </row>
    <row r="8" spans="2:12">
      <c r="B8" s="692">
        <v>41717</v>
      </c>
      <c r="C8" s="207" t="s">
        <v>287</v>
      </c>
      <c r="D8" s="397"/>
      <c r="E8" s="147"/>
      <c r="F8" s="397">
        <v>4265.3500000000004</v>
      </c>
      <c r="G8" s="150">
        <v>49460998.600000001</v>
      </c>
      <c r="H8" s="574">
        <f>H7+F8</f>
        <v>4265.3500000000004</v>
      </c>
      <c r="I8" s="474">
        <f>I7+G8</f>
        <v>49460998.600000001</v>
      </c>
    </row>
    <row r="9" spans="2:12">
      <c r="B9" s="692">
        <v>41745</v>
      </c>
      <c r="C9" s="38" t="s">
        <v>383</v>
      </c>
      <c r="D9" s="397"/>
      <c r="E9" s="147"/>
      <c r="F9" s="397">
        <v>21444.9</v>
      </c>
      <c r="G9" s="150">
        <v>241705467.90000001</v>
      </c>
      <c r="H9" s="630">
        <f>H8+F9</f>
        <v>25710.25</v>
      </c>
      <c r="I9" s="629">
        <f>I8+G9</f>
        <v>291166466.5</v>
      </c>
      <c r="J9" s="321"/>
      <c r="K9" s="272"/>
      <c r="L9" s="272"/>
    </row>
    <row r="10" spans="2:12">
      <c r="B10" s="693">
        <v>41757</v>
      </c>
      <c r="C10" s="371" t="s">
        <v>328</v>
      </c>
      <c r="D10" s="396">
        <v>4265.3500000000004</v>
      </c>
      <c r="E10" s="195">
        <v>49460999</v>
      </c>
      <c r="F10" s="396"/>
      <c r="G10" s="150"/>
      <c r="H10" s="630">
        <f>H9+F10-D10</f>
        <v>21444.9</v>
      </c>
      <c r="I10" s="629">
        <f>I9-E10</f>
        <v>241705467.5</v>
      </c>
      <c r="J10" s="321"/>
      <c r="K10" s="272"/>
      <c r="L10" s="272"/>
    </row>
    <row r="11" spans="2:12">
      <c r="B11" s="693">
        <v>41757</v>
      </c>
      <c r="C11" s="371" t="s">
        <v>328</v>
      </c>
      <c r="D11" s="396">
        <v>21444.9</v>
      </c>
      <c r="E11" s="195">
        <v>241705468</v>
      </c>
      <c r="F11" s="397"/>
      <c r="G11" s="150"/>
      <c r="H11" s="414">
        <f>H10-D11</f>
        <v>0</v>
      </c>
      <c r="I11" s="457">
        <v>0</v>
      </c>
      <c r="J11" s="321"/>
      <c r="K11" s="272"/>
      <c r="L11" s="272"/>
    </row>
    <row r="12" spans="2:12">
      <c r="B12" s="692">
        <v>41773</v>
      </c>
      <c r="C12" s="38" t="s">
        <v>492</v>
      </c>
      <c r="D12" s="396"/>
      <c r="E12" s="147"/>
      <c r="F12" s="397">
        <v>11767.8</v>
      </c>
      <c r="G12" s="150">
        <f>F12*11537</f>
        <v>135765108.59999999</v>
      </c>
      <c r="H12" s="630">
        <f>F12</f>
        <v>11767.8</v>
      </c>
      <c r="I12" s="629">
        <f>G12</f>
        <v>135765108.59999999</v>
      </c>
      <c r="J12" s="321"/>
      <c r="K12" s="272"/>
      <c r="L12" s="272"/>
    </row>
    <row r="13" spans="2:12">
      <c r="B13" s="695">
        <v>41780</v>
      </c>
      <c r="C13" s="458" t="s">
        <v>438</v>
      </c>
      <c r="D13" s="459">
        <v>11767.8</v>
      </c>
      <c r="E13" s="395">
        <v>135765109</v>
      </c>
      <c r="F13" s="400"/>
      <c r="G13" s="320"/>
      <c r="H13" s="414">
        <f>H12-D13</f>
        <v>0</v>
      </c>
      <c r="I13" s="457">
        <f>I12-E13</f>
        <v>-0.40000000596046448</v>
      </c>
      <c r="J13" s="321"/>
      <c r="K13" s="272"/>
      <c r="L13" s="272"/>
    </row>
    <row r="14" spans="2:12">
      <c r="B14" s="694">
        <v>41807</v>
      </c>
      <c r="C14" s="324" t="s">
        <v>550</v>
      </c>
      <c r="D14" s="459"/>
      <c r="E14" s="482"/>
      <c r="F14" s="400">
        <v>16420.5</v>
      </c>
      <c r="G14" s="320">
        <f>F14*11740</f>
        <v>192776670</v>
      </c>
      <c r="H14" s="410">
        <f>F14</f>
        <v>16420.5</v>
      </c>
      <c r="I14" s="474">
        <f>G14</f>
        <v>192776670</v>
      </c>
      <c r="J14" s="321"/>
      <c r="K14" s="272"/>
      <c r="L14" s="272"/>
    </row>
    <row r="15" spans="2:12">
      <c r="B15" s="695">
        <v>41841</v>
      </c>
      <c r="C15" s="458" t="s">
        <v>577</v>
      </c>
      <c r="D15" s="459">
        <v>16420.5</v>
      </c>
      <c r="E15" s="656">
        <v>192776670</v>
      </c>
      <c r="F15" s="400"/>
      <c r="G15" s="320"/>
      <c r="H15" s="659">
        <f>H14-D15</f>
        <v>0</v>
      </c>
      <c r="I15" s="457">
        <f>I14-E15</f>
        <v>0</v>
      </c>
      <c r="J15" s="321"/>
      <c r="K15" s="272"/>
      <c r="L15" s="272"/>
    </row>
    <row r="16" spans="2:12">
      <c r="B16" s="694">
        <v>41844</v>
      </c>
      <c r="C16" s="324" t="s">
        <v>647</v>
      </c>
      <c r="D16" s="459"/>
      <c r="E16" s="656"/>
      <c r="F16" s="400">
        <v>16792.2</v>
      </c>
      <c r="G16" s="320">
        <v>198114375.59999999</v>
      </c>
      <c r="H16" s="662">
        <f>F16</f>
        <v>16792.2</v>
      </c>
      <c r="I16" s="474">
        <f>G16</f>
        <v>198114375.59999999</v>
      </c>
      <c r="J16" s="321"/>
      <c r="K16" s="272"/>
      <c r="L16" s="272"/>
    </row>
    <row r="17" spans="2:12">
      <c r="B17" s="694">
        <v>41864</v>
      </c>
      <c r="C17" s="324" t="s">
        <v>682</v>
      </c>
      <c r="D17" s="459"/>
      <c r="E17" s="656"/>
      <c r="F17" s="400">
        <v>7793.5</v>
      </c>
      <c r="G17" s="320">
        <v>90334459</v>
      </c>
      <c r="H17" s="525">
        <f>H16+F17-D17</f>
        <v>24585.7</v>
      </c>
      <c r="I17" s="629">
        <f>I16+G17-E17</f>
        <v>288448834.60000002</v>
      </c>
      <c r="J17" s="321"/>
      <c r="K17" s="272"/>
      <c r="L17" s="272"/>
    </row>
    <row r="18" spans="2:12">
      <c r="B18" s="695">
        <v>41876</v>
      </c>
      <c r="C18" s="458" t="s">
        <v>681</v>
      </c>
      <c r="D18" s="459">
        <v>16792.2</v>
      </c>
      <c r="E18" s="656">
        <v>198114376</v>
      </c>
      <c r="F18" s="400"/>
      <c r="G18" s="320"/>
      <c r="H18" s="525">
        <f t="shared" ref="H18:H21" si="0">H17+F18-D18</f>
        <v>7793.5</v>
      </c>
      <c r="I18" s="629">
        <f t="shared" ref="I18:I21" si="1">I17+G18-E18</f>
        <v>90334458.600000024</v>
      </c>
      <c r="J18" s="321"/>
      <c r="K18" s="272"/>
      <c r="L18" s="272"/>
    </row>
    <row r="19" spans="2:12">
      <c r="B19" s="695">
        <v>41876</v>
      </c>
      <c r="C19" s="458" t="s">
        <v>681</v>
      </c>
      <c r="D19" s="459">
        <v>7793.5</v>
      </c>
      <c r="E19" s="656">
        <v>90334459</v>
      </c>
      <c r="F19" s="400"/>
      <c r="G19" s="320"/>
      <c r="H19" s="659">
        <f t="shared" si="0"/>
        <v>0</v>
      </c>
      <c r="I19" s="457">
        <f t="shared" si="1"/>
        <v>-0.39999997615814209</v>
      </c>
      <c r="J19" s="321"/>
      <c r="K19" s="272"/>
      <c r="L19" s="272"/>
    </row>
    <row r="20" spans="2:12">
      <c r="B20" s="694"/>
      <c r="C20" s="324"/>
      <c r="D20" s="459"/>
      <c r="E20" s="656"/>
      <c r="F20" s="400"/>
      <c r="G20" s="320"/>
      <c r="H20" s="662">
        <f t="shared" si="0"/>
        <v>0</v>
      </c>
      <c r="I20" s="629">
        <f t="shared" si="1"/>
        <v>-0.39999997615814209</v>
      </c>
      <c r="J20" s="321"/>
      <c r="K20" s="272"/>
      <c r="L20" s="272"/>
    </row>
    <row r="21" spans="2:12">
      <c r="B21" s="694"/>
      <c r="C21" s="324"/>
      <c r="D21" s="459"/>
      <c r="E21" s="656"/>
      <c r="F21" s="400"/>
      <c r="G21" s="320"/>
      <c r="H21" s="662">
        <f t="shared" si="0"/>
        <v>0</v>
      </c>
      <c r="I21" s="629">
        <f t="shared" si="1"/>
        <v>-0.39999997615814209</v>
      </c>
      <c r="J21" s="321"/>
      <c r="K21" s="272"/>
      <c r="L21" s="272"/>
    </row>
    <row r="22" spans="2:12">
      <c r="B22" s="694"/>
      <c r="C22" s="324"/>
      <c r="D22" s="459"/>
      <c r="E22" s="656"/>
      <c r="F22" s="400"/>
      <c r="G22" s="320"/>
      <c r="H22" s="525"/>
      <c r="I22" s="474"/>
      <c r="J22" s="321"/>
      <c r="K22" s="272"/>
      <c r="L22" s="272"/>
    </row>
    <row r="23" spans="2:12" ht="15.75" thickBot="1">
      <c r="B23" s="696"/>
      <c r="C23" s="304"/>
      <c r="D23" s="304"/>
      <c r="E23" s="64"/>
      <c r="F23" s="483"/>
      <c r="G23" s="483"/>
      <c r="H23" s="401"/>
      <c r="I23" s="305"/>
      <c r="J23" s="321"/>
      <c r="K23" s="272"/>
      <c r="L23" s="272"/>
    </row>
    <row r="24" spans="2:12" ht="15.75" thickTop="1"/>
  </sheetData>
  <mergeCells count="7">
    <mergeCell ref="L4:L5"/>
    <mergeCell ref="B1:I1"/>
    <mergeCell ref="B2:I2"/>
    <mergeCell ref="D4:E4"/>
    <mergeCell ref="F4:G4"/>
    <mergeCell ref="H4:I4"/>
    <mergeCell ref="K4:K5"/>
  </mergeCells>
  <pageMargins left="0.39" right="0.2" top="0.39370078740157483" bottom="0.62992125984251968" header="0.31496062992125984" footer="0.51181102362204722"/>
  <pageSetup paperSize="9" scale="90" orientation="portrait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J141"/>
  <sheetViews>
    <sheetView workbookViewId="0">
      <pane xSplit="1" ySplit="5" topLeftCell="B76" activePane="bottomRight" state="frozen"/>
      <selection pane="topRight" activeCell="B1" sqref="B1"/>
      <selection pane="bottomLeft" activeCell="A6" sqref="A6"/>
      <selection pane="bottomRight" activeCell="I86" sqref="I86"/>
    </sheetView>
  </sheetViews>
  <sheetFormatPr defaultRowHeight="15"/>
  <cols>
    <col min="1" max="1" width="3" style="40" customWidth="1"/>
    <col min="2" max="2" width="11.7109375" style="164" customWidth="1"/>
    <col min="3" max="3" width="16.85546875" style="40" customWidth="1"/>
    <col min="4" max="4" width="23.85546875" style="82" customWidth="1"/>
    <col min="5" max="5" width="14" style="40" customWidth="1"/>
    <col min="6" max="6" width="14.42578125" style="52" customWidth="1"/>
    <col min="7" max="7" width="16.5703125" style="438" customWidth="1"/>
    <col min="8" max="8" width="2.140625" style="40" customWidth="1"/>
    <col min="9" max="9" width="15.5703125" style="104" customWidth="1"/>
    <col min="10" max="10" width="16.7109375" style="104" bestFit="1" customWidth="1"/>
    <col min="11" max="16384" width="9.140625" style="40"/>
  </cols>
  <sheetData>
    <row r="1" spans="2:10" ht="18.75">
      <c r="B1" s="672" t="s">
        <v>0</v>
      </c>
      <c r="C1" s="672"/>
      <c r="D1" s="672"/>
      <c r="E1" s="672"/>
      <c r="F1" s="672"/>
      <c r="G1" s="672"/>
    </row>
    <row r="2" spans="2:10" ht="18.75">
      <c r="B2" s="672" t="s">
        <v>46</v>
      </c>
      <c r="C2" s="672"/>
      <c r="D2" s="672"/>
      <c r="E2" s="672"/>
      <c r="F2" s="672"/>
      <c r="G2" s="672"/>
    </row>
    <row r="3" spans="2:10" ht="15.75" thickBot="1">
      <c r="B3" s="158"/>
      <c r="C3" s="41"/>
      <c r="F3" s="42"/>
      <c r="G3" s="436"/>
    </row>
    <row r="4" spans="2:10" ht="15.75" customHeight="1" thickTop="1">
      <c r="B4" s="159" t="s">
        <v>10</v>
      </c>
      <c r="C4" s="45" t="s">
        <v>11</v>
      </c>
      <c r="D4" s="673" t="s">
        <v>12</v>
      </c>
      <c r="E4" s="46" t="s">
        <v>9</v>
      </c>
      <c r="F4" s="46" t="s">
        <v>13</v>
      </c>
      <c r="G4" s="100" t="s">
        <v>8</v>
      </c>
      <c r="I4" s="675" t="s">
        <v>22</v>
      </c>
      <c r="J4" s="675" t="s">
        <v>23</v>
      </c>
    </row>
    <row r="5" spans="2:10" ht="15.75" thickBot="1">
      <c r="B5" s="160" t="s">
        <v>14</v>
      </c>
      <c r="C5" s="47" t="s">
        <v>15</v>
      </c>
      <c r="D5" s="674"/>
      <c r="E5" s="48" t="s">
        <v>16</v>
      </c>
      <c r="F5" s="48" t="s">
        <v>16</v>
      </c>
      <c r="G5" s="103" t="s">
        <v>17</v>
      </c>
      <c r="I5" s="675"/>
      <c r="J5" s="675"/>
    </row>
    <row r="6" spans="2:10" ht="15.75" thickTop="1">
      <c r="B6" s="161"/>
      <c r="C6" s="93"/>
      <c r="D6" s="76"/>
      <c r="E6" s="94"/>
      <c r="F6" s="92"/>
      <c r="G6" s="37"/>
    </row>
    <row r="7" spans="2:10">
      <c r="B7" s="563">
        <v>41639</v>
      </c>
      <c r="C7" s="564" t="s">
        <v>25</v>
      </c>
      <c r="D7" s="97"/>
      <c r="E7" s="439"/>
      <c r="F7" s="144">
        <v>124305711.70000005</v>
      </c>
      <c r="G7" s="78">
        <f>F7</f>
        <v>124305711.70000005</v>
      </c>
    </row>
    <row r="8" spans="2:10">
      <c r="B8" s="161">
        <v>41667</v>
      </c>
      <c r="C8" s="440" t="s">
        <v>75</v>
      </c>
      <c r="D8" s="440" t="s">
        <v>126</v>
      </c>
      <c r="E8" s="441">
        <v>100677434</v>
      </c>
      <c r="F8" s="137"/>
      <c r="G8" s="137">
        <f t="shared" ref="G8:G34" si="0">G7+F8-E8</f>
        <v>23628277.700000048</v>
      </c>
      <c r="H8" s="321"/>
      <c r="I8" s="272"/>
      <c r="J8" s="272"/>
    </row>
    <row r="9" spans="2:10">
      <c r="B9" s="156">
        <v>41663</v>
      </c>
      <c r="C9" s="95" t="s">
        <v>98</v>
      </c>
      <c r="D9" s="95"/>
      <c r="E9" s="442"/>
      <c r="F9" s="137">
        <v>14434200</v>
      </c>
      <c r="G9" s="137">
        <f t="shared" si="0"/>
        <v>38062477.700000048</v>
      </c>
      <c r="H9" s="321"/>
      <c r="I9" s="272"/>
      <c r="J9" s="272"/>
    </row>
    <row r="10" spans="2:10">
      <c r="B10" s="156">
        <v>41669</v>
      </c>
      <c r="C10" s="95" t="s">
        <v>99</v>
      </c>
      <c r="D10" s="95"/>
      <c r="E10" s="442"/>
      <c r="F10" s="137">
        <v>9491647</v>
      </c>
      <c r="G10" s="137">
        <f t="shared" si="0"/>
        <v>47554124.700000048</v>
      </c>
      <c r="H10" s="321"/>
      <c r="I10" s="272"/>
      <c r="J10" s="272"/>
    </row>
    <row r="11" spans="2:10">
      <c r="B11" s="156">
        <v>41669</v>
      </c>
      <c r="C11" s="95" t="s">
        <v>100</v>
      </c>
      <c r="D11" s="95"/>
      <c r="E11" s="442"/>
      <c r="F11" s="137">
        <v>6708900</v>
      </c>
      <c r="G11" s="280">
        <f t="shared" si="0"/>
        <v>54263024.700000048</v>
      </c>
      <c r="H11" s="321"/>
      <c r="I11" s="272">
        <f>SUM(F9:F11)</f>
        <v>30634747</v>
      </c>
      <c r="J11" s="272"/>
    </row>
    <row r="12" spans="2:10">
      <c r="B12" s="156">
        <v>41684</v>
      </c>
      <c r="C12" s="95" t="s">
        <v>171</v>
      </c>
      <c r="D12" s="95"/>
      <c r="E12" s="442"/>
      <c r="F12" s="137">
        <v>1808400</v>
      </c>
      <c r="G12" s="137">
        <f t="shared" si="0"/>
        <v>56071424.700000048</v>
      </c>
      <c r="H12" s="321"/>
      <c r="I12" s="272"/>
      <c r="J12" s="272"/>
    </row>
    <row r="13" spans="2:10">
      <c r="B13" s="156">
        <v>41696</v>
      </c>
      <c r="C13" s="95" t="s">
        <v>172</v>
      </c>
      <c r="D13" s="95"/>
      <c r="E13" s="442"/>
      <c r="F13" s="137">
        <v>1808400</v>
      </c>
      <c r="G13" s="137">
        <f t="shared" si="0"/>
        <v>57879824.700000048</v>
      </c>
      <c r="H13" s="321"/>
      <c r="I13" s="272"/>
      <c r="J13" s="272"/>
    </row>
    <row r="14" spans="2:10">
      <c r="B14" s="156">
        <v>41696</v>
      </c>
      <c r="C14" s="95" t="s">
        <v>173</v>
      </c>
      <c r="D14" s="95"/>
      <c r="E14" s="442"/>
      <c r="F14" s="137">
        <v>6093780</v>
      </c>
      <c r="G14" s="137">
        <f t="shared" si="0"/>
        <v>63973604.700000048</v>
      </c>
      <c r="H14" s="321"/>
      <c r="I14" s="272"/>
      <c r="J14" s="272"/>
    </row>
    <row r="15" spans="2:10">
      <c r="B15" s="156">
        <v>41696</v>
      </c>
      <c r="C15" s="95" t="s">
        <v>174</v>
      </c>
      <c r="D15" s="95"/>
      <c r="E15" s="442"/>
      <c r="F15" s="137">
        <v>6507600</v>
      </c>
      <c r="G15" s="137">
        <f t="shared" si="0"/>
        <v>70481204.700000048</v>
      </c>
      <c r="H15" s="321"/>
      <c r="I15" s="272"/>
      <c r="J15" s="272"/>
    </row>
    <row r="16" spans="2:10">
      <c r="B16" s="156">
        <v>41698</v>
      </c>
      <c r="C16" s="95" t="s">
        <v>175</v>
      </c>
      <c r="D16" s="95"/>
      <c r="E16" s="442"/>
      <c r="F16" s="137">
        <v>3144917</v>
      </c>
      <c r="G16" s="137">
        <f t="shared" si="0"/>
        <v>73626121.700000048</v>
      </c>
      <c r="H16" s="321"/>
      <c r="I16" s="272"/>
      <c r="J16" s="272"/>
    </row>
    <row r="17" spans="2:10">
      <c r="B17" s="162">
        <v>41698</v>
      </c>
      <c r="C17" s="143" t="s">
        <v>176</v>
      </c>
      <c r="D17" s="143"/>
      <c r="E17" s="335"/>
      <c r="F17" s="144">
        <v>3790067</v>
      </c>
      <c r="G17" s="137">
        <f t="shared" si="0"/>
        <v>77416188.700000048</v>
      </c>
      <c r="H17" s="321"/>
      <c r="I17" s="272"/>
      <c r="J17" s="272"/>
    </row>
    <row r="18" spans="2:10">
      <c r="B18" s="156">
        <v>41698</v>
      </c>
      <c r="C18" s="95" t="s">
        <v>177</v>
      </c>
      <c r="D18" s="95"/>
      <c r="E18" s="442"/>
      <c r="F18" s="137">
        <v>3795000</v>
      </c>
      <c r="G18" s="137">
        <f t="shared" si="0"/>
        <v>81211188.700000048</v>
      </c>
      <c r="H18" s="321"/>
      <c r="I18" s="272"/>
      <c r="J18" s="272"/>
    </row>
    <row r="19" spans="2:10">
      <c r="B19" s="156">
        <v>41698</v>
      </c>
      <c r="C19" s="95" t="s">
        <v>188</v>
      </c>
      <c r="D19" s="95"/>
      <c r="E19" s="137"/>
      <c r="F19" s="137">
        <v>4806450</v>
      </c>
      <c r="G19" s="137">
        <f t="shared" si="0"/>
        <v>86017638.700000048</v>
      </c>
      <c r="H19" s="321"/>
      <c r="I19" s="272">
        <f>SUM(F12:F19)</f>
        <v>31754614</v>
      </c>
      <c r="J19" s="272"/>
    </row>
    <row r="20" spans="2:10">
      <c r="B20" s="161">
        <v>41677</v>
      </c>
      <c r="C20" s="440" t="s">
        <v>57</v>
      </c>
      <c r="D20" s="440" t="s">
        <v>127</v>
      </c>
      <c r="E20" s="441">
        <v>23628278</v>
      </c>
      <c r="F20" s="137"/>
      <c r="G20" s="280">
        <f t="shared" si="0"/>
        <v>62389360.700000048</v>
      </c>
      <c r="H20" s="321"/>
      <c r="I20" s="272"/>
      <c r="J20" s="272"/>
    </row>
    <row r="21" spans="2:10">
      <c r="B21" s="156">
        <v>41717</v>
      </c>
      <c r="C21" s="95" t="s">
        <v>263</v>
      </c>
      <c r="D21" s="95"/>
      <c r="E21" s="442"/>
      <c r="F21" s="137">
        <v>2618550</v>
      </c>
      <c r="G21" s="137">
        <f t="shared" si="0"/>
        <v>65007910.700000048</v>
      </c>
      <c r="H21" s="321"/>
      <c r="I21" s="272"/>
      <c r="J21" s="272"/>
    </row>
    <row r="22" spans="2:10">
      <c r="B22" s="156">
        <v>41717</v>
      </c>
      <c r="C22" s="95" t="s">
        <v>264</v>
      </c>
      <c r="D22" s="95"/>
      <c r="E22" s="442"/>
      <c r="F22" s="137">
        <v>4844400</v>
      </c>
      <c r="G22" s="137">
        <f t="shared" si="0"/>
        <v>69852310.700000048</v>
      </c>
      <c r="H22" s="321"/>
      <c r="I22" s="272"/>
      <c r="J22" s="272"/>
    </row>
    <row r="23" spans="2:10">
      <c r="B23" s="156">
        <v>41718</v>
      </c>
      <c r="C23" s="95" t="s">
        <v>265</v>
      </c>
      <c r="D23" s="95"/>
      <c r="E23" s="137"/>
      <c r="F23" s="137">
        <v>3795000</v>
      </c>
      <c r="G23" s="137">
        <f t="shared" si="0"/>
        <v>73647310.700000048</v>
      </c>
      <c r="H23" s="321"/>
      <c r="I23" s="272"/>
      <c r="J23" s="272"/>
    </row>
    <row r="24" spans="2:10">
      <c r="B24" s="156">
        <v>41718</v>
      </c>
      <c r="C24" s="95" t="s">
        <v>266</v>
      </c>
      <c r="D24" s="95"/>
      <c r="E24" s="442"/>
      <c r="F24" s="137">
        <v>6200700</v>
      </c>
      <c r="G24" s="137">
        <f t="shared" si="0"/>
        <v>79848010.700000048</v>
      </c>
      <c r="H24" s="321"/>
      <c r="I24" s="272"/>
      <c r="J24" s="272"/>
    </row>
    <row r="25" spans="2:10">
      <c r="B25" s="156">
        <v>41723</v>
      </c>
      <c r="C25" s="95" t="s">
        <v>267</v>
      </c>
      <c r="D25" s="95"/>
      <c r="E25" s="442"/>
      <c r="F25" s="137">
        <v>11341770</v>
      </c>
      <c r="G25" s="137">
        <f t="shared" si="0"/>
        <v>91189780.700000048</v>
      </c>
      <c r="H25" s="321"/>
      <c r="I25" s="272"/>
      <c r="J25" s="272"/>
    </row>
    <row r="26" spans="2:10">
      <c r="B26" s="156">
        <v>41723</v>
      </c>
      <c r="C26" s="95" t="s">
        <v>268</v>
      </c>
      <c r="D26" s="95"/>
      <c r="E26" s="442"/>
      <c r="F26" s="137">
        <v>10602724</v>
      </c>
      <c r="G26" s="137">
        <f t="shared" si="0"/>
        <v>101792504.70000005</v>
      </c>
      <c r="H26" s="321"/>
      <c r="I26" s="272"/>
      <c r="J26" s="272"/>
    </row>
    <row r="27" spans="2:10">
      <c r="B27" s="156">
        <v>41723</v>
      </c>
      <c r="C27" s="95" t="s">
        <v>269</v>
      </c>
      <c r="D27" s="95"/>
      <c r="E27" s="442"/>
      <c r="F27" s="137">
        <v>6507600</v>
      </c>
      <c r="G27" s="137">
        <f t="shared" si="0"/>
        <v>108300104.70000005</v>
      </c>
      <c r="H27" s="321"/>
      <c r="I27" s="272"/>
      <c r="J27" s="272"/>
    </row>
    <row r="28" spans="2:10">
      <c r="B28" s="156">
        <v>41726</v>
      </c>
      <c r="C28" s="95" t="s">
        <v>270</v>
      </c>
      <c r="D28" s="95"/>
      <c r="E28" s="442"/>
      <c r="F28" s="137">
        <v>12219900</v>
      </c>
      <c r="G28" s="137">
        <f t="shared" si="0"/>
        <v>120520004.70000005</v>
      </c>
      <c r="H28" s="321"/>
      <c r="I28" s="272"/>
      <c r="J28" s="272"/>
    </row>
    <row r="29" spans="2:10">
      <c r="B29" s="156">
        <v>41726</v>
      </c>
      <c r="C29" s="95" t="s">
        <v>271</v>
      </c>
      <c r="D29" s="95"/>
      <c r="E29" s="137"/>
      <c r="F29" s="137">
        <v>8057500</v>
      </c>
      <c r="G29" s="137">
        <f t="shared" si="0"/>
        <v>128577504.70000005</v>
      </c>
      <c r="H29" s="321"/>
      <c r="I29" s="272"/>
      <c r="J29" s="272"/>
    </row>
    <row r="30" spans="2:10">
      <c r="B30" s="156">
        <v>41726</v>
      </c>
      <c r="C30" s="95" t="s">
        <v>272</v>
      </c>
      <c r="D30" s="440"/>
      <c r="E30" s="441"/>
      <c r="F30" s="137">
        <v>3795000</v>
      </c>
      <c r="G30" s="137">
        <f t="shared" si="0"/>
        <v>132372504.70000005</v>
      </c>
      <c r="H30" s="321"/>
      <c r="I30" s="272"/>
      <c r="J30" s="272"/>
    </row>
    <row r="31" spans="2:10">
      <c r="B31" s="156">
        <v>41727</v>
      </c>
      <c r="C31" s="95" t="s">
        <v>273</v>
      </c>
      <c r="D31" s="95"/>
      <c r="E31" s="137"/>
      <c r="F31" s="137">
        <v>2694450</v>
      </c>
      <c r="G31" s="137">
        <f t="shared" si="0"/>
        <v>135066954.70000005</v>
      </c>
      <c r="H31" s="321"/>
      <c r="I31" s="272"/>
      <c r="J31" s="272"/>
    </row>
    <row r="32" spans="2:10">
      <c r="B32" s="161">
        <v>41727</v>
      </c>
      <c r="C32" s="440" t="s">
        <v>274</v>
      </c>
      <c r="D32" s="440" t="s">
        <v>386</v>
      </c>
      <c r="E32" s="441">
        <v>2369400</v>
      </c>
      <c r="F32" s="137"/>
      <c r="G32" s="137">
        <f t="shared" si="0"/>
        <v>132697554.70000005</v>
      </c>
      <c r="H32" s="321"/>
      <c r="I32" s="272"/>
      <c r="J32" s="272"/>
    </row>
    <row r="33" spans="2:10">
      <c r="B33" s="161">
        <v>41726</v>
      </c>
      <c r="C33" s="440" t="s">
        <v>229</v>
      </c>
      <c r="D33" s="440" t="s">
        <v>230</v>
      </c>
      <c r="E33" s="441">
        <v>30634747</v>
      </c>
      <c r="F33" s="137"/>
      <c r="G33" s="280">
        <f t="shared" si="0"/>
        <v>102062807.70000005</v>
      </c>
      <c r="H33" s="321"/>
      <c r="I33" s="272">
        <f>SUM(F21:F31)</f>
        <v>72677594</v>
      </c>
      <c r="J33" s="272"/>
    </row>
    <row r="34" spans="2:10">
      <c r="B34" s="156">
        <v>41745</v>
      </c>
      <c r="C34" s="95" t="s">
        <v>351</v>
      </c>
      <c r="D34" s="95"/>
      <c r="E34" s="442"/>
      <c r="F34" s="137">
        <v>15483600</v>
      </c>
      <c r="G34" s="137">
        <f t="shared" si="0"/>
        <v>117546407.70000005</v>
      </c>
      <c r="H34" s="321"/>
      <c r="I34" s="272">
        <f>I33-E32</f>
        <v>70308194</v>
      </c>
      <c r="J34" s="272"/>
    </row>
    <row r="35" spans="2:10">
      <c r="B35" s="156">
        <v>41745</v>
      </c>
      <c r="C35" s="95" t="s">
        <v>352</v>
      </c>
      <c r="D35" s="95"/>
      <c r="E35" s="137"/>
      <c r="F35" s="137">
        <v>1897500</v>
      </c>
      <c r="G35" s="137">
        <f t="shared" ref="G35:G46" si="1">G34+F35-E35</f>
        <v>119443907.70000005</v>
      </c>
      <c r="H35" s="321"/>
      <c r="I35" s="272"/>
      <c r="J35" s="272"/>
    </row>
    <row r="36" spans="2:10">
      <c r="B36" s="156">
        <v>41745</v>
      </c>
      <c r="C36" s="95" t="s">
        <v>353</v>
      </c>
      <c r="D36" s="95"/>
      <c r="E36" s="137"/>
      <c r="F36" s="137">
        <v>1897500</v>
      </c>
      <c r="G36" s="137">
        <f t="shared" si="1"/>
        <v>121341407.70000005</v>
      </c>
      <c r="H36" s="321"/>
      <c r="I36" s="272"/>
      <c r="J36" s="272"/>
    </row>
    <row r="37" spans="2:10">
      <c r="B37" s="156">
        <v>41751</v>
      </c>
      <c r="C37" s="95" t="s">
        <v>354</v>
      </c>
      <c r="D37" s="95"/>
      <c r="E37" s="137"/>
      <c r="F37" s="137">
        <v>4804800</v>
      </c>
      <c r="G37" s="137">
        <f t="shared" si="1"/>
        <v>126146207.70000005</v>
      </c>
      <c r="H37" s="321"/>
      <c r="I37" s="272"/>
      <c r="J37" s="272"/>
    </row>
    <row r="38" spans="2:10">
      <c r="B38" s="156">
        <v>41754</v>
      </c>
      <c r="C38" s="95" t="s">
        <v>355</v>
      </c>
      <c r="D38" s="95"/>
      <c r="E38" s="137"/>
      <c r="F38" s="137">
        <v>9296100</v>
      </c>
      <c r="G38" s="137">
        <f t="shared" si="1"/>
        <v>135442307.70000005</v>
      </c>
      <c r="H38" s="321"/>
      <c r="I38" s="272"/>
      <c r="J38" s="272"/>
    </row>
    <row r="39" spans="2:10">
      <c r="B39" s="156">
        <v>41754</v>
      </c>
      <c r="C39" s="95" t="s">
        <v>356</v>
      </c>
      <c r="D39" s="95"/>
      <c r="E39" s="442"/>
      <c r="F39" s="137">
        <v>10157400</v>
      </c>
      <c r="G39" s="137">
        <f t="shared" si="1"/>
        <v>145599707.70000005</v>
      </c>
      <c r="H39" s="321"/>
      <c r="I39" s="272"/>
      <c r="J39" s="272"/>
    </row>
    <row r="40" spans="2:10">
      <c r="B40" s="156">
        <v>41759</v>
      </c>
      <c r="C40" s="95" t="s">
        <v>357</v>
      </c>
      <c r="D40" s="95"/>
      <c r="E40" s="442"/>
      <c r="F40" s="137">
        <v>9904950</v>
      </c>
      <c r="G40" s="137">
        <f t="shared" si="1"/>
        <v>155504657.70000005</v>
      </c>
      <c r="H40" s="321"/>
      <c r="I40" s="272"/>
      <c r="J40" s="272"/>
    </row>
    <row r="41" spans="2:10">
      <c r="B41" s="156">
        <v>41759</v>
      </c>
      <c r="C41" s="95" t="s">
        <v>358</v>
      </c>
      <c r="D41" s="95"/>
      <c r="E41" s="442"/>
      <c r="F41" s="137">
        <v>9461100</v>
      </c>
      <c r="G41" s="137">
        <f t="shared" si="1"/>
        <v>164965757.70000005</v>
      </c>
      <c r="H41" s="321"/>
      <c r="I41" s="272"/>
      <c r="J41" s="272"/>
    </row>
    <row r="42" spans="2:10">
      <c r="B42" s="156">
        <v>41759</v>
      </c>
      <c r="C42" s="95" t="s">
        <v>359</v>
      </c>
      <c r="D42" s="95"/>
      <c r="E42" s="442"/>
      <c r="F42" s="137">
        <v>7058700</v>
      </c>
      <c r="G42" s="137">
        <f t="shared" si="1"/>
        <v>172024457.70000005</v>
      </c>
      <c r="H42" s="321"/>
      <c r="I42" s="272"/>
      <c r="J42" s="272"/>
    </row>
    <row r="43" spans="2:10">
      <c r="B43" s="156">
        <v>41759</v>
      </c>
      <c r="C43" s="95" t="s">
        <v>360</v>
      </c>
      <c r="D43" s="95"/>
      <c r="E43" s="442"/>
      <c r="F43" s="137">
        <v>8424900</v>
      </c>
      <c r="G43" s="137">
        <f t="shared" si="1"/>
        <v>180449357.70000005</v>
      </c>
      <c r="H43" s="321"/>
      <c r="I43" s="272"/>
      <c r="J43" s="272"/>
    </row>
    <row r="44" spans="2:10">
      <c r="B44" s="162">
        <v>41759</v>
      </c>
      <c r="C44" s="145" t="s">
        <v>361</v>
      </c>
      <c r="D44" s="146"/>
      <c r="E44" s="443"/>
      <c r="F44" s="144">
        <v>3795000</v>
      </c>
      <c r="G44" s="137">
        <f t="shared" si="1"/>
        <v>184244357.70000005</v>
      </c>
      <c r="H44" s="321"/>
      <c r="I44" s="272"/>
      <c r="J44" s="272"/>
    </row>
    <row r="45" spans="2:10">
      <c r="B45" s="156">
        <v>41759</v>
      </c>
      <c r="C45" s="91" t="s">
        <v>362</v>
      </c>
      <c r="D45" s="231"/>
      <c r="E45" s="444"/>
      <c r="F45" s="285">
        <v>6479255</v>
      </c>
      <c r="G45" s="137">
        <f t="shared" si="1"/>
        <v>190723612.70000005</v>
      </c>
      <c r="H45" s="321"/>
      <c r="I45" s="272"/>
      <c r="J45" s="272"/>
    </row>
    <row r="46" spans="2:10">
      <c r="B46" s="156">
        <v>41759</v>
      </c>
      <c r="C46" s="91" t="s">
        <v>363</v>
      </c>
      <c r="D46" s="231"/>
      <c r="E46" s="232"/>
      <c r="F46" s="445">
        <v>5692500</v>
      </c>
      <c r="G46" s="137">
        <f t="shared" si="1"/>
        <v>196416112.70000005</v>
      </c>
      <c r="H46" s="321"/>
      <c r="I46" s="272">
        <f>SUM(F34:F46)</f>
        <v>94353305</v>
      </c>
      <c r="J46" s="272"/>
    </row>
    <row r="47" spans="2:10">
      <c r="B47" s="161">
        <v>41759</v>
      </c>
      <c r="C47" s="93" t="s">
        <v>385</v>
      </c>
      <c r="D47" s="76" t="s">
        <v>387</v>
      </c>
      <c r="E47" s="94">
        <v>42504</v>
      </c>
      <c r="F47" s="634"/>
      <c r="G47" s="280">
        <f t="shared" ref="G47:G73" si="2">G46+F47-E47</f>
        <v>196373608.70000005</v>
      </c>
      <c r="H47" s="321"/>
      <c r="I47" s="272">
        <f>I46-E47</f>
        <v>94310801</v>
      </c>
      <c r="J47" s="272"/>
    </row>
    <row r="48" spans="2:10">
      <c r="B48" s="161">
        <v>41761</v>
      </c>
      <c r="C48" s="95"/>
      <c r="D48" s="440" t="s">
        <v>389</v>
      </c>
      <c r="E48" s="635">
        <v>31754614</v>
      </c>
      <c r="F48" s="255"/>
      <c r="G48" s="137">
        <f t="shared" si="2"/>
        <v>164618994.70000005</v>
      </c>
      <c r="H48" s="321"/>
      <c r="I48" s="272"/>
      <c r="J48" s="272"/>
    </row>
    <row r="49" spans="2:10">
      <c r="B49" s="161">
        <v>41789</v>
      </c>
      <c r="C49" s="440" t="s">
        <v>425</v>
      </c>
      <c r="D49" s="440" t="s">
        <v>426</v>
      </c>
      <c r="E49" s="446">
        <v>70308194</v>
      </c>
      <c r="F49" s="255"/>
      <c r="G49" s="137">
        <f t="shared" si="2"/>
        <v>94310800.700000048</v>
      </c>
      <c r="H49" s="321"/>
      <c r="I49" s="272"/>
      <c r="J49" s="272"/>
    </row>
    <row r="50" spans="2:10">
      <c r="B50" s="156">
        <v>41782</v>
      </c>
      <c r="C50" s="95" t="s">
        <v>466</v>
      </c>
      <c r="D50" s="95"/>
      <c r="E50" s="255"/>
      <c r="F50" s="255">
        <v>16276700</v>
      </c>
      <c r="G50" s="137">
        <f t="shared" si="2"/>
        <v>110587500.70000005</v>
      </c>
      <c r="H50" s="321"/>
      <c r="I50" s="272"/>
      <c r="J50" s="272"/>
    </row>
    <row r="51" spans="2:10">
      <c r="B51" s="156">
        <v>41782</v>
      </c>
      <c r="C51" s="95" t="s">
        <v>467</v>
      </c>
      <c r="D51" s="95"/>
      <c r="E51" s="255"/>
      <c r="F51" s="255">
        <v>5692500</v>
      </c>
      <c r="G51" s="137">
        <f t="shared" si="2"/>
        <v>116280000.70000005</v>
      </c>
      <c r="H51" s="321"/>
      <c r="I51" s="272"/>
      <c r="J51" s="272">
        <f>SUM(E37:E38)</f>
        <v>0</v>
      </c>
    </row>
    <row r="52" spans="2:10">
      <c r="B52" s="156">
        <v>41789</v>
      </c>
      <c r="C52" s="95" t="s">
        <v>468</v>
      </c>
      <c r="D52" s="95"/>
      <c r="E52" s="95"/>
      <c r="F52" s="255">
        <v>21712900</v>
      </c>
      <c r="G52" s="137">
        <f t="shared" si="2"/>
        <v>137992900.70000005</v>
      </c>
      <c r="H52" s="321"/>
      <c r="I52" s="272"/>
      <c r="J52" s="272"/>
    </row>
    <row r="53" spans="2:10">
      <c r="B53" s="156">
        <v>41790</v>
      </c>
      <c r="C53" s="95" t="s">
        <v>469</v>
      </c>
      <c r="D53" s="95"/>
      <c r="E53" s="95"/>
      <c r="F53" s="255">
        <v>10322400</v>
      </c>
      <c r="G53" s="137">
        <f t="shared" si="2"/>
        <v>148315300.70000005</v>
      </c>
      <c r="H53" s="321"/>
      <c r="I53" s="272"/>
      <c r="J53" s="272"/>
    </row>
    <row r="54" spans="2:10">
      <c r="B54" s="156">
        <v>41790</v>
      </c>
      <c r="C54" s="95" t="s">
        <v>470</v>
      </c>
      <c r="D54" s="95"/>
      <c r="E54" s="95"/>
      <c r="F54" s="255">
        <v>11688600</v>
      </c>
      <c r="G54" s="137">
        <f t="shared" si="2"/>
        <v>160003900.70000005</v>
      </c>
      <c r="H54" s="321"/>
      <c r="I54" s="272"/>
      <c r="J54" s="272"/>
    </row>
    <row r="55" spans="2:10">
      <c r="B55" s="156">
        <v>41790</v>
      </c>
      <c r="C55" s="95" t="s">
        <v>471</v>
      </c>
      <c r="D55" s="95"/>
      <c r="E55" s="95"/>
      <c r="F55" s="255">
        <v>4276800</v>
      </c>
      <c r="G55" s="137">
        <f t="shared" si="2"/>
        <v>164280700.70000005</v>
      </c>
      <c r="H55" s="321"/>
      <c r="I55" s="272"/>
      <c r="J55" s="272"/>
    </row>
    <row r="56" spans="2:10">
      <c r="B56" s="156">
        <v>41790</v>
      </c>
      <c r="C56" s="95" t="s">
        <v>472</v>
      </c>
      <c r="D56" s="95"/>
      <c r="E56" s="95"/>
      <c r="F56" s="255">
        <v>5161200</v>
      </c>
      <c r="G56" s="137">
        <f t="shared" si="2"/>
        <v>169441900.70000005</v>
      </c>
      <c r="H56" s="321"/>
      <c r="I56" s="272"/>
      <c r="J56" s="272"/>
    </row>
    <row r="57" spans="2:10">
      <c r="B57" s="156">
        <v>41790</v>
      </c>
      <c r="C57" s="95" t="s">
        <v>473</v>
      </c>
      <c r="D57" s="95"/>
      <c r="E57" s="95"/>
      <c r="F57" s="255">
        <v>1897500</v>
      </c>
      <c r="G57" s="137">
        <f t="shared" si="2"/>
        <v>171339400.70000005</v>
      </c>
      <c r="H57" s="321"/>
      <c r="I57" s="272"/>
      <c r="J57" s="272"/>
    </row>
    <row r="58" spans="2:10">
      <c r="B58" s="162">
        <v>41790</v>
      </c>
      <c r="C58" s="95" t="s">
        <v>474</v>
      </c>
      <c r="D58" s="143"/>
      <c r="E58" s="143"/>
      <c r="F58" s="285">
        <v>13586100</v>
      </c>
      <c r="G58" s="137">
        <f t="shared" si="2"/>
        <v>184925500.70000005</v>
      </c>
      <c r="H58" s="321"/>
      <c r="I58" s="272"/>
      <c r="J58" s="272"/>
    </row>
    <row r="59" spans="2:10">
      <c r="B59" s="161">
        <v>41790</v>
      </c>
      <c r="C59" s="440"/>
      <c r="D59" s="440" t="s">
        <v>475</v>
      </c>
      <c r="E59" s="441">
        <v>18011545</v>
      </c>
      <c r="F59" s="255"/>
      <c r="G59" s="280">
        <f t="shared" si="2"/>
        <v>166913955.70000005</v>
      </c>
      <c r="H59" s="321"/>
      <c r="I59" s="272">
        <f>SUM(F50:F58)</f>
        <v>90614700</v>
      </c>
      <c r="J59" s="272">
        <f>SUM(E48:E49)</f>
        <v>102062808</v>
      </c>
    </row>
    <row r="60" spans="2:10">
      <c r="B60" s="156">
        <v>41803</v>
      </c>
      <c r="C60" s="95" t="s">
        <v>540</v>
      </c>
      <c r="D60" s="95"/>
      <c r="E60" s="255"/>
      <c r="F60" s="255">
        <v>1897500</v>
      </c>
      <c r="G60" s="137">
        <f t="shared" si="2"/>
        <v>168811455.70000005</v>
      </c>
      <c r="H60" s="321"/>
      <c r="I60" s="272">
        <f>I59-E59</f>
        <v>72603155</v>
      </c>
      <c r="J60" s="272"/>
    </row>
    <row r="61" spans="2:10">
      <c r="B61" s="156">
        <v>41803</v>
      </c>
      <c r="C61" s="95" t="s">
        <v>541</v>
      </c>
      <c r="D61" s="95"/>
      <c r="E61" s="255"/>
      <c r="F61" s="255">
        <v>1897500</v>
      </c>
      <c r="G61" s="137">
        <f t="shared" si="2"/>
        <v>170708955.70000005</v>
      </c>
      <c r="H61" s="321"/>
      <c r="I61" s="272"/>
      <c r="J61" s="272"/>
    </row>
    <row r="62" spans="2:10">
      <c r="B62" s="156">
        <v>41816</v>
      </c>
      <c r="C62" s="95" t="s">
        <v>542</v>
      </c>
      <c r="D62" s="95"/>
      <c r="E62" s="95"/>
      <c r="F62" s="255">
        <v>1480050</v>
      </c>
      <c r="G62" s="137">
        <f t="shared" si="2"/>
        <v>172189005.70000005</v>
      </c>
      <c r="H62" s="321"/>
      <c r="I62" s="272"/>
      <c r="J62" s="272"/>
    </row>
    <row r="63" spans="2:10">
      <c r="B63" s="156">
        <v>41816</v>
      </c>
      <c r="C63" s="95" t="s">
        <v>543</v>
      </c>
      <c r="D63" s="95"/>
      <c r="E63" s="95"/>
      <c r="F63" s="255">
        <v>4933500</v>
      </c>
      <c r="G63" s="137">
        <f t="shared" si="2"/>
        <v>177122505.70000005</v>
      </c>
      <c r="H63" s="321"/>
      <c r="I63" s="272"/>
      <c r="J63" s="272"/>
    </row>
    <row r="64" spans="2:10">
      <c r="B64" s="156">
        <v>41820</v>
      </c>
      <c r="C64" s="95" t="s">
        <v>544</v>
      </c>
      <c r="D64" s="95"/>
      <c r="E64" s="95"/>
      <c r="F64" s="255">
        <v>3795000</v>
      </c>
      <c r="G64" s="137">
        <f t="shared" si="2"/>
        <v>180917505.70000005</v>
      </c>
      <c r="H64" s="321"/>
      <c r="I64" s="272"/>
      <c r="J64" s="272"/>
    </row>
    <row r="65" spans="2:10">
      <c r="B65" s="156">
        <v>41820</v>
      </c>
      <c r="C65" s="95" t="s">
        <v>545</v>
      </c>
      <c r="D65" s="95"/>
      <c r="E65" s="95"/>
      <c r="F65" s="255">
        <v>3795000</v>
      </c>
      <c r="G65" s="137">
        <f t="shared" si="2"/>
        <v>184712505.70000005</v>
      </c>
      <c r="H65" s="321"/>
      <c r="I65" s="272"/>
      <c r="J65" s="272"/>
    </row>
    <row r="66" spans="2:10">
      <c r="B66" s="156">
        <v>41820</v>
      </c>
      <c r="C66" s="95" t="s">
        <v>546</v>
      </c>
      <c r="D66" s="95"/>
      <c r="E66" s="95"/>
      <c r="F66" s="255">
        <v>10322400</v>
      </c>
      <c r="G66" s="137">
        <f t="shared" si="2"/>
        <v>195034905.70000005</v>
      </c>
      <c r="H66" s="321"/>
      <c r="I66" s="272"/>
      <c r="J66" s="272"/>
    </row>
    <row r="67" spans="2:10">
      <c r="B67" s="156">
        <v>41820</v>
      </c>
      <c r="C67" s="95" t="s">
        <v>547</v>
      </c>
      <c r="D67" s="95"/>
      <c r="E67" s="95"/>
      <c r="F67" s="255">
        <v>5161200</v>
      </c>
      <c r="G67" s="137">
        <f t="shared" si="2"/>
        <v>200196105.70000005</v>
      </c>
      <c r="H67" s="321"/>
      <c r="I67" s="272"/>
      <c r="J67" s="272"/>
    </row>
    <row r="68" spans="2:10">
      <c r="B68" s="156">
        <v>41820</v>
      </c>
      <c r="C68" s="95" t="s">
        <v>548</v>
      </c>
      <c r="D68" s="95"/>
      <c r="E68" s="95"/>
      <c r="F68" s="255">
        <v>48853200</v>
      </c>
      <c r="G68" s="137">
        <f t="shared" si="2"/>
        <v>249049305.70000005</v>
      </c>
      <c r="H68" s="321"/>
      <c r="I68" s="272"/>
      <c r="J68" s="272"/>
    </row>
    <row r="69" spans="2:10">
      <c r="B69" s="156">
        <v>41820</v>
      </c>
      <c r="C69" s="95" t="s">
        <v>549</v>
      </c>
      <c r="D69" s="95"/>
      <c r="E69" s="95"/>
      <c r="F69" s="255">
        <v>1897500</v>
      </c>
      <c r="G69" s="137">
        <f t="shared" si="2"/>
        <v>250946805.70000005</v>
      </c>
      <c r="H69" s="321"/>
      <c r="I69" s="272">
        <f>SUM(F60:F69)</f>
        <v>84032850</v>
      </c>
      <c r="J69" s="272"/>
    </row>
    <row r="70" spans="2:10">
      <c r="B70" s="161">
        <v>41820</v>
      </c>
      <c r="C70" s="440"/>
      <c r="D70" s="440" t="s">
        <v>569</v>
      </c>
      <c r="E70" s="446">
        <v>1790628</v>
      </c>
      <c r="F70" s="255"/>
      <c r="G70" s="137">
        <f t="shared" si="2"/>
        <v>249156177.70000005</v>
      </c>
      <c r="H70" s="321"/>
      <c r="I70" s="272">
        <f>I69-E70</f>
        <v>82242222</v>
      </c>
      <c r="J70" s="272"/>
    </row>
    <row r="71" spans="2:10">
      <c r="B71" s="161">
        <v>41815</v>
      </c>
      <c r="C71" s="440" t="s">
        <v>594</v>
      </c>
      <c r="D71" s="440" t="s">
        <v>595</v>
      </c>
      <c r="E71" s="446">
        <v>94310801</v>
      </c>
      <c r="F71" s="255"/>
      <c r="G71" s="280">
        <f t="shared" si="2"/>
        <v>154845376.70000005</v>
      </c>
      <c r="H71" s="321"/>
      <c r="I71" s="272"/>
      <c r="J71" s="272"/>
    </row>
    <row r="72" spans="2:10">
      <c r="B72" s="161">
        <v>41838</v>
      </c>
      <c r="C72" s="440" t="s">
        <v>604</v>
      </c>
      <c r="D72" s="440" t="s">
        <v>605</v>
      </c>
      <c r="E72" s="446">
        <v>72603155</v>
      </c>
      <c r="F72" s="255"/>
      <c r="G72" s="137">
        <f t="shared" si="2"/>
        <v>82242221.700000048</v>
      </c>
      <c r="H72" s="321"/>
      <c r="I72" s="272"/>
      <c r="J72" s="272"/>
    </row>
    <row r="73" spans="2:10">
      <c r="B73" s="156">
        <v>41832</v>
      </c>
      <c r="C73" s="95" t="s">
        <v>631</v>
      </c>
      <c r="D73" s="95"/>
      <c r="E73" s="95"/>
      <c r="F73" s="255">
        <v>3795000</v>
      </c>
      <c r="G73" s="137">
        <f t="shared" si="2"/>
        <v>86037221.700000048</v>
      </c>
      <c r="H73" s="321"/>
      <c r="I73" s="272"/>
      <c r="J73" s="272"/>
    </row>
    <row r="74" spans="2:10">
      <c r="B74" s="156">
        <v>41835</v>
      </c>
      <c r="C74" s="95" t="s">
        <v>632</v>
      </c>
      <c r="D74" s="95"/>
      <c r="E74" s="95"/>
      <c r="F74" s="255">
        <v>3795000</v>
      </c>
      <c r="G74" s="137">
        <f t="shared" ref="G74:G137" si="3">G73+F74-E74</f>
        <v>89832221.700000048</v>
      </c>
      <c r="H74" s="321"/>
      <c r="I74" s="272"/>
      <c r="J74" s="272"/>
    </row>
    <row r="75" spans="2:10">
      <c r="B75" s="156">
        <v>41837</v>
      </c>
      <c r="C75" s="95" t="s">
        <v>633</v>
      </c>
      <c r="D75" s="95"/>
      <c r="E75" s="95"/>
      <c r="F75" s="255">
        <v>3795000</v>
      </c>
      <c r="G75" s="137">
        <f t="shared" si="3"/>
        <v>93627221.700000048</v>
      </c>
      <c r="H75" s="321"/>
      <c r="I75" s="272"/>
      <c r="J75" s="272"/>
    </row>
    <row r="76" spans="2:10">
      <c r="B76" s="162">
        <v>41850</v>
      </c>
      <c r="C76" s="145" t="s">
        <v>646</v>
      </c>
      <c r="D76" s="146"/>
      <c r="E76" s="443"/>
      <c r="F76" s="255">
        <v>3795000</v>
      </c>
      <c r="G76" s="280">
        <f t="shared" si="3"/>
        <v>97422221.700000048</v>
      </c>
      <c r="H76" s="321"/>
      <c r="I76" s="272">
        <f>SUM(F73:F76)</f>
        <v>15180000</v>
      </c>
      <c r="J76" s="272">
        <f>SUM(E72)</f>
        <v>72603155</v>
      </c>
    </row>
    <row r="77" spans="2:10">
      <c r="B77" s="161">
        <v>41859</v>
      </c>
      <c r="C77" s="440" t="s">
        <v>660</v>
      </c>
      <c r="D77" s="440" t="s">
        <v>611</v>
      </c>
      <c r="E77" s="441">
        <v>82242222</v>
      </c>
      <c r="F77" s="137"/>
      <c r="G77" s="137">
        <f t="shared" si="3"/>
        <v>15179999.700000048</v>
      </c>
      <c r="H77" s="321"/>
      <c r="I77" s="272"/>
      <c r="J77" s="272"/>
    </row>
    <row r="78" spans="2:10">
      <c r="B78" s="156">
        <v>41858</v>
      </c>
      <c r="C78" s="95" t="s">
        <v>710</v>
      </c>
      <c r="D78" s="95"/>
      <c r="E78" s="442"/>
      <c r="F78" s="137">
        <v>3795000</v>
      </c>
      <c r="G78" s="137">
        <f t="shared" si="3"/>
        <v>18974999.700000048</v>
      </c>
      <c r="H78" s="321"/>
      <c r="I78" s="272"/>
      <c r="J78" s="272"/>
    </row>
    <row r="79" spans="2:10">
      <c r="B79" s="156">
        <v>41863</v>
      </c>
      <c r="C79" s="95" t="s">
        <v>711</v>
      </c>
      <c r="D79" s="95"/>
      <c r="E79" s="442"/>
      <c r="F79" s="137">
        <v>1897500</v>
      </c>
      <c r="G79" s="137">
        <f>G78+F79-E79</f>
        <v>20872499.700000048</v>
      </c>
      <c r="H79" s="321"/>
      <c r="I79" s="272"/>
      <c r="J79" s="272"/>
    </row>
    <row r="80" spans="2:10">
      <c r="B80" s="156">
        <v>41863</v>
      </c>
      <c r="C80" s="95" t="s">
        <v>712</v>
      </c>
      <c r="D80" s="95"/>
      <c r="E80" s="442"/>
      <c r="F80" s="137">
        <v>635250</v>
      </c>
      <c r="G80" s="137">
        <f t="shared" si="3"/>
        <v>21507749.700000048</v>
      </c>
      <c r="H80" s="321"/>
      <c r="I80" s="272"/>
      <c r="J80" s="272"/>
    </row>
    <row r="81" spans="2:10">
      <c r="B81" s="156">
        <v>41866</v>
      </c>
      <c r="C81" s="95" t="s">
        <v>714</v>
      </c>
      <c r="D81" s="95"/>
      <c r="E81" s="255"/>
      <c r="F81" s="137">
        <v>6527400</v>
      </c>
      <c r="G81" s="137">
        <f t="shared" si="3"/>
        <v>28035149.700000048</v>
      </c>
      <c r="H81" s="321"/>
      <c r="I81" s="272"/>
      <c r="J81" s="272"/>
    </row>
    <row r="82" spans="2:10">
      <c r="B82" s="156">
        <v>41870</v>
      </c>
      <c r="C82" s="95" t="s">
        <v>713</v>
      </c>
      <c r="D82" s="95"/>
      <c r="E82" s="442"/>
      <c r="F82" s="137">
        <v>12863400</v>
      </c>
      <c r="G82" s="137">
        <f t="shared" si="3"/>
        <v>40898549.700000048</v>
      </c>
      <c r="H82" s="321"/>
      <c r="I82" s="272"/>
      <c r="J82" s="272"/>
    </row>
    <row r="83" spans="2:10">
      <c r="B83" s="156">
        <v>41872</v>
      </c>
      <c r="C83" s="95" t="s">
        <v>715</v>
      </c>
      <c r="D83" s="95"/>
      <c r="E83" s="255"/>
      <c r="F83" s="137">
        <v>8893500</v>
      </c>
      <c r="G83" s="137">
        <f t="shared" si="3"/>
        <v>49792049.700000048</v>
      </c>
      <c r="H83" s="321"/>
      <c r="I83" s="272"/>
      <c r="J83" s="272"/>
    </row>
    <row r="84" spans="2:10">
      <c r="B84" s="156">
        <v>41876</v>
      </c>
      <c r="C84" s="95" t="s">
        <v>716</v>
      </c>
      <c r="D84" s="95"/>
      <c r="E84" s="442"/>
      <c r="F84" s="137">
        <v>4438500</v>
      </c>
      <c r="G84" s="137">
        <f t="shared" si="3"/>
        <v>54230549.700000048</v>
      </c>
      <c r="H84" s="321"/>
      <c r="I84" s="272"/>
      <c r="J84" s="272"/>
    </row>
    <row r="85" spans="2:10">
      <c r="B85" s="156">
        <v>41878</v>
      </c>
      <c r="C85" s="95" t="s">
        <v>717</v>
      </c>
      <c r="D85" s="95"/>
      <c r="E85" s="255"/>
      <c r="F85" s="137">
        <v>5692500</v>
      </c>
      <c r="G85" s="137">
        <f t="shared" si="3"/>
        <v>59923049.700000048</v>
      </c>
      <c r="H85" s="321"/>
      <c r="I85" s="272"/>
      <c r="J85" s="272"/>
    </row>
    <row r="86" spans="2:10">
      <c r="B86" s="156">
        <v>41880</v>
      </c>
      <c r="C86" s="95" t="s">
        <v>718</v>
      </c>
      <c r="D86" s="95"/>
      <c r="E86" s="442"/>
      <c r="F86" s="137">
        <v>3795000</v>
      </c>
      <c r="G86" s="137">
        <f t="shared" si="3"/>
        <v>63718049.700000048</v>
      </c>
      <c r="H86" s="321"/>
      <c r="I86" s="272">
        <f>SUM(F78:F86)</f>
        <v>48538050</v>
      </c>
      <c r="J86" s="635">
        <f>SUM(E77)</f>
        <v>82242222</v>
      </c>
    </row>
    <row r="87" spans="2:10">
      <c r="B87" s="161">
        <v>41880</v>
      </c>
      <c r="C87" s="440"/>
      <c r="D87" s="440" t="s">
        <v>719</v>
      </c>
      <c r="E87" s="441">
        <v>10642187</v>
      </c>
      <c r="F87" s="137"/>
      <c r="G87" s="280">
        <f t="shared" si="3"/>
        <v>53075862.700000048</v>
      </c>
      <c r="H87" s="321"/>
      <c r="I87" s="272"/>
      <c r="J87" s="272"/>
    </row>
    <row r="88" spans="2:10">
      <c r="B88" s="156"/>
      <c r="C88" s="95"/>
      <c r="D88" s="95"/>
      <c r="E88" s="442"/>
      <c r="F88" s="137"/>
      <c r="G88" s="137">
        <f t="shared" si="3"/>
        <v>53075862.700000048</v>
      </c>
      <c r="H88" s="321"/>
      <c r="I88" s="272"/>
      <c r="J88" s="272"/>
    </row>
    <row r="89" spans="2:10">
      <c r="B89" s="156"/>
      <c r="C89" s="95"/>
      <c r="D89" s="95"/>
      <c r="E89" s="442"/>
      <c r="F89" s="137"/>
      <c r="G89" s="137">
        <f t="shared" si="3"/>
        <v>53075862.700000048</v>
      </c>
      <c r="H89" s="321"/>
      <c r="I89" s="272"/>
      <c r="J89" s="272"/>
    </row>
    <row r="90" spans="2:10">
      <c r="B90" s="156"/>
      <c r="C90" s="95"/>
      <c r="D90" s="95"/>
      <c r="E90" s="442"/>
      <c r="F90" s="137"/>
      <c r="G90" s="137">
        <f t="shared" si="3"/>
        <v>53075862.700000048</v>
      </c>
      <c r="H90" s="321"/>
      <c r="I90" s="272"/>
      <c r="J90" s="272"/>
    </row>
    <row r="91" spans="2:10">
      <c r="B91" s="156"/>
      <c r="C91" s="95"/>
      <c r="D91" s="95"/>
      <c r="E91" s="442"/>
      <c r="F91" s="137"/>
      <c r="G91" s="137">
        <f t="shared" si="3"/>
        <v>53075862.700000048</v>
      </c>
      <c r="H91" s="321"/>
      <c r="I91" s="272"/>
      <c r="J91" s="272"/>
    </row>
    <row r="92" spans="2:10">
      <c r="B92" s="156"/>
      <c r="C92" s="95"/>
      <c r="D92" s="95"/>
      <c r="E92" s="442"/>
      <c r="F92" s="137"/>
      <c r="G92" s="137">
        <f t="shared" si="3"/>
        <v>53075862.700000048</v>
      </c>
      <c r="H92" s="321"/>
      <c r="I92" s="272"/>
      <c r="J92" s="272"/>
    </row>
    <row r="93" spans="2:10">
      <c r="B93" s="162"/>
      <c r="C93" s="95"/>
      <c r="D93" s="95"/>
      <c r="E93" s="442"/>
      <c r="F93" s="137"/>
      <c r="G93" s="137">
        <f t="shared" si="3"/>
        <v>53075862.700000048</v>
      </c>
      <c r="H93" s="321"/>
      <c r="I93" s="272"/>
      <c r="J93" s="272"/>
    </row>
    <row r="94" spans="2:10">
      <c r="B94" s="162"/>
      <c r="C94" s="143"/>
      <c r="D94" s="143"/>
      <c r="E94" s="335"/>
      <c r="F94" s="144"/>
      <c r="G94" s="137">
        <f t="shared" si="3"/>
        <v>53075862.700000048</v>
      </c>
      <c r="H94" s="321"/>
      <c r="I94" s="272"/>
      <c r="J94" s="272"/>
    </row>
    <row r="95" spans="2:10">
      <c r="B95" s="156"/>
      <c r="C95" s="95"/>
      <c r="D95" s="95"/>
      <c r="E95" s="255"/>
      <c r="F95" s="137"/>
      <c r="G95" s="137">
        <f t="shared" si="3"/>
        <v>53075862.700000048</v>
      </c>
      <c r="H95" s="321"/>
      <c r="I95" s="272">
        <f>SUM(F84:F94)</f>
        <v>13926000</v>
      </c>
      <c r="J95" s="272"/>
    </row>
    <row r="96" spans="2:10">
      <c r="B96" s="156"/>
      <c r="C96" s="95"/>
      <c r="D96" s="95"/>
      <c r="E96" s="137"/>
      <c r="F96" s="137"/>
      <c r="G96" s="137">
        <f t="shared" si="3"/>
        <v>53075862.700000048</v>
      </c>
      <c r="H96" s="321"/>
      <c r="I96" s="272">
        <f>SUM(E95:E96)</f>
        <v>0</v>
      </c>
      <c r="J96" s="272"/>
    </row>
    <row r="97" spans="2:10">
      <c r="B97" s="156"/>
      <c r="C97" s="95"/>
      <c r="D97" s="95"/>
      <c r="E97" s="255"/>
      <c r="F97" s="137"/>
      <c r="G97" s="137">
        <f t="shared" si="3"/>
        <v>53075862.700000048</v>
      </c>
      <c r="H97" s="321"/>
      <c r="I97" s="272">
        <f>I95-I96</f>
        <v>13926000</v>
      </c>
      <c r="J97" s="272"/>
    </row>
    <row r="98" spans="2:10">
      <c r="B98" s="156"/>
      <c r="C98" s="95"/>
      <c r="D98" s="95"/>
      <c r="E98" s="137"/>
      <c r="F98" s="137"/>
      <c r="G98" s="137">
        <f t="shared" si="3"/>
        <v>53075862.700000048</v>
      </c>
      <c r="H98" s="321"/>
      <c r="I98" s="272"/>
      <c r="J98" s="272"/>
    </row>
    <row r="99" spans="2:10">
      <c r="B99" s="156"/>
      <c r="C99" s="95"/>
      <c r="D99" s="95"/>
      <c r="E99" s="442"/>
      <c r="F99" s="137"/>
      <c r="G99" s="137">
        <f t="shared" si="3"/>
        <v>53075862.700000048</v>
      </c>
      <c r="H99" s="321"/>
      <c r="I99" s="272"/>
      <c r="J99" s="272"/>
    </row>
    <row r="100" spans="2:10">
      <c r="B100" s="162"/>
      <c r="C100" s="145"/>
      <c r="D100" s="146"/>
      <c r="E100" s="443"/>
      <c r="F100" s="255"/>
      <c r="G100" s="137">
        <f t="shared" si="3"/>
        <v>53075862.700000048</v>
      </c>
      <c r="H100" s="321"/>
      <c r="I100" s="272"/>
      <c r="J100" s="272"/>
    </row>
    <row r="101" spans="2:10">
      <c r="B101" s="162"/>
      <c r="C101" s="145"/>
      <c r="D101" s="146"/>
      <c r="E101" s="147"/>
      <c r="F101" s="447"/>
      <c r="G101" s="137">
        <f t="shared" si="3"/>
        <v>53075862.700000048</v>
      </c>
      <c r="H101" s="321"/>
      <c r="I101" s="272"/>
      <c r="J101" s="272"/>
    </row>
    <row r="102" spans="2:10">
      <c r="B102" s="156"/>
      <c r="C102" s="95"/>
      <c r="D102" s="95"/>
      <c r="E102" s="442"/>
      <c r="F102" s="137"/>
      <c r="G102" s="137">
        <f t="shared" si="3"/>
        <v>53075862.700000048</v>
      </c>
      <c r="H102" s="321"/>
      <c r="I102" s="272"/>
      <c r="J102" s="272"/>
    </row>
    <row r="103" spans="2:10">
      <c r="B103" s="156"/>
      <c r="C103" s="95"/>
      <c r="D103" s="95"/>
      <c r="E103" s="137"/>
      <c r="F103" s="137"/>
      <c r="G103" s="137">
        <f t="shared" si="3"/>
        <v>53075862.700000048</v>
      </c>
      <c r="H103" s="321"/>
      <c r="I103" s="272">
        <f>SUM(F99:F102)</f>
        <v>0</v>
      </c>
      <c r="J103" s="272"/>
    </row>
    <row r="104" spans="2:10">
      <c r="B104" s="156"/>
      <c r="C104" s="95"/>
      <c r="D104" s="95"/>
      <c r="E104" s="442"/>
      <c r="F104" s="137"/>
      <c r="G104" s="137">
        <f t="shared" si="3"/>
        <v>53075862.700000048</v>
      </c>
      <c r="H104" s="321"/>
      <c r="I104" s="272">
        <f>I103-E103</f>
        <v>0</v>
      </c>
      <c r="J104" s="272">
        <f>SUM(E97:E98)</f>
        <v>0</v>
      </c>
    </row>
    <row r="105" spans="2:10">
      <c r="B105" s="156"/>
      <c r="C105" s="95"/>
      <c r="D105" s="95"/>
      <c r="E105" s="442"/>
      <c r="F105" s="137"/>
      <c r="G105" s="137">
        <f t="shared" si="3"/>
        <v>53075862.700000048</v>
      </c>
      <c r="H105" s="321"/>
      <c r="I105" s="272"/>
      <c r="J105" s="272"/>
    </row>
    <row r="106" spans="2:10">
      <c r="B106" s="156"/>
      <c r="C106" s="95"/>
      <c r="D106" s="95"/>
      <c r="E106" s="442"/>
      <c r="F106" s="137"/>
      <c r="G106" s="137">
        <f t="shared" si="3"/>
        <v>53075862.700000048</v>
      </c>
      <c r="H106" s="321"/>
      <c r="I106" s="272"/>
      <c r="J106" s="272"/>
    </row>
    <row r="107" spans="2:10">
      <c r="B107" s="156"/>
      <c r="C107" s="95"/>
      <c r="D107" s="95"/>
      <c r="E107" s="442"/>
      <c r="F107" s="137"/>
      <c r="G107" s="137">
        <f t="shared" si="3"/>
        <v>53075862.700000048</v>
      </c>
      <c r="H107" s="321"/>
      <c r="I107" s="272"/>
      <c r="J107" s="272"/>
    </row>
    <row r="108" spans="2:10">
      <c r="B108" s="156"/>
      <c r="C108" s="95"/>
      <c r="D108" s="95"/>
      <c r="E108" s="442"/>
      <c r="F108" s="137"/>
      <c r="G108" s="137">
        <f t="shared" si="3"/>
        <v>53075862.700000048</v>
      </c>
      <c r="H108" s="321"/>
      <c r="I108" s="272"/>
      <c r="J108" s="272"/>
    </row>
    <row r="109" spans="2:10">
      <c r="B109" s="156"/>
      <c r="C109" s="95"/>
      <c r="D109" s="95"/>
      <c r="E109" s="442"/>
      <c r="F109" s="137"/>
      <c r="G109" s="137">
        <f t="shared" si="3"/>
        <v>53075862.700000048</v>
      </c>
      <c r="H109" s="321"/>
      <c r="I109" s="272"/>
      <c r="J109" s="272"/>
    </row>
    <row r="110" spans="2:10">
      <c r="B110" s="156"/>
      <c r="C110" s="95"/>
      <c r="D110" s="95"/>
      <c r="E110" s="442"/>
      <c r="F110" s="137"/>
      <c r="G110" s="137">
        <f t="shared" si="3"/>
        <v>53075862.700000048</v>
      </c>
      <c r="H110" s="321"/>
      <c r="I110" s="272"/>
      <c r="J110" s="272"/>
    </row>
    <row r="111" spans="2:10">
      <c r="B111" s="156"/>
      <c r="C111" s="95"/>
      <c r="D111" s="95"/>
      <c r="E111" s="442"/>
      <c r="F111" s="137"/>
      <c r="G111" s="137">
        <f t="shared" si="3"/>
        <v>53075862.700000048</v>
      </c>
      <c r="H111" s="321"/>
      <c r="I111" s="272"/>
      <c r="J111" s="272"/>
    </row>
    <row r="112" spans="2:10">
      <c r="B112" s="156"/>
      <c r="C112" s="95"/>
      <c r="D112" s="95"/>
      <c r="E112" s="442"/>
      <c r="F112" s="137"/>
      <c r="G112" s="137">
        <f t="shared" si="3"/>
        <v>53075862.700000048</v>
      </c>
      <c r="H112" s="321"/>
      <c r="I112" s="272"/>
      <c r="J112" s="272"/>
    </row>
    <row r="113" spans="2:10">
      <c r="B113" s="156"/>
      <c r="C113" s="95"/>
      <c r="D113" s="95"/>
      <c r="E113" s="442"/>
      <c r="F113" s="137"/>
      <c r="G113" s="137">
        <f t="shared" si="3"/>
        <v>53075862.700000048</v>
      </c>
      <c r="H113" s="321"/>
      <c r="I113" s="272"/>
      <c r="J113" s="272"/>
    </row>
    <row r="114" spans="2:10">
      <c r="B114" s="156"/>
      <c r="C114" s="95"/>
      <c r="D114" s="95"/>
      <c r="E114" s="442"/>
      <c r="F114" s="137"/>
      <c r="G114" s="137">
        <f t="shared" si="3"/>
        <v>53075862.700000048</v>
      </c>
      <c r="H114" s="321"/>
      <c r="I114" s="272"/>
      <c r="J114" s="272"/>
    </row>
    <row r="115" spans="2:10">
      <c r="B115" s="156"/>
      <c r="C115" s="95"/>
      <c r="D115" s="95"/>
      <c r="E115" s="442"/>
      <c r="F115" s="137"/>
      <c r="G115" s="137">
        <f t="shared" si="3"/>
        <v>53075862.700000048</v>
      </c>
      <c r="H115" s="321"/>
      <c r="I115" s="272"/>
      <c r="J115" s="272"/>
    </row>
    <row r="116" spans="2:10">
      <c r="B116" s="156"/>
      <c r="C116" s="95"/>
      <c r="D116" s="95"/>
      <c r="E116" s="137"/>
      <c r="F116" s="137"/>
      <c r="G116" s="137">
        <f t="shared" si="3"/>
        <v>53075862.700000048</v>
      </c>
      <c r="H116" s="321"/>
      <c r="I116" s="272">
        <f>SUM(F104:F115)</f>
        <v>0</v>
      </c>
      <c r="J116" s="272"/>
    </row>
    <row r="117" spans="2:10">
      <c r="B117" s="156"/>
      <c r="C117" s="95"/>
      <c r="D117" s="95"/>
      <c r="E117" s="137"/>
      <c r="F117" s="137"/>
      <c r="G117" s="137">
        <f t="shared" si="3"/>
        <v>53075862.700000048</v>
      </c>
      <c r="H117" s="321"/>
      <c r="I117" s="272">
        <f>I116-E116</f>
        <v>0</v>
      </c>
      <c r="J117" s="272"/>
    </row>
    <row r="118" spans="2:10">
      <c r="B118" s="156"/>
      <c r="C118" s="95"/>
      <c r="D118" s="95"/>
      <c r="E118" s="442"/>
      <c r="F118" s="137"/>
      <c r="G118" s="137">
        <f t="shared" si="3"/>
        <v>53075862.700000048</v>
      </c>
      <c r="H118" s="321"/>
      <c r="I118" s="272"/>
      <c r="J118" s="272"/>
    </row>
    <row r="119" spans="2:10">
      <c r="B119" s="156"/>
      <c r="C119" s="95"/>
      <c r="D119" s="95"/>
      <c r="E119" s="442"/>
      <c r="F119" s="137"/>
      <c r="G119" s="137">
        <f t="shared" si="3"/>
        <v>53075862.700000048</v>
      </c>
      <c r="H119" s="321"/>
      <c r="I119" s="272"/>
      <c r="J119" s="272"/>
    </row>
    <row r="120" spans="2:10">
      <c r="B120" s="156"/>
      <c r="C120" s="95"/>
      <c r="D120" s="95"/>
      <c r="E120" s="442"/>
      <c r="F120" s="137"/>
      <c r="G120" s="137">
        <f t="shared" si="3"/>
        <v>53075862.700000048</v>
      </c>
      <c r="H120" s="321"/>
      <c r="I120" s="272"/>
      <c r="J120" s="272"/>
    </row>
    <row r="121" spans="2:10">
      <c r="B121" s="156"/>
      <c r="C121" s="95"/>
      <c r="D121" s="95"/>
      <c r="E121" s="442"/>
      <c r="F121" s="137"/>
      <c r="G121" s="137">
        <f t="shared" si="3"/>
        <v>53075862.700000048</v>
      </c>
      <c r="H121" s="321"/>
      <c r="I121" s="272"/>
      <c r="J121" s="272"/>
    </row>
    <row r="122" spans="2:10">
      <c r="B122" s="156"/>
      <c r="C122" s="95"/>
      <c r="D122" s="95"/>
      <c r="E122" s="442"/>
      <c r="F122" s="137"/>
      <c r="G122" s="137">
        <f t="shared" si="3"/>
        <v>53075862.700000048</v>
      </c>
      <c r="H122" s="321"/>
      <c r="I122" s="272"/>
      <c r="J122" s="272"/>
    </row>
    <row r="123" spans="2:10">
      <c r="B123" s="156"/>
      <c r="C123" s="95"/>
      <c r="D123" s="95"/>
      <c r="E123" s="442"/>
      <c r="F123" s="137"/>
      <c r="G123" s="137">
        <f t="shared" si="3"/>
        <v>53075862.700000048</v>
      </c>
      <c r="H123" s="321"/>
      <c r="I123" s="272"/>
      <c r="J123" s="272"/>
    </row>
    <row r="124" spans="2:10">
      <c r="B124" s="156"/>
      <c r="C124" s="95"/>
      <c r="D124" s="95"/>
      <c r="E124" s="442"/>
      <c r="F124" s="137"/>
      <c r="G124" s="137">
        <f t="shared" si="3"/>
        <v>53075862.700000048</v>
      </c>
      <c r="H124" s="321"/>
      <c r="I124" s="272"/>
      <c r="J124" s="272"/>
    </row>
    <row r="125" spans="2:10">
      <c r="B125" s="156"/>
      <c r="C125" s="95"/>
      <c r="D125" s="95"/>
      <c r="E125" s="442"/>
      <c r="F125" s="137"/>
      <c r="G125" s="137">
        <f t="shared" si="3"/>
        <v>53075862.700000048</v>
      </c>
      <c r="H125" s="321"/>
      <c r="I125" s="272"/>
      <c r="J125" s="272"/>
    </row>
    <row r="126" spans="2:10">
      <c r="B126" s="156"/>
      <c r="C126" s="95"/>
      <c r="D126" s="95"/>
      <c r="E126" s="442"/>
      <c r="F126" s="137"/>
      <c r="G126" s="137">
        <f t="shared" si="3"/>
        <v>53075862.700000048</v>
      </c>
      <c r="H126" s="321"/>
      <c r="I126" s="272"/>
      <c r="J126" s="272"/>
    </row>
    <row r="127" spans="2:10">
      <c r="B127" s="162"/>
      <c r="C127" s="143"/>
      <c r="D127" s="143"/>
      <c r="E127" s="535"/>
      <c r="F127" s="255"/>
      <c r="G127" s="137">
        <f t="shared" si="3"/>
        <v>53075862.700000048</v>
      </c>
      <c r="H127" s="321"/>
      <c r="I127" s="272"/>
      <c r="J127" s="272"/>
    </row>
    <row r="128" spans="2:10">
      <c r="B128" s="162"/>
      <c r="C128" s="145"/>
      <c r="D128" s="146"/>
      <c r="E128" s="147"/>
      <c r="F128" s="447"/>
      <c r="G128" s="137">
        <f t="shared" si="3"/>
        <v>53075862.700000048</v>
      </c>
      <c r="H128" s="321"/>
      <c r="I128" s="272"/>
      <c r="J128" s="272"/>
    </row>
    <row r="129" spans="2:10">
      <c r="B129" s="162"/>
      <c r="C129" s="143"/>
      <c r="D129" s="143"/>
      <c r="E129" s="335"/>
      <c r="F129" s="144"/>
      <c r="G129" s="137">
        <f t="shared" si="3"/>
        <v>53075862.700000048</v>
      </c>
      <c r="H129" s="321"/>
      <c r="I129" s="272"/>
      <c r="J129" s="272"/>
    </row>
    <row r="130" spans="2:10">
      <c r="B130" s="162"/>
      <c r="C130" s="143"/>
      <c r="D130" s="143"/>
      <c r="E130" s="335"/>
      <c r="F130" s="144"/>
      <c r="G130" s="137">
        <f t="shared" si="3"/>
        <v>53075862.700000048</v>
      </c>
      <c r="H130" s="321"/>
      <c r="I130" s="272"/>
      <c r="J130" s="272"/>
    </row>
    <row r="131" spans="2:10">
      <c r="B131" s="162"/>
      <c r="C131" s="143"/>
      <c r="D131" s="143"/>
      <c r="E131" s="335"/>
      <c r="F131" s="144"/>
      <c r="G131" s="137">
        <f t="shared" si="3"/>
        <v>53075862.700000048</v>
      </c>
      <c r="H131" s="321"/>
      <c r="I131" s="272"/>
      <c r="J131" s="272"/>
    </row>
    <row r="132" spans="2:10">
      <c r="B132" s="162"/>
      <c r="C132" s="143"/>
      <c r="D132" s="143"/>
      <c r="E132" s="335"/>
      <c r="F132" s="144"/>
      <c r="G132" s="137">
        <f t="shared" si="3"/>
        <v>53075862.700000048</v>
      </c>
      <c r="H132" s="321"/>
      <c r="I132" s="272"/>
      <c r="J132" s="272"/>
    </row>
    <row r="133" spans="2:10">
      <c r="B133" s="162"/>
      <c r="C133" s="143"/>
      <c r="D133" s="143"/>
      <c r="E133" s="335"/>
      <c r="F133" s="144"/>
      <c r="G133" s="137">
        <f t="shared" si="3"/>
        <v>53075862.700000048</v>
      </c>
      <c r="H133" s="321"/>
      <c r="I133" s="272"/>
      <c r="J133" s="272"/>
    </row>
    <row r="134" spans="2:10">
      <c r="B134" s="162"/>
      <c r="C134" s="143"/>
      <c r="D134" s="143"/>
      <c r="E134" s="335"/>
      <c r="F134" s="144"/>
      <c r="G134" s="137">
        <f t="shared" si="3"/>
        <v>53075862.700000048</v>
      </c>
      <c r="H134" s="321"/>
      <c r="I134" s="272"/>
      <c r="J134" s="272"/>
    </row>
    <row r="135" spans="2:10">
      <c r="B135" s="162"/>
      <c r="C135" s="143"/>
      <c r="D135" s="143"/>
      <c r="E135" s="536"/>
      <c r="F135" s="144"/>
      <c r="G135" s="137">
        <f t="shared" si="3"/>
        <v>53075862.700000048</v>
      </c>
      <c r="H135" s="321"/>
      <c r="I135" s="272"/>
      <c r="J135" s="272"/>
    </row>
    <row r="136" spans="2:10">
      <c r="B136" s="162"/>
      <c r="C136" s="143"/>
      <c r="D136" s="143"/>
      <c r="E136" s="335"/>
      <c r="F136" s="144"/>
      <c r="G136" s="137">
        <f t="shared" si="3"/>
        <v>53075862.700000048</v>
      </c>
      <c r="H136" s="321"/>
      <c r="I136" s="272"/>
      <c r="J136" s="272"/>
    </row>
    <row r="137" spans="2:10">
      <c r="B137" s="162"/>
      <c r="C137" s="143"/>
      <c r="D137" s="143"/>
      <c r="E137" s="335"/>
      <c r="F137" s="144"/>
      <c r="G137" s="137">
        <f t="shared" si="3"/>
        <v>53075862.700000048</v>
      </c>
      <c r="H137" s="321"/>
      <c r="I137" s="272"/>
      <c r="J137" s="272"/>
    </row>
    <row r="138" spans="2:10">
      <c r="B138" s="162"/>
      <c r="C138" s="143"/>
      <c r="D138" s="143"/>
      <c r="E138" s="335"/>
      <c r="F138" s="144"/>
      <c r="G138" s="137">
        <f>G137+F138-E138</f>
        <v>53075862.700000048</v>
      </c>
      <c r="H138" s="321"/>
      <c r="I138" s="272"/>
      <c r="J138" s="272"/>
    </row>
    <row r="139" spans="2:10">
      <c r="B139" s="162"/>
      <c r="C139" s="143"/>
      <c r="D139" s="143"/>
      <c r="E139" s="536"/>
      <c r="F139" s="144"/>
      <c r="G139" s="137">
        <f>G138+F139-E139</f>
        <v>53075862.700000048</v>
      </c>
      <c r="H139" s="321"/>
      <c r="I139" s="272"/>
      <c r="J139" s="272"/>
    </row>
    <row r="140" spans="2:10" ht="15.75" thickBot="1">
      <c r="B140" s="303"/>
      <c r="C140" s="304"/>
      <c r="D140" s="316"/>
      <c r="E140" s="304"/>
      <c r="F140" s="42"/>
      <c r="G140" s="437"/>
      <c r="H140" s="321"/>
      <c r="I140" s="272"/>
      <c r="J140" s="272"/>
    </row>
    <row r="141" spans="2:10" ht="15.75" thickTop="1">
      <c r="I141" s="40"/>
      <c r="J141" s="40"/>
    </row>
  </sheetData>
  <sortState ref="B81:F82">
    <sortCondition ref="B82"/>
  </sortState>
  <mergeCells count="5">
    <mergeCell ref="B1:G1"/>
    <mergeCell ref="D4:D5"/>
    <mergeCell ref="B2:G2"/>
    <mergeCell ref="I4:I5"/>
    <mergeCell ref="J4:J5"/>
  </mergeCells>
  <pageMargins left="0.69" right="0.47244094488188981" top="0.39370078740157483" bottom="0.62992125984251968" header="0.31496062992125984" footer="0.51181102362204722"/>
  <pageSetup paperSize="9" scale="90" orientation="portrait" r:id="rId1"/>
  <headerFooter>
    <oddFooter>Page &amp;P of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B1:L1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26" sqref="F26"/>
    </sheetView>
  </sheetViews>
  <sheetFormatPr defaultRowHeight="15"/>
  <cols>
    <col min="1" max="1" width="3" style="40" customWidth="1"/>
    <col min="2" max="2" width="11.7109375" style="697" customWidth="1"/>
    <col min="3" max="3" width="20.42578125" style="40" customWidth="1"/>
    <col min="4" max="5" width="11.7109375" style="40" customWidth="1"/>
    <col min="6" max="7" width="11.7109375" style="52" customWidth="1"/>
    <col min="8" max="8" width="12.28515625" style="406" customWidth="1"/>
    <col min="9" max="9" width="14.140625" style="53" customWidth="1"/>
    <col min="10" max="10" width="2.140625" style="40" customWidth="1"/>
    <col min="11" max="11" width="15.5703125" style="104" customWidth="1"/>
    <col min="12" max="12" width="16.7109375" style="104" bestFit="1" customWidth="1"/>
    <col min="13" max="16384" width="9.140625" style="40"/>
  </cols>
  <sheetData>
    <row r="1" spans="2:12" ht="18.75">
      <c r="B1" s="672" t="s">
        <v>198</v>
      </c>
      <c r="C1" s="672"/>
      <c r="D1" s="672"/>
      <c r="E1" s="672"/>
      <c r="F1" s="672"/>
      <c r="G1" s="672"/>
      <c r="H1" s="672"/>
      <c r="I1" s="672"/>
    </row>
    <row r="2" spans="2:12" ht="18.75">
      <c r="B2" s="672" t="s">
        <v>46</v>
      </c>
      <c r="C2" s="672"/>
      <c r="D2" s="672"/>
      <c r="E2" s="672"/>
      <c r="F2" s="672"/>
      <c r="G2" s="672"/>
      <c r="H2" s="672"/>
      <c r="I2" s="672"/>
    </row>
    <row r="3" spans="2:12" ht="15.75" thickBot="1">
      <c r="B3" s="687"/>
      <c r="C3" s="41"/>
      <c r="F3" s="42"/>
      <c r="G3" s="42"/>
      <c r="H3" s="401"/>
      <c r="I3" s="43"/>
    </row>
    <row r="4" spans="2:12" ht="15.75" customHeight="1" thickTop="1">
      <c r="B4" s="688" t="s">
        <v>10</v>
      </c>
      <c r="C4" s="45" t="s">
        <v>11</v>
      </c>
      <c r="D4" s="680" t="s">
        <v>9</v>
      </c>
      <c r="E4" s="681"/>
      <c r="F4" s="678" t="s">
        <v>13</v>
      </c>
      <c r="G4" s="679"/>
      <c r="H4" s="678" t="s">
        <v>8</v>
      </c>
      <c r="I4" s="679"/>
      <c r="K4" s="675" t="s">
        <v>22</v>
      </c>
      <c r="L4" s="675" t="s">
        <v>23</v>
      </c>
    </row>
    <row r="5" spans="2:12" ht="15.75" thickBot="1">
      <c r="B5" s="689" t="s">
        <v>14</v>
      </c>
      <c r="C5" s="47" t="s">
        <v>15</v>
      </c>
      <c r="D5" s="48" t="s">
        <v>30</v>
      </c>
      <c r="E5" s="48" t="s">
        <v>16</v>
      </c>
      <c r="F5" s="48" t="s">
        <v>30</v>
      </c>
      <c r="G5" s="408" t="s">
        <v>16</v>
      </c>
      <c r="H5" s="428" t="s">
        <v>30</v>
      </c>
      <c r="I5" s="48" t="s">
        <v>16</v>
      </c>
      <c r="K5" s="675"/>
      <c r="L5" s="675"/>
    </row>
    <row r="6" spans="2:12" ht="15.75" thickTop="1">
      <c r="B6" s="690"/>
      <c r="C6" s="93"/>
      <c r="D6" s="94"/>
      <c r="E6" s="195"/>
      <c r="F6" s="92"/>
      <c r="G6" s="150"/>
      <c r="H6" s="403"/>
      <c r="I6" s="37"/>
    </row>
    <row r="7" spans="2:12" s="321" customFormat="1">
      <c r="B7" s="691">
        <v>41639</v>
      </c>
      <c r="C7" s="258" t="s">
        <v>25</v>
      </c>
      <c r="D7" s="147"/>
      <c r="E7" s="147"/>
      <c r="F7" s="407"/>
      <c r="G7" s="150"/>
      <c r="H7" s="574">
        <f>H6+F7-D7</f>
        <v>0</v>
      </c>
      <c r="I7" s="196">
        <f>G7</f>
        <v>0</v>
      </c>
      <c r="K7" s="272"/>
      <c r="L7" s="272"/>
    </row>
    <row r="8" spans="2:12">
      <c r="B8" s="692">
        <v>41694</v>
      </c>
      <c r="C8" s="207" t="s">
        <v>187</v>
      </c>
      <c r="D8" s="397"/>
      <c r="E8" s="147"/>
      <c r="F8" s="397">
        <v>2640</v>
      </c>
      <c r="G8" s="150">
        <f>F8*12251</f>
        <v>32342640</v>
      </c>
      <c r="H8" s="574">
        <f>H7+F8</f>
        <v>2640</v>
      </c>
      <c r="I8" s="474">
        <f>I7+G8</f>
        <v>32342640</v>
      </c>
    </row>
    <row r="9" spans="2:12">
      <c r="B9" s="693">
        <v>41710</v>
      </c>
      <c r="C9" s="371" t="s">
        <v>245</v>
      </c>
      <c r="D9" s="396">
        <v>2640</v>
      </c>
      <c r="E9" s="195">
        <v>32342640</v>
      </c>
      <c r="F9" s="397"/>
      <c r="G9" s="150"/>
      <c r="H9" s="414">
        <f>H8-D9</f>
        <v>0</v>
      </c>
      <c r="I9" s="457">
        <f>I8-E9</f>
        <v>0</v>
      </c>
      <c r="J9" s="321"/>
      <c r="K9" s="272"/>
      <c r="L9" s="272"/>
    </row>
    <row r="10" spans="2:12">
      <c r="B10" s="692">
        <v>41808</v>
      </c>
      <c r="C10" s="667" t="s">
        <v>735</v>
      </c>
      <c r="D10" s="397"/>
      <c r="E10" s="147"/>
      <c r="F10" s="397">
        <v>66000</v>
      </c>
      <c r="G10" s="150">
        <v>778668000</v>
      </c>
      <c r="H10" s="574">
        <f>F10</f>
        <v>66000</v>
      </c>
      <c r="I10" s="474">
        <f>G10</f>
        <v>778668000</v>
      </c>
      <c r="J10" s="321"/>
      <c r="K10" s="272"/>
      <c r="L10" s="272"/>
    </row>
    <row r="11" spans="2:12">
      <c r="B11" s="692"/>
      <c r="C11" s="38"/>
      <c r="D11" s="397"/>
      <c r="E11" s="147"/>
      <c r="F11" s="397"/>
      <c r="G11" s="150"/>
      <c r="H11" s="410"/>
      <c r="I11" s="457"/>
      <c r="J11" s="321"/>
      <c r="K11" s="272"/>
      <c r="L11" s="272"/>
    </row>
    <row r="12" spans="2:12">
      <c r="B12" s="693"/>
      <c r="C12" s="371"/>
      <c r="D12" s="396"/>
      <c r="E12" s="147"/>
      <c r="F12" s="397"/>
      <c r="G12" s="150"/>
      <c r="H12" s="574"/>
      <c r="I12" s="409"/>
      <c r="J12" s="321"/>
      <c r="K12" s="272"/>
      <c r="L12" s="272"/>
    </row>
    <row r="13" spans="2:12">
      <c r="B13" s="694"/>
      <c r="C13" s="324"/>
      <c r="D13" s="400"/>
      <c r="E13" s="325"/>
      <c r="F13" s="400"/>
      <c r="G13" s="320"/>
      <c r="H13" s="403"/>
      <c r="I13" s="196"/>
      <c r="J13" s="321"/>
      <c r="K13" s="272"/>
      <c r="L13" s="272"/>
    </row>
    <row r="14" spans="2:12">
      <c r="B14" s="695"/>
      <c r="C14" s="458"/>
      <c r="D14" s="459"/>
      <c r="E14" s="482"/>
      <c r="F14" s="400"/>
      <c r="G14" s="320"/>
      <c r="H14" s="403"/>
      <c r="I14" s="409"/>
      <c r="J14" s="321"/>
      <c r="K14" s="272"/>
      <c r="L14" s="272"/>
    </row>
    <row r="15" spans="2:12" ht="15.75" thickBot="1">
      <c r="B15" s="696"/>
      <c r="C15" s="304"/>
      <c r="D15" s="304"/>
      <c r="E15" s="64"/>
      <c r="F15" s="483"/>
      <c r="G15" s="483"/>
      <c r="H15" s="401"/>
      <c r="I15" s="305"/>
      <c r="J15" s="321"/>
      <c r="K15" s="272"/>
      <c r="L15" s="272"/>
    </row>
    <row r="16" spans="2:12" ht="15.75" thickTop="1"/>
  </sheetData>
  <mergeCells count="7">
    <mergeCell ref="L4:L5"/>
    <mergeCell ref="B1:I1"/>
    <mergeCell ref="B2:I2"/>
    <mergeCell ref="D4:E4"/>
    <mergeCell ref="F4:G4"/>
    <mergeCell ref="H4:I4"/>
    <mergeCell ref="K4:K5"/>
  </mergeCells>
  <pageMargins left="0.39" right="0.2" top="0.39370078740157483" bottom="0.62992125984251968" header="0.31496062992125984" footer="0.51181102362204722"/>
  <pageSetup paperSize="9" scale="90" orientation="portrait" r:id="rId1"/>
  <headerFooter>
    <oddFooter>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B1:L1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3" sqref="B1:B1048576"/>
    </sheetView>
  </sheetViews>
  <sheetFormatPr defaultRowHeight="15"/>
  <cols>
    <col min="1" max="1" width="3" style="40" customWidth="1"/>
    <col min="2" max="2" width="11.7109375" style="697" customWidth="1"/>
    <col min="3" max="3" width="20.42578125" style="40" customWidth="1"/>
    <col min="4" max="5" width="11.7109375" style="40" customWidth="1"/>
    <col min="6" max="7" width="11.7109375" style="52" customWidth="1"/>
    <col min="8" max="8" width="12.28515625" style="406" customWidth="1"/>
    <col min="9" max="9" width="14.140625" style="53" customWidth="1"/>
    <col min="10" max="10" width="2.140625" style="40" customWidth="1"/>
    <col min="11" max="11" width="15.5703125" style="104" customWidth="1"/>
    <col min="12" max="12" width="16.7109375" style="104" bestFit="1" customWidth="1"/>
    <col min="13" max="16384" width="9.140625" style="40"/>
  </cols>
  <sheetData>
    <row r="1" spans="2:12" ht="18.75">
      <c r="B1" s="672" t="s">
        <v>32</v>
      </c>
      <c r="C1" s="672"/>
      <c r="D1" s="672"/>
      <c r="E1" s="672"/>
      <c r="F1" s="672"/>
      <c r="G1" s="672"/>
      <c r="H1" s="672"/>
      <c r="I1" s="672"/>
    </row>
    <row r="2" spans="2:12" ht="18.75">
      <c r="B2" s="672" t="s">
        <v>46</v>
      </c>
      <c r="C2" s="672"/>
      <c r="D2" s="672"/>
      <c r="E2" s="672"/>
      <c r="F2" s="672"/>
      <c r="G2" s="672"/>
      <c r="H2" s="672"/>
      <c r="I2" s="672"/>
    </row>
    <row r="3" spans="2:12" ht="15.75" thickBot="1">
      <c r="B3" s="687"/>
      <c r="C3" s="41"/>
      <c r="F3" s="42"/>
      <c r="G3" s="42"/>
      <c r="H3" s="401"/>
      <c r="I3" s="43"/>
    </row>
    <row r="4" spans="2:12" ht="15.75" customHeight="1" thickTop="1">
      <c r="B4" s="688" t="s">
        <v>10</v>
      </c>
      <c r="C4" s="45" t="s">
        <v>11</v>
      </c>
      <c r="D4" s="680" t="s">
        <v>9</v>
      </c>
      <c r="E4" s="681"/>
      <c r="F4" s="678" t="s">
        <v>13</v>
      </c>
      <c r="G4" s="679"/>
      <c r="H4" s="678" t="s">
        <v>8</v>
      </c>
      <c r="I4" s="679"/>
      <c r="K4" s="675" t="s">
        <v>22</v>
      </c>
      <c r="L4" s="675" t="s">
        <v>23</v>
      </c>
    </row>
    <row r="5" spans="2:12" ht="15.75" thickBot="1">
      <c r="B5" s="689" t="s">
        <v>14</v>
      </c>
      <c r="C5" s="47" t="s">
        <v>15</v>
      </c>
      <c r="D5" s="48" t="s">
        <v>30</v>
      </c>
      <c r="E5" s="48" t="s">
        <v>16</v>
      </c>
      <c r="F5" s="48" t="s">
        <v>30</v>
      </c>
      <c r="G5" s="408" t="s">
        <v>16</v>
      </c>
      <c r="H5" s="402" t="s">
        <v>30</v>
      </c>
      <c r="I5" s="48" t="s">
        <v>16</v>
      </c>
      <c r="K5" s="675"/>
      <c r="L5" s="675"/>
    </row>
    <row r="6" spans="2:12" ht="15.75" thickTop="1">
      <c r="B6" s="690"/>
      <c r="C6" s="93"/>
      <c r="D6" s="94"/>
      <c r="E6" s="195"/>
      <c r="F6" s="92"/>
      <c r="G6" s="150"/>
      <c r="H6" s="403"/>
      <c r="I6" s="37"/>
    </row>
    <row r="7" spans="2:12">
      <c r="B7" s="691">
        <v>41639</v>
      </c>
      <c r="C7" s="258" t="s">
        <v>25</v>
      </c>
      <c r="D7" s="397"/>
      <c r="E7" s="147"/>
      <c r="F7" s="397">
        <v>550000</v>
      </c>
      <c r="G7" s="150">
        <f>9468*F7</f>
        <v>5207400000</v>
      </c>
      <c r="H7" s="545">
        <f>F7</f>
        <v>550000</v>
      </c>
      <c r="I7" s="338">
        <f>G7</f>
        <v>5207400000</v>
      </c>
    </row>
    <row r="8" spans="2:12">
      <c r="B8" s="692"/>
      <c r="C8" s="38"/>
      <c r="D8" s="397"/>
      <c r="E8" s="147"/>
      <c r="F8" s="397"/>
      <c r="G8" s="150"/>
      <c r="H8" s="413"/>
      <c r="I8" s="338"/>
      <c r="J8" s="321"/>
      <c r="K8" s="272"/>
      <c r="L8" s="272"/>
    </row>
    <row r="9" spans="2:12">
      <c r="B9" s="693"/>
      <c r="C9" s="371"/>
      <c r="D9" s="396"/>
      <c r="E9" s="195"/>
      <c r="F9" s="396"/>
      <c r="G9" s="150"/>
      <c r="H9" s="410"/>
      <c r="I9" s="409"/>
      <c r="J9" s="321"/>
      <c r="K9" s="272"/>
      <c r="L9" s="272"/>
    </row>
    <row r="10" spans="2:12" ht="15.75" thickBot="1">
      <c r="B10" s="698"/>
      <c r="C10" s="496"/>
      <c r="D10" s="519"/>
      <c r="E10" s="520"/>
      <c r="F10" s="519"/>
      <c r="G10" s="521"/>
      <c r="H10" s="522"/>
      <c r="I10" s="523"/>
      <c r="J10" s="321"/>
      <c r="K10" s="272"/>
      <c r="L10" s="272"/>
    </row>
    <row r="11" spans="2:12" ht="15.75" thickTop="1"/>
  </sheetData>
  <mergeCells count="7">
    <mergeCell ref="L4:L5"/>
    <mergeCell ref="B1:I1"/>
    <mergeCell ref="B2:I2"/>
    <mergeCell ref="D4:E4"/>
    <mergeCell ref="F4:G4"/>
    <mergeCell ref="H4:I4"/>
    <mergeCell ref="K4:K5"/>
  </mergeCells>
  <pageMargins left="0.39" right="0.2" top="0.39370078740157483" bottom="0.62992125984251968" header="0.31496062992125984" footer="0.51181102362204722"/>
  <pageSetup paperSize="9" scale="90" orientation="portrait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1:M144"/>
  <sheetViews>
    <sheetView workbookViewId="0">
      <pane xSplit="1" ySplit="5" topLeftCell="B57" activePane="bottomRight" state="frozen"/>
      <selection pane="topRight" activeCell="B1" sqref="B1"/>
      <selection pane="bottomLeft" activeCell="A6" sqref="A6"/>
      <selection pane="bottomRight" activeCell="B72" sqref="B72"/>
    </sheetView>
  </sheetViews>
  <sheetFormatPr defaultRowHeight="15"/>
  <cols>
    <col min="1" max="1" width="3" style="40" customWidth="1"/>
    <col min="2" max="2" width="10.85546875" style="164" customWidth="1"/>
    <col min="3" max="3" width="23.28515625" style="40" customWidth="1"/>
    <col min="4" max="4" width="11.42578125" style="406" customWidth="1"/>
    <col min="5" max="5" width="12.5703125" style="40" customWidth="1"/>
    <col min="6" max="6" width="11.140625" style="52" customWidth="1"/>
    <col min="7" max="7" width="12.28515625" style="52" customWidth="1"/>
    <col min="8" max="8" width="12.5703125" style="406" customWidth="1"/>
    <col min="9" max="9" width="13.85546875" style="53" customWidth="1"/>
    <col min="10" max="10" width="2.140625" style="40" customWidth="1"/>
    <col min="11" max="12" width="15.5703125" style="422" customWidth="1"/>
    <col min="13" max="13" width="16.7109375" style="424" bestFit="1" customWidth="1"/>
    <col min="14" max="16384" width="9.140625" style="40"/>
  </cols>
  <sheetData>
    <row r="1" spans="2:13" ht="18.75">
      <c r="B1" s="672" t="s">
        <v>29</v>
      </c>
      <c r="C1" s="672"/>
      <c r="D1" s="672"/>
      <c r="E1" s="672"/>
      <c r="F1" s="672"/>
      <c r="G1" s="672"/>
      <c r="H1" s="672"/>
      <c r="I1" s="672"/>
    </row>
    <row r="2" spans="2:13" ht="18.75">
      <c r="B2" s="672" t="s">
        <v>46</v>
      </c>
      <c r="C2" s="672"/>
      <c r="D2" s="672"/>
      <c r="E2" s="672"/>
      <c r="F2" s="672"/>
      <c r="G2" s="672"/>
      <c r="H2" s="672"/>
      <c r="I2" s="672"/>
    </row>
    <row r="3" spans="2:13" ht="15.75" thickBot="1">
      <c r="B3" s="158"/>
      <c r="C3" s="41"/>
      <c r="F3" s="42"/>
      <c r="G3" s="42"/>
      <c r="H3" s="401"/>
      <c r="I3" s="43"/>
    </row>
    <row r="4" spans="2:13" ht="15.75" customHeight="1" thickTop="1">
      <c r="B4" s="159" t="s">
        <v>10</v>
      </c>
      <c r="C4" s="45" t="s">
        <v>11</v>
      </c>
      <c r="D4" s="680" t="s">
        <v>9</v>
      </c>
      <c r="E4" s="681"/>
      <c r="F4" s="678" t="s">
        <v>13</v>
      </c>
      <c r="G4" s="679"/>
      <c r="H4" s="678" t="s">
        <v>8</v>
      </c>
      <c r="I4" s="679"/>
      <c r="K4" s="676" t="s">
        <v>22</v>
      </c>
      <c r="L4" s="426"/>
      <c r="M4" s="677" t="s">
        <v>23</v>
      </c>
    </row>
    <row r="5" spans="2:13" ht="15.75" thickBot="1">
      <c r="B5" s="160" t="s">
        <v>14</v>
      </c>
      <c r="C5" s="47" t="s">
        <v>15</v>
      </c>
      <c r="D5" s="428" t="s">
        <v>30</v>
      </c>
      <c r="E5" s="48" t="s">
        <v>16</v>
      </c>
      <c r="F5" s="48" t="s">
        <v>30</v>
      </c>
      <c r="G5" s="408" t="s">
        <v>16</v>
      </c>
      <c r="H5" s="402" t="s">
        <v>30</v>
      </c>
      <c r="I5" s="48" t="s">
        <v>16</v>
      </c>
      <c r="K5" s="676"/>
      <c r="L5" s="426"/>
      <c r="M5" s="677"/>
    </row>
    <row r="6" spans="2:13" ht="15.75" thickTop="1">
      <c r="B6" s="558"/>
      <c r="C6" s="559"/>
      <c r="D6" s="560"/>
      <c r="E6" s="559"/>
      <c r="F6" s="559"/>
      <c r="G6" s="561"/>
      <c r="H6" s="562"/>
      <c r="I6" s="559"/>
      <c r="K6" s="549"/>
      <c r="L6" s="549"/>
      <c r="M6" s="550"/>
    </row>
    <row r="7" spans="2:13">
      <c r="B7" s="227">
        <v>41639</v>
      </c>
      <c r="C7" s="554" t="s">
        <v>25</v>
      </c>
      <c r="D7" s="528"/>
      <c r="E7" s="147"/>
      <c r="F7" s="528">
        <v>2498787.0099999998</v>
      </c>
      <c r="G7" s="150">
        <v>25872704821</v>
      </c>
      <c r="H7" s="413">
        <f>F7</f>
        <v>2498787.0099999998</v>
      </c>
      <c r="I7" s="234">
        <f>G7</f>
        <v>25872704821</v>
      </c>
    </row>
    <row r="8" spans="2:13">
      <c r="B8" s="378">
        <v>41641</v>
      </c>
      <c r="C8" s="529" t="s">
        <v>112</v>
      </c>
      <c r="D8" s="526">
        <v>118469.05</v>
      </c>
      <c r="E8" s="395">
        <v>1149149785</v>
      </c>
      <c r="F8" s="150"/>
      <c r="G8" s="150"/>
      <c r="H8" s="403">
        <f>H7+F8-D8</f>
        <v>2380317.96</v>
      </c>
      <c r="I8" s="527">
        <f>I7+G8-E8</f>
        <v>24723555036</v>
      </c>
      <c r="K8" s="422" t="s">
        <v>116</v>
      </c>
    </row>
    <row r="9" spans="2:13">
      <c r="B9" s="411">
        <v>41641</v>
      </c>
      <c r="C9" s="538" t="s">
        <v>96</v>
      </c>
      <c r="D9" s="429">
        <v>14965.38</v>
      </c>
      <c r="E9" s="395">
        <v>178776429</v>
      </c>
      <c r="F9" s="150"/>
      <c r="G9" s="150"/>
      <c r="H9" s="403">
        <f t="shared" ref="H9:H36" si="0">H8+F9-D9</f>
        <v>2365352.58</v>
      </c>
      <c r="I9" s="527">
        <f t="shared" ref="I9:I26" si="1">I8+G9-E9</f>
        <v>24544778607</v>
      </c>
      <c r="K9" s="422" t="s">
        <v>119</v>
      </c>
    </row>
    <row r="10" spans="2:13">
      <c r="B10" s="378">
        <v>41645</v>
      </c>
      <c r="C10" s="529" t="s">
        <v>77</v>
      </c>
      <c r="D10" s="526">
        <v>187.36</v>
      </c>
      <c r="E10" s="395">
        <v>1817392.0000000002</v>
      </c>
      <c r="F10" s="150"/>
      <c r="G10" s="150"/>
      <c r="H10" s="403">
        <f t="shared" si="0"/>
        <v>2365165.2200000002</v>
      </c>
      <c r="I10" s="527">
        <f t="shared" si="1"/>
        <v>24542961215</v>
      </c>
      <c r="J10" s="321"/>
      <c r="K10" s="423" t="s">
        <v>117</v>
      </c>
      <c r="L10" s="423"/>
      <c r="M10" s="425"/>
    </row>
    <row r="11" spans="2:13">
      <c r="B11" s="378">
        <v>41645</v>
      </c>
      <c r="C11" s="530" t="s">
        <v>81</v>
      </c>
      <c r="D11" s="526">
        <v>13489.56</v>
      </c>
      <c r="E11" s="412">
        <f>D11*9700</f>
        <v>130848732</v>
      </c>
      <c r="F11" s="399"/>
      <c r="G11" s="320"/>
      <c r="H11" s="403">
        <f t="shared" si="0"/>
        <v>2351675.66</v>
      </c>
      <c r="I11" s="527">
        <f t="shared" si="1"/>
        <v>24412112483</v>
      </c>
      <c r="J11" s="321"/>
      <c r="K11" s="423" t="s">
        <v>117</v>
      </c>
      <c r="L11" s="423"/>
      <c r="M11" s="425"/>
    </row>
    <row r="12" spans="2:13">
      <c r="B12" s="378">
        <v>41645</v>
      </c>
      <c r="C12" s="531" t="s">
        <v>78</v>
      </c>
      <c r="D12" s="459">
        <v>17019.47</v>
      </c>
      <c r="E12" s="395">
        <v>165088859</v>
      </c>
      <c r="F12" s="405"/>
      <c r="G12" s="320"/>
      <c r="H12" s="403">
        <f t="shared" si="0"/>
        <v>2334656.19</v>
      </c>
      <c r="I12" s="527">
        <f t="shared" si="1"/>
        <v>24247023624</v>
      </c>
      <c r="J12" s="321"/>
      <c r="K12" s="423" t="s">
        <v>117</v>
      </c>
      <c r="L12" s="423"/>
      <c r="M12" s="425"/>
    </row>
    <row r="13" spans="2:13">
      <c r="B13" s="378">
        <v>41645</v>
      </c>
      <c r="C13" s="537" t="s">
        <v>79</v>
      </c>
      <c r="D13" s="539">
        <v>19029.45</v>
      </c>
      <c r="E13" s="395">
        <v>184585665</v>
      </c>
      <c r="F13" s="397"/>
      <c r="G13" s="320"/>
      <c r="H13" s="403">
        <f t="shared" si="0"/>
        <v>2315626.7399999998</v>
      </c>
      <c r="I13" s="527">
        <f t="shared" si="1"/>
        <v>24062437959</v>
      </c>
      <c r="J13" s="321"/>
      <c r="K13" s="423" t="s">
        <v>117</v>
      </c>
      <c r="L13" s="423"/>
      <c r="M13" s="425"/>
    </row>
    <row r="14" spans="2:13">
      <c r="B14" s="161">
        <v>41645</v>
      </c>
      <c r="C14" s="532" t="s">
        <v>80</v>
      </c>
      <c r="D14" s="396">
        <v>37081.94</v>
      </c>
      <c r="E14" s="395">
        <v>359694818</v>
      </c>
      <c r="F14" s="397"/>
      <c r="G14" s="320"/>
      <c r="H14" s="403">
        <f t="shared" si="0"/>
        <v>2278544.7999999998</v>
      </c>
      <c r="I14" s="527">
        <f t="shared" si="1"/>
        <v>23702743141</v>
      </c>
      <c r="J14" s="321"/>
      <c r="K14" s="423" t="s">
        <v>117</v>
      </c>
      <c r="L14" s="423"/>
      <c r="M14" s="425"/>
    </row>
    <row r="15" spans="2:13">
      <c r="B15" s="378">
        <v>41645</v>
      </c>
      <c r="C15" s="538" t="s">
        <v>115</v>
      </c>
      <c r="D15" s="459">
        <v>13192.22</v>
      </c>
      <c r="E15" s="395">
        <f>D15*9678</f>
        <v>127674305.16</v>
      </c>
      <c r="F15" s="400"/>
      <c r="G15" s="320"/>
      <c r="H15" s="403">
        <f>H14+F15-D15</f>
        <v>2265352.5799999996</v>
      </c>
      <c r="I15" s="527">
        <f t="shared" si="1"/>
        <v>23575068835.84</v>
      </c>
      <c r="J15" s="321"/>
      <c r="K15" s="423" t="s">
        <v>117</v>
      </c>
      <c r="L15" s="423"/>
      <c r="M15" s="425"/>
    </row>
    <row r="16" spans="2:13">
      <c r="B16" s="370">
        <v>41668</v>
      </c>
      <c r="C16" s="371" t="s">
        <v>34</v>
      </c>
      <c r="D16" s="396">
        <v>120.87</v>
      </c>
      <c r="E16" s="395">
        <f t="shared" ref="E16:E21" si="2">9678*D16</f>
        <v>1169779.8600000001</v>
      </c>
      <c r="F16" s="397"/>
      <c r="G16" s="320"/>
      <c r="H16" s="403">
        <f>H15+F16-D16</f>
        <v>2265231.7099999995</v>
      </c>
      <c r="I16" s="527">
        <f t="shared" si="1"/>
        <v>23573899055.98</v>
      </c>
      <c r="J16" s="321"/>
      <c r="K16" s="423" t="s">
        <v>118</v>
      </c>
      <c r="L16" s="423"/>
      <c r="M16" s="425"/>
    </row>
    <row r="17" spans="2:13">
      <c r="B17" s="370">
        <v>41668</v>
      </c>
      <c r="C17" s="371" t="s">
        <v>35</v>
      </c>
      <c r="D17" s="396">
        <v>488.4</v>
      </c>
      <c r="E17" s="395">
        <f t="shared" si="2"/>
        <v>4726735.2</v>
      </c>
      <c r="F17" s="397"/>
      <c r="G17" s="320"/>
      <c r="H17" s="403">
        <f>H16+F17-D17</f>
        <v>2264743.3099999996</v>
      </c>
      <c r="I17" s="527">
        <f t="shared" si="1"/>
        <v>23569172320.779999</v>
      </c>
      <c r="J17" s="321"/>
      <c r="K17" s="423" t="s">
        <v>118</v>
      </c>
      <c r="L17" s="423"/>
      <c r="M17" s="425"/>
    </row>
    <row r="18" spans="2:13">
      <c r="B18" s="370">
        <v>41668</v>
      </c>
      <c r="C18" s="371" t="s">
        <v>36</v>
      </c>
      <c r="D18" s="396">
        <v>75893.42</v>
      </c>
      <c r="E18" s="395">
        <f t="shared" si="2"/>
        <v>734496518.75999999</v>
      </c>
      <c r="F18" s="397"/>
      <c r="G18" s="320"/>
      <c r="H18" s="403">
        <f>H17+F18-D18</f>
        <v>2188849.8899999997</v>
      </c>
      <c r="I18" s="527">
        <f t="shared" si="1"/>
        <v>22834675802.02</v>
      </c>
      <c r="J18" s="321"/>
      <c r="K18" s="423" t="s">
        <v>118</v>
      </c>
      <c r="L18" s="423"/>
      <c r="M18" s="425"/>
    </row>
    <row r="19" spans="2:13">
      <c r="B19" s="370">
        <v>41668</v>
      </c>
      <c r="C19" s="371" t="s">
        <v>37</v>
      </c>
      <c r="D19" s="396">
        <v>193.09</v>
      </c>
      <c r="E19" s="395">
        <f t="shared" si="2"/>
        <v>1868725.02</v>
      </c>
      <c r="F19" s="397"/>
      <c r="G19" s="320"/>
      <c r="H19" s="403">
        <f>H18+F19-D19</f>
        <v>2188656.7999999998</v>
      </c>
      <c r="I19" s="527">
        <f t="shared" si="1"/>
        <v>22832807077</v>
      </c>
      <c r="J19" s="321"/>
      <c r="K19" s="423" t="s">
        <v>118</v>
      </c>
      <c r="L19" s="423"/>
      <c r="M19" s="425"/>
    </row>
    <row r="20" spans="2:13" ht="15.75" customHeight="1">
      <c r="B20" s="370">
        <v>41668</v>
      </c>
      <c r="C20" s="371" t="s">
        <v>82</v>
      </c>
      <c r="D20" s="396">
        <v>18498.900000000001</v>
      </c>
      <c r="E20" s="395">
        <f t="shared" si="2"/>
        <v>179032354.20000002</v>
      </c>
      <c r="F20" s="397"/>
      <c r="G20" s="320"/>
      <c r="H20" s="403">
        <f t="shared" si="0"/>
        <v>2170157.9</v>
      </c>
      <c r="I20" s="527">
        <f t="shared" si="1"/>
        <v>22653774722.799999</v>
      </c>
      <c r="J20" s="321"/>
      <c r="K20" s="423" t="s">
        <v>118</v>
      </c>
      <c r="L20" s="423">
        <f>SUM(G13:G20)</f>
        <v>0</v>
      </c>
      <c r="M20" s="425"/>
    </row>
    <row r="21" spans="2:13">
      <c r="B21" s="370">
        <v>41668</v>
      </c>
      <c r="C21" s="371" t="s">
        <v>38</v>
      </c>
      <c r="D21" s="396">
        <v>4805.32</v>
      </c>
      <c r="E21" s="395">
        <f t="shared" si="2"/>
        <v>46505886.960000001</v>
      </c>
      <c r="F21" s="397"/>
      <c r="G21" s="320"/>
      <c r="H21" s="403">
        <f t="shared" si="0"/>
        <v>2165352.58</v>
      </c>
      <c r="I21" s="527">
        <f t="shared" si="1"/>
        <v>22607268835.84</v>
      </c>
      <c r="J21" s="321"/>
      <c r="K21" s="423" t="s">
        <v>118</v>
      </c>
      <c r="L21" s="423"/>
      <c r="M21" s="425"/>
    </row>
    <row r="22" spans="2:13">
      <c r="B22" s="201">
        <v>41648</v>
      </c>
      <c r="C22" s="38" t="s">
        <v>101</v>
      </c>
      <c r="D22" s="397"/>
      <c r="E22" s="325"/>
      <c r="F22" s="397">
        <v>71984.05</v>
      </c>
      <c r="G22" s="320">
        <f>12242*F22</f>
        <v>881228740.10000002</v>
      </c>
      <c r="H22" s="403">
        <f t="shared" si="0"/>
        <v>2237336.63</v>
      </c>
      <c r="I22" s="527">
        <f t="shared" si="1"/>
        <v>23488497575.939999</v>
      </c>
      <c r="J22" s="321"/>
      <c r="K22" s="423"/>
      <c r="L22" s="423"/>
      <c r="M22" s="425"/>
    </row>
    <row r="23" spans="2:13">
      <c r="B23" s="201">
        <v>41660</v>
      </c>
      <c r="C23" s="38" t="s">
        <v>102</v>
      </c>
      <c r="D23" s="397"/>
      <c r="E23" s="325"/>
      <c r="F23" s="397">
        <v>81070.95</v>
      </c>
      <c r="G23" s="320">
        <v>992470570</v>
      </c>
      <c r="H23" s="403">
        <f t="shared" si="0"/>
        <v>2318407.58</v>
      </c>
      <c r="I23" s="527">
        <f t="shared" si="1"/>
        <v>24480968145.939999</v>
      </c>
      <c r="J23" s="321"/>
      <c r="K23" s="423"/>
      <c r="L23" s="423"/>
      <c r="M23" s="425"/>
    </row>
    <row r="24" spans="2:13">
      <c r="B24" s="201">
        <v>41660</v>
      </c>
      <c r="C24" s="38" t="s">
        <v>103</v>
      </c>
      <c r="D24" s="397"/>
      <c r="E24" s="325"/>
      <c r="F24" s="397">
        <v>55378.43</v>
      </c>
      <c r="G24" s="320">
        <v>677942740</v>
      </c>
      <c r="H24" s="403">
        <f t="shared" si="0"/>
        <v>2373786.0100000002</v>
      </c>
      <c r="I24" s="527">
        <f t="shared" si="1"/>
        <v>25158910885.939999</v>
      </c>
      <c r="J24" s="321"/>
      <c r="K24" s="423"/>
      <c r="L24" s="423"/>
      <c r="M24" s="425"/>
    </row>
    <row r="25" spans="2:13">
      <c r="B25" s="201">
        <v>41667</v>
      </c>
      <c r="C25" s="38" t="s">
        <v>104</v>
      </c>
      <c r="D25" s="397"/>
      <c r="E25" s="325"/>
      <c r="F25" s="397">
        <v>48768.72</v>
      </c>
      <c r="G25" s="320">
        <v>597026670</v>
      </c>
      <c r="H25" s="403">
        <f t="shared" si="0"/>
        <v>2422554.7300000004</v>
      </c>
      <c r="I25" s="527">
        <f t="shared" si="1"/>
        <v>25755937555.939999</v>
      </c>
      <c r="J25" s="321"/>
      <c r="K25" s="423"/>
      <c r="L25" s="423"/>
      <c r="M25" s="425"/>
    </row>
    <row r="26" spans="2:13">
      <c r="B26" s="201">
        <v>41668</v>
      </c>
      <c r="C26" s="38" t="s">
        <v>113</v>
      </c>
      <c r="D26" s="397"/>
      <c r="E26" s="325"/>
      <c r="F26" s="397">
        <v>201.74</v>
      </c>
      <c r="G26" s="320">
        <v>2469701</v>
      </c>
      <c r="H26" s="410">
        <f t="shared" si="0"/>
        <v>2422756.4700000007</v>
      </c>
      <c r="I26" s="409">
        <f t="shared" si="1"/>
        <v>25758407256.939999</v>
      </c>
      <c r="J26" s="321"/>
      <c r="K26" s="423"/>
      <c r="L26" s="423"/>
      <c r="M26" s="425"/>
    </row>
    <row r="27" spans="2:13">
      <c r="B27" s="370">
        <v>41675</v>
      </c>
      <c r="C27" s="371" t="s">
        <v>162</v>
      </c>
      <c r="D27" s="396">
        <v>2836</v>
      </c>
      <c r="E27" s="395">
        <f>11946*D27</f>
        <v>33878856</v>
      </c>
      <c r="F27" s="397"/>
      <c r="G27" s="320"/>
      <c r="H27" s="403">
        <f t="shared" si="0"/>
        <v>2419920.4700000007</v>
      </c>
      <c r="I27" s="196">
        <f>I26+G27-E27</f>
        <v>25724528400.939999</v>
      </c>
      <c r="J27" s="321"/>
      <c r="K27" s="423" t="s">
        <v>164</v>
      </c>
      <c r="L27" s="423"/>
      <c r="M27" s="425"/>
    </row>
    <row r="28" spans="2:13">
      <c r="B28" s="370">
        <v>41675</v>
      </c>
      <c r="C28" s="371" t="s">
        <v>163</v>
      </c>
      <c r="D28" s="396">
        <v>55378.43</v>
      </c>
      <c r="E28" s="395">
        <v>677942740</v>
      </c>
      <c r="F28" s="397"/>
      <c r="G28" s="320"/>
      <c r="H28" s="403">
        <f t="shared" si="0"/>
        <v>2364542.0400000005</v>
      </c>
      <c r="I28" s="196">
        <f t="shared" ref="I28:I35" si="3">I27+G28-E28</f>
        <v>25046585660.939999</v>
      </c>
      <c r="J28" s="321"/>
      <c r="K28" s="423" t="s">
        <v>164</v>
      </c>
      <c r="L28" s="423"/>
      <c r="M28" s="425"/>
    </row>
    <row r="29" spans="2:13">
      <c r="B29" s="201">
        <v>41681</v>
      </c>
      <c r="C29" s="38" t="s">
        <v>189</v>
      </c>
      <c r="D29" s="397"/>
      <c r="E29" s="325"/>
      <c r="F29" s="397">
        <v>97885.79</v>
      </c>
      <c r="G29" s="320">
        <f>F29*12251</f>
        <v>1199198813.29</v>
      </c>
      <c r="H29" s="403">
        <f t="shared" si="0"/>
        <v>2462427.8300000005</v>
      </c>
      <c r="I29" s="196">
        <f t="shared" si="3"/>
        <v>26245784474.23</v>
      </c>
      <c r="J29" s="321"/>
      <c r="K29" s="423"/>
      <c r="L29" s="423"/>
      <c r="M29" s="425"/>
    </row>
    <row r="30" spans="2:13">
      <c r="B30" s="201">
        <v>41687</v>
      </c>
      <c r="C30" s="38" t="s">
        <v>190</v>
      </c>
      <c r="D30" s="397"/>
      <c r="E30" s="325"/>
      <c r="F30" s="397">
        <v>42012.22</v>
      </c>
      <c r="G30" s="320">
        <f>F30*12251</f>
        <v>514691707.22000003</v>
      </c>
      <c r="H30" s="403">
        <f t="shared" si="0"/>
        <v>2504440.0500000007</v>
      </c>
      <c r="I30" s="196">
        <f t="shared" si="3"/>
        <v>26760476181.450001</v>
      </c>
      <c r="J30" s="321"/>
      <c r="K30" s="423"/>
      <c r="L30" s="423"/>
      <c r="M30" s="425"/>
    </row>
    <row r="31" spans="2:13">
      <c r="B31" s="201">
        <v>41694</v>
      </c>
      <c r="C31" s="38" t="s">
        <v>191</v>
      </c>
      <c r="D31" s="397"/>
      <c r="E31" s="325"/>
      <c r="F31" s="397">
        <v>21915.52</v>
      </c>
      <c r="G31" s="320">
        <f>F31*12251</f>
        <v>268487035.51999998</v>
      </c>
      <c r="H31" s="403">
        <f t="shared" si="0"/>
        <v>2526355.5700000008</v>
      </c>
      <c r="I31" s="196">
        <f t="shared" si="3"/>
        <v>27028963216.970001</v>
      </c>
      <c r="J31" s="321"/>
      <c r="K31" s="423"/>
      <c r="L31" s="423"/>
      <c r="M31" s="425"/>
    </row>
    <row r="32" spans="2:13">
      <c r="B32" s="322">
        <v>41698</v>
      </c>
      <c r="C32" s="322" t="s">
        <v>192</v>
      </c>
      <c r="D32" s="398"/>
      <c r="E32" s="323"/>
      <c r="F32" s="399">
        <v>57145.82</v>
      </c>
      <c r="G32" s="320">
        <f>F32*12251</f>
        <v>700093440.82000005</v>
      </c>
      <c r="H32" s="410">
        <f t="shared" si="0"/>
        <v>2583501.3900000006</v>
      </c>
      <c r="I32" s="409">
        <f t="shared" si="3"/>
        <v>27729056657.790001</v>
      </c>
      <c r="J32" s="321"/>
      <c r="K32" s="423">
        <f>SUM(F27:F32)</f>
        <v>218959.35</v>
      </c>
      <c r="L32" s="423">
        <f>SUM(G27:G32)</f>
        <v>2682470996.8499999</v>
      </c>
      <c r="M32" s="425"/>
    </row>
    <row r="33" spans="2:13">
      <c r="B33" s="370">
        <v>41702</v>
      </c>
      <c r="C33" s="371" t="s">
        <v>254</v>
      </c>
      <c r="D33" s="396">
        <v>100000</v>
      </c>
      <c r="E33" s="395">
        <f>9678*D33</f>
        <v>967800000</v>
      </c>
      <c r="F33" s="397"/>
      <c r="G33" s="320"/>
      <c r="H33" s="403">
        <f t="shared" si="0"/>
        <v>2483501.3900000006</v>
      </c>
      <c r="I33" s="196">
        <f t="shared" si="3"/>
        <v>26761256657.790001</v>
      </c>
      <c r="J33" s="321"/>
      <c r="K33" s="423" t="s">
        <v>249</v>
      </c>
      <c r="L33" s="423">
        <f>SUM(E27:E28)</f>
        <v>711821596</v>
      </c>
      <c r="M33" s="425"/>
    </row>
    <row r="34" spans="2:13">
      <c r="B34" s="370">
        <v>41703</v>
      </c>
      <c r="C34" s="371" t="s">
        <v>246</v>
      </c>
      <c r="D34" s="396">
        <v>35830.910000000003</v>
      </c>
      <c r="E34" s="395">
        <f>9678*D34</f>
        <v>346771546.98000002</v>
      </c>
      <c r="F34" s="397"/>
      <c r="G34" s="320"/>
      <c r="H34" s="403">
        <f t="shared" si="0"/>
        <v>2447670.4800000004</v>
      </c>
      <c r="I34" s="196">
        <f t="shared" si="3"/>
        <v>26414485110.810001</v>
      </c>
      <c r="J34" s="321"/>
      <c r="K34" s="423" t="s">
        <v>249</v>
      </c>
      <c r="L34" s="423"/>
      <c r="M34" s="425"/>
    </row>
    <row r="35" spans="2:13">
      <c r="B35" s="370">
        <v>41703</v>
      </c>
      <c r="C35" s="371" t="s">
        <v>247</v>
      </c>
      <c r="D35" s="396">
        <v>58078.52</v>
      </c>
      <c r="E35" s="395">
        <f>9678*D35</f>
        <v>562083916.55999994</v>
      </c>
      <c r="F35" s="397"/>
      <c r="G35" s="320"/>
      <c r="H35" s="403">
        <f t="shared" si="0"/>
        <v>2389591.9600000004</v>
      </c>
      <c r="I35" s="196">
        <f t="shared" si="3"/>
        <v>25852401194.25</v>
      </c>
      <c r="J35" s="321"/>
      <c r="K35" s="423" t="s">
        <v>249</v>
      </c>
      <c r="L35" s="423"/>
      <c r="M35" s="425"/>
    </row>
    <row r="36" spans="2:13">
      <c r="B36" s="370">
        <v>41703</v>
      </c>
      <c r="C36" s="371" t="s">
        <v>248</v>
      </c>
      <c r="D36" s="396">
        <v>2603.39</v>
      </c>
      <c r="E36" s="395">
        <f>9678*D36</f>
        <v>25195608.419999998</v>
      </c>
      <c r="F36" s="397"/>
      <c r="G36" s="320"/>
      <c r="H36" s="403">
        <f t="shared" si="0"/>
        <v>2386988.5700000003</v>
      </c>
      <c r="I36" s="196">
        <f t="shared" ref="I36:I68" si="4">I35+G36-E36</f>
        <v>25827205585.830002</v>
      </c>
      <c r="J36" s="321"/>
      <c r="K36" s="423"/>
      <c r="L36" s="423"/>
      <c r="M36" s="425"/>
    </row>
    <row r="37" spans="2:13">
      <c r="B37" s="201">
        <v>41717</v>
      </c>
      <c r="C37" s="38" t="s">
        <v>275</v>
      </c>
      <c r="D37" s="397"/>
      <c r="E37" s="325"/>
      <c r="F37" s="397">
        <v>20357.28</v>
      </c>
      <c r="G37" s="320">
        <v>236063018.88</v>
      </c>
      <c r="H37" s="403">
        <f t="shared" ref="H37:H67" si="5">H36+F37-D37</f>
        <v>2407345.85</v>
      </c>
      <c r="I37" s="196">
        <f t="shared" si="4"/>
        <v>26063268604.710003</v>
      </c>
      <c r="J37" s="321"/>
      <c r="K37" s="423"/>
      <c r="L37" s="423"/>
      <c r="M37" s="425"/>
    </row>
    <row r="38" spans="2:13">
      <c r="B38" s="201">
        <v>41717</v>
      </c>
      <c r="C38" s="38" t="s">
        <v>276</v>
      </c>
      <c r="D38" s="397"/>
      <c r="E38" s="325"/>
      <c r="F38" s="397">
        <v>29357.67</v>
      </c>
      <c r="G38" s="320">
        <f>11596*F38</f>
        <v>340431541.31999999</v>
      </c>
      <c r="H38" s="403">
        <f t="shared" si="5"/>
        <v>2436703.52</v>
      </c>
      <c r="I38" s="196">
        <f t="shared" si="4"/>
        <v>26403700146.030003</v>
      </c>
      <c r="J38" s="321"/>
      <c r="K38" s="423"/>
      <c r="L38" s="423"/>
      <c r="M38" s="425"/>
    </row>
    <row r="39" spans="2:13">
      <c r="B39" s="201">
        <v>41722</v>
      </c>
      <c r="C39" s="38" t="s">
        <v>277</v>
      </c>
      <c r="D39" s="397"/>
      <c r="E39" s="325"/>
      <c r="F39" s="397">
        <v>45062.49</v>
      </c>
      <c r="G39" s="320">
        <v>522544634.03999996</v>
      </c>
      <c r="H39" s="403">
        <f t="shared" si="5"/>
        <v>2481766.0100000002</v>
      </c>
      <c r="I39" s="196">
        <f t="shared" si="4"/>
        <v>26926244780.070004</v>
      </c>
      <c r="J39" s="321"/>
      <c r="K39" s="423"/>
      <c r="L39" s="423"/>
      <c r="M39" s="425"/>
    </row>
    <row r="40" spans="2:13">
      <c r="B40" s="201">
        <v>41717</v>
      </c>
      <c r="C40" s="38" t="s">
        <v>288</v>
      </c>
      <c r="D40" s="397"/>
      <c r="E40" s="325"/>
      <c r="F40" s="397">
        <v>320.95</v>
      </c>
      <c r="G40" s="320">
        <v>3721737</v>
      </c>
      <c r="H40" s="403">
        <f t="shared" si="5"/>
        <v>2482086.9600000004</v>
      </c>
      <c r="I40" s="196">
        <f t="shared" si="4"/>
        <v>26929966517.070004</v>
      </c>
      <c r="J40" s="321"/>
      <c r="K40" s="423"/>
      <c r="L40" s="423"/>
      <c r="M40" s="425"/>
    </row>
    <row r="41" spans="2:13">
      <c r="B41" s="201">
        <v>41726</v>
      </c>
      <c r="C41" s="38" t="s">
        <v>294</v>
      </c>
      <c r="D41" s="397"/>
      <c r="E41" s="325"/>
      <c r="F41" s="397">
        <v>24108.11</v>
      </c>
      <c r="G41" s="320">
        <v>279557643.56</v>
      </c>
      <c r="H41" s="410">
        <f>H40+F41-D41</f>
        <v>2506195.0700000003</v>
      </c>
      <c r="I41" s="409">
        <f>I40+G41-E41</f>
        <v>27209524160.630005</v>
      </c>
      <c r="J41" s="321"/>
      <c r="K41" s="423"/>
      <c r="L41" s="423"/>
      <c r="M41" s="425"/>
    </row>
    <row r="42" spans="2:13">
      <c r="B42" s="370">
        <v>41759</v>
      </c>
      <c r="C42" s="371" t="s">
        <v>451</v>
      </c>
      <c r="D42" s="396">
        <v>12896.63</v>
      </c>
      <c r="E42" s="395">
        <v>125548693</v>
      </c>
      <c r="F42" s="397"/>
      <c r="G42" s="320"/>
      <c r="H42" s="403">
        <f t="shared" si="5"/>
        <v>2493298.4400000004</v>
      </c>
      <c r="I42" s="196">
        <f t="shared" si="4"/>
        <v>27083975467.630005</v>
      </c>
      <c r="J42" s="321"/>
      <c r="K42" s="423" t="s">
        <v>334</v>
      </c>
      <c r="L42" s="423"/>
      <c r="M42" s="425"/>
    </row>
    <row r="43" spans="2:13">
      <c r="B43" s="370">
        <v>41759</v>
      </c>
      <c r="C43" s="371" t="s">
        <v>331</v>
      </c>
      <c r="D43" s="396">
        <v>224.4</v>
      </c>
      <c r="E43" s="395">
        <v>2184534</v>
      </c>
      <c r="F43" s="397"/>
      <c r="G43" s="320"/>
      <c r="H43" s="403">
        <f t="shared" si="5"/>
        <v>2493074.0400000005</v>
      </c>
      <c r="I43" s="196">
        <f t="shared" si="4"/>
        <v>27081790933.630005</v>
      </c>
      <c r="J43" s="321"/>
      <c r="K43" s="423" t="s">
        <v>334</v>
      </c>
      <c r="L43" s="423"/>
      <c r="M43" s="425"/>
    </row>
    <row r="44" spans="2:13">
      <c r="B44" s="370">
        <v>41759</v>
      </c>
      <c r="C44" s="371" t="s">
        <v>333</v>
      </c>
      <c r="D44" s="396">
        <v>3181.15</v>
      </c>
      <c r="E44" s="395">
        <v>30968495</v>
      </c>
      <c r="F44" s="397"/>
      <c r="G44" s="320"/>
      <c r="H44" s="403">
        <f t="shared" si="5"/>
        <v>2489892.8900000006</v>
      </c>
      <c r="I44" s="196">
        <f t="shared" si="4"/>
        <v>27050822438.630005</v>
      </c>
      <c r="J44" s="321"/>
      <c r="K44" s="423" t="s">
        <v>334</v>
      </c>
      <c r="L44" s="423"/>
      <c r="M44" s="425"/>
    </row>
    <row r="45" spans="2:13">
      <c r="B45" s="370">
        <v>41759</v>
      </c>
      <c r="C45" s="371" t="s">
        <v>332</v>
      </c>
      <c r="D45" s="396">
        <v>83697.820000000007</v>
      </c>
      <c r="E45" s="395">
        <v>814798278</v>
      </c>
      <c r="F45" s="397"/>
      <c r="G45" s="320"/>
      <c r="H45" s="403">
        <f>H44+F45-D45</f>
        <v>2406195.0700000008</v>
      </c>
      <c r="I45" s="196">
        <f t="shared" si="4"/>
        <v>26236024160.630005</v>
      </c>
      <c r="J45" s="321"/>
      <c r="K45" s="423" t="s">
        <v>334</v>
      </c>
      <c r="L45" s="423"/>
      <c r="M45" s="425"/>
    </row>
    <row r="46" spans="2:13">
      <c r="B46" s="370">
        <v>41759</v>
      </c>
      <c r="C46" s="371" t="s">
        <v>450</v>
      </c>
      <c r="D46" s="396">
        <v>50000</v>
      </c>
      <c r="E46" s="395">
        <f>D46*9735</f>
        <v>486750000</v>
      </c>
      <c r="F46" s="397"/>
      <c r="G46" s="320"/>
      <c r="H46" s="403">
        <f t="shared" ref="H46:H58" si="6">H45+F46-D46</f>
        <v>2356195.0700000008</v>
      </c>
      <c r="I46" s="196">
        <f t="shared" si="4"/>
        <v>25749274160.630005</v>
      </c>
      <c r="J46" s="321"/>
      <c r="K46" s="423"/>
      <c r="L46" s="423">
        <f>SUM(E42:E46)</f>
        <v>1460250000</v>
      </c>
      <c r="M46" s="425"/>
    </row>
    <row r="47" spans="2:13">
      <c r="B47" s="201">
        <v>41736</v>
      </c>
      <c r="C47" s="38" t="s">
        <v>364</v>
      </c>
      <c r="D47" s="397"/>
      <c r="E47" s="320"/>
      <c r="F47" s="397">
        <v>36041.279999999999</v>
      </c>
      <c r="G47" s="320">
        <f>F47*11271</f>
        <v>406221266.88</v>
      </c>
      <c r="H47" s="403">
        <f t="shared" si="6"/>
        <v>2392236.3500000006</v>
      </c>
      <c r="I47" s="196">
        <f t="shared" si="4"/>
        <v>26155495427.510006</v>
      </c>
      <c r="J47" s="321"/>
      <c r="K47" s="423"/>
      <c r="L47" s="423"/>
      <c r="M47" s="425"/>
    </row>
    <row r="48" spans="2:13">
      <c r="B48" s="201">
        <v>41746</v>
      </c>
      <c r="C48" s="38" t="s">
        <v>365</v>
      </c>
      <c r="D48" s="397"/>
      <c r="E48" s="325"/>
      <c r="F48" s="397">
        <v>43812.27</v>
      </c>
      <c r="G48" s="320">
        <f t="shared" ref="G48:G55" si="7">F48*11271</f>
        <v>493808095.16999996</v>
      </c>
      <c r="H48" s="403">
        <f t="shared" si="6"/>
        <v>2436048.6200000006</v>
      </c>
      <c r="I48" s="196">
        <f t="shared" si="4"/>
        <v>26649303522.680004</v>
      </c>
      <c r="J48" s="321"/>
      <c r="K48" s="423"/>
      <c r="L48" s="423"/>
      <c r="M48" s="425"/>
    </row>
    <row r="49" spans="2:13">
      <c r="B49" s="201">
        <v>41752</v>
      </c>
      <c r="C49" s="38" t="s">
        <v>366</v>
      </c>
      <c r="D49" s="397"/>
      <c r="E49" s="325"/>
      <c r="F49" s="397">
        <v>60416.93</v>
      </c>
      <c r="G49" s="320">
        <f t="shared" si="7"/>
        <v>680959218.02999997</v>
      </c>
      <c r="H49" s="403">
        <f t="shared" si="6"/>
        <v>2496465.5500000007</v>
      </c>
      <c r="I49" s="196">
        <f t="shared" si="4"/>
        <v>27330262740.710003</v>
      </c>
      <c r="J49" s="321"/>
      <c r="K49" s="423"/>
      <c r="L49" s="423"/>
      <c r="M49" s="425">
        <f>SUM(F44:F49)</f>
        <v>140270.47999999998</v>
      </c>
    </row>
    <row r="50" spans="2:13">
      <c r="B50" s="201">
        <v>41759</v>
      </c>
      <c r="C50" s="38" t="s">
        <v>367</v>
      </c>
      <c r="D50" s="397"/>
      <c r="E50" s="325"/>
      <c r="F50" s="397">
        <v>4946.51</v>
      </c>
      <c r="G50" s="320">
        <f t="shared" si="7"/>
        <v>55752114.210000001</v>
      </c>
      <c r="H50" s="403">
        <f t="shared" si="6"/>
        <v>2501412.0600000005</v>
      </c>
      <c r="I50" s="196">
        <f t="shared" si="4"/>
        <v>27386014854.920002</v>
      </c>
      <c r="J50" s="321"/>
      <c r="K50" s="423"/>
      <c r="L50" s="423"/>
      <c r="M50" s="425"/>
    </row>
    <row r="51" spans="2:13">
      <c r="B51" s="201">
        <v>41759</v>
      </c>
      <c r="C51" s="38" t="s">
        <v>368</v>
      </c>
      <c r="D51" s="397"/>
      <c r="E51" s="325"/>
      <c r="F51" s="397">
        <v>19441.09</v>
      </c>
      <c r="G51" s="320">
        <f t="shared" si="7"/>
        <v>219120525.39000002</v>
      </c>
      <c r="H51" s="403">
        <f t="shared" si="6"/>
        <v>2520853.1500000004</v>
      </c>
      <c r="I51" s="196">
        <f t="shared" si="4"/>
        <v>27605135380.310001</v>
      </c>
      <c r="J51" s="321"/>
      <c r="K51" s="423"/>
      <c r="L51" s="423"/>
      <c r="M51" s="425"/>
    </row>
    <row r="52" spans="2:13">
      <c r="B52" s="322">
        <v>41736</v>
      </c>
      <c r="C52" s="287" t="s">
        <v>379</v>
      </c>
      <c r="D52" s="398"/>
      <c r="E52" s="323"/>
      <c r="F52" s="399">
        <v>2142.4699999999998</v>
      </c>
      <c r="G52" s="320">
        <f t="shared" si="7"/>
        <v>24147779.369999997</v>
      </c>
      <c r="H52" s="403">
        <f t="shared" si="6"/>
        <v>2522995.6200000006</v>
      </c>
      <c r="I52" s="196">
        <f t="shared" si="4"/>
        <v>27629283159.68</v>
      </c>
      <c r="J52" s="321"/>
      <c r="K52" s="423"/>
      <c r="L52" s="423"/>
      <c r="M52" s="425"/>
    </row>
    <row r="53" spans="2:13">
      <c r="B53" s="322">
        <v>41746</v>
      </c>
      <c r="C53" s="287" t="s">
        <v>380</v>
      </c>
      <c r="D53" s="430"/>
      <c r="E53" s="214"/>
      <c r="F53" s="405">
        <v>9409.09</v>
      </c>
      <c r="G53" s="320">
        <f t="shared" si="7"/>
        <v>106049853.39</v>
      </c>
      <c r="H53" s="403">
        <f t="shared" si="6"/>
        <v>2532404.7100000004</v>
      </c>
      <c r="I53" s="196">
        <f t="shared" si="4"/>
        <v>27735333013.07</v>
      </c>
      <c r="J53" s="321"/>
      <c r="K53" s="423"/>
      <c r="L53" s="423"/>
      <c r="M53" s="425"/>
    </row>
    <row r="54" spans="2:13">
      <c r="B54" s="322">
        <v>41752</v>
      </c>
      <c r="C54" s="287" t="s">
        <v>381</v>
      </c>
      <c r="D54" s="430"/>
      <c r="E54" s="214"/>
      <c r="F54" s="405">
        <v>18793.09</v>
      </c>
      <c r="G54" s="320">
        <f t="shared" si="7"/>
        <v>211816917.39000002</v>
      </c>
      <c r="H54" s="403">
        <f t="shared" si="6"/>
        <v>2551197.8000000003</v>
      </c>
      <c r="I54" s="196">
        <f t="shared" si="4"/>
        <v>27947149930.459999</v>
      </c>
      <c r="J54" s="321"/>
      <c r="K54" s="423"/>
      <c r="L54" s="423"/>
      <c r="M54" s="425"/>
    </row>
    <row r="55" spans="2:13">
      <c r="B55" s="201">
        <v>41759</v>
      </c>
      <c r="C55" s="38" t="s">
        <v>382</v>
      </c>
      <c r="D55" s="397"/>
      <c r="E55" s="325"/>
      <c r="F55" s="397">
        <v>22226.720000000001</v>
      </c>
      <c r="G55" s="320">
        <f t="shared" si="7"/>
        <v>250517361.12</v>
      </c>
      <c r="H55" s="410">
        <f t="shared" si="6"/>
        <v>2573424.5200000005</v>
      </c>
      <c r="I55" s="409">
        <f t="shared" si="4"/>
        <v>28197667291.579998</v>
      </c>
      <c r="J55" s="321"/>
      <c r="K55" s="423">
        <f>SUM(F47:F55)</f>
        <v>217229.44999999998</v>
      </c>
      <c r="L55" s="423">
        <f>SUM(G47:G55)</f>
        <v>2448393130.9499998</v>
      </c>
      <c r="M55" s="425"/>
    </row>
    <row r="56" spans="2:13">
      <c r="B56" s="370">
        <v>41772</v>
      </c>
      <c r="C56" s="371" t="s">
        <v>456</v>
      </c>
      <c r="D56" s="396">
        <v>67.02</v>
      </c>
      <c r="E56" s="395">
        <f>D56*9735</f>
        <v>652439.69999999995</v>
      </c>
      <c r="F56" s="397"/>
      <c r="G56" s="320"/>
      <c r="H56" s="403">
        <f t="shared" si="6"/>
        <v>2573357.5000000005</v>
      </c>
      <c r="I56" s="196">
        <f t="shared" si="4"/>
        <v>28197014851.879997</v>
      </c>
      <c r="J56" s="321"/>
      <c r="K56" s="38" t="s">
        <v>449</v>
      </c>
      <c r="L56" s="423"/>
      <c r="M56" s="425"/>
    </row>
    <row r="57" spans="2:13">
      <c r="B57" s="370">
        <v>41772</v>
      </c>
      <c r="C57" s="532" t="s">
        <v>455</v>
      </c>
      <c r="D57" s="396">
        <v>678.42</v>
      </c>
      <c r="E57" s="395">
        <f>D57*9735</f>
        <v>6604418.6999999993</v>
      </c>
      <c r="F57" s="397"/>
      <c r="G57" s="320"/>
      <c r="H57" s="403">
        <f t="shared" si="6"/>
        <v>2572679.0800000005</v>
      </c>
      <c r="I57" s="196">
        <f t="shared" si="4"/>
        <v>28190410433.179996</v>
      </c>
      <c r="J57" s="321"/>
      <c r="K57" s="423"/>
      <c r="L57" s="423"/>
      <c r="M57" s="425"/>
    </row>
    <row r="58" spans="2:13">
      <c r="B58" s="370">
        <v>41772</v>
      </c>
      <c r="C58" s="531" t="s">
        <v>454</v>
      </c>
      <c r="D58" s="459">
        <v>34555.19</v>
      </c>
      <c r="E58" s="395">
        <f>D58*9735</f>
        <v>336394774.65000004</v>
      </c>
      <c r="F58" s="400"/>
      <c r="G58" s="320"/>
      <c r="H58" s="403">
        <f t="shared" si="6"/>
        <v>2538123.8900000006</v>
      </c>
      <c r="I58" s="196">
        <f t="shared" si="4"/>
        <v>27854015658.529995</v>
      </c>
      <c r="J58" s="321"/>
      <c r="K58" s="423"/>
      <c r="L58" s="423"/>
      <c r="M58" s="425"/>
    </row>
    <row r="59" spans="2:13">
      <c r="B59" s="370">
        <v>41772</v>
      </c>
      <c r="C59" s="538" t="s">
        <v>452</v>
      </c>
      <c r="D59" s="459">
        <v>111507.4</v>
      </c>
      <c r="E59" s="494">
        <f>D59*9730</f>
        <v>1084967002</v>
      </c>
      <c r="F59" s="400"/>
      <c r="G59" s="320"/>
      <c r="H59" s="403">
        <f t="shared" si="5"/>
        <v>2426616.4900000007</v>
      </c>
      <c r="I59" s="196">
        <f t="shared" si="4"/>
        <v>26769048656.529995</v>
      </c>
      <c r="J59" s="321"/>
      <c r="K59" s="423"/>
      <c r="L59" s="423"/>
      <c r="M59" s="425"/>
    </row>
    <row r="60" spans="2:13">
      <c r="B60" s="370">
        <v>41772</v>
      </c>
      <c r="C60" s="538" t="s">
        <v>453</v>
      </c>
      <c r="D60" s="459">
        <v>47654.83</v>
      </c>
      <c r="E60" s="494">
        <f>D60*9730</f>
        <v>463681495.90000004</v>
      </c>
      <c r="F60" s="400"/>
      <c r="G60" s="320"/>
      <c r="H60" s="403">
        <f t="shared" si="5"/>
        <v>2378961.6600000006</v>
      </c>
      <c r="I60" s="196">
        <f t="shared" si="4"/>
        <v>26305367160.629993</v>
      </c>
      <c r="J60" s="321"/>
      <c r="K60" s="423"/>
      <c r="L60" s="423"/>
      <c r="M60" s="425"/>
    </row>
    <row r="61" spans="2:13">
      <c r="B61" s="370">
        <v>41772</v>
      </c>
      <c r="C61" s="458" t="s">
        <v>498</v>
      </c>
      <c r="D61" s="459">
        <v>13192.22</v>
      </c>
      <c r="E61" s="494">
        <f>D61*9730</f>
        <v>128360300.59999999</v>
      </c>
      <c r="F61" s="400"/>
      <c r="G61" s="320"/>
      <c r="H61" s="403">
        <f t="shared" si="5"/>
        <v>2365769.4400000004</v>
      </c>
      <c r="I61" s="196">
        <f t="shared" si="4"/>
        <v>26177006860.029995</v>
      </c>
      <c r="J61" s="321"/>
      <c r="K61" s="423"/>
      <c r="L61" s="423"/>
      <c r="M61" s="425"/>
    </row>
    <row r="62" spans="2:13">
      <c r="B62" s="411">
        <v>41772</v>
      </c>
      <c r="C62" s="458" t="s">
        <v>447</v>
      </c>
      <c r="D62" s="459">
        <v>6953.74</v>
      </c>
      <c r="E62" s="494">
        <f>D62*9730</f>
        <v>67659890.200000003</v>
      </c>
      <c r="F62" s="400"/>
      <c r="G62" s="320"/>
      <c r="H62" s="403">
        <f t="shared" si="5"/>
        <v>2358815.7000000002</v>
      </c>
      <c r="I62" s="196">
        <f t="shared" si="4"/>
        <v>26109346969.829994</v>
      </c>
      <c r="J62" s="321"/>
      <c r="K62" s="423"/>
      <c r="L62" s="423">
        <f>SUM(E56:E62)</f>
        <v>2088320321.75</v>
      </c>
      <c r="M62" s="425"/>
    </row>
    <row r="63" spans="2:13">
      <c r="B63" s="322">
        <v>41766</v>
      </c>
      <c r="C63" s="324" t="s">
        <v>476</v>
      </c>
      <c r="D63" s="400"/>
      <c r="E63" s="325"/>
      <c r="F63" s="400">
        <v>26945.41</v>
      </c>
      <c r="G63" s="320">
        <f>F63*11537</f>
        <v>310869195.17000002</v>
      </c>
      <c r="H63" s="403">
        <f t="shared" si="5"/>
        <v>2385761.1100000003</v>
      </c>
      <c r="I63" s="196">
        <f t="shared" si="4"/>
        <v>26420216164.999992</v>
      </c>
      <c r="J63" s="321"/>
      <c r="K63" s="423"/>
      <c r="L63" s="423"/>
      <c r="M63" s="425"/>
    </row>
    <row r="64" spans="2:13">
      <c r="B64" s="322">
        <v>41773</v>
      </c>
      <c r="C64" s="324" t="s">
        <v>477</v>
      </c>
      <c r="D64" s="400"/>
      <c r="E64" s="325"/>
      <c r="F64" s="400">
        <v>25997.38</v>
      </c>
      <c r="G64" s="320">
        <f t="shared" ref="G64:G71" si="8">F64*11537</f>
        <v>299931773.06</v>
      </c>
      <c r="H64" s="403">
        <f t="shared" si="5"/>
        <v>2411758.4900000002</v>
      </c>
      <c r="I64" s="196">
        <f t="shared" si="4"/>
        <v>26720147938.059994</v>
      </c>
      <c r="J64" s="321"/>
      <c r="K64" s="423"/>
      <c r="L64" s="423"/>
      <c r="M64" s="425"/>
    </row>
    <row r="65" spans="2:13">
      <c r="B65" s="322">
        <v>41779</v>
      </c>
      <c r="C65" s="287" t="s">
        <v>478</v>
      </c>
      <c r="D65" s="398"/>
      <c r="E65" s="323"/>
      <c r="F65" s="404">
        <v>29490.65</v>
      </c>
      <c r="G65" s="320">
        <f t="shared" si="8"/>
        <v>340233629.05000001</v>
      </c>
      <c r="H65" s="403">
        <f t="shared" si="5"/>
        <v>2441249.14</v>
      </c>
      <c r="I65" s="196">
        <f t="shared" si="4"/>
        <v>27060381567.109993</v>
      </c>
      <c r="J65" s="321"/>
      <c r="K65" s="423"/>
      <c r="L65" s="423"/>
      <c r="M65" s="425"/>
    </row>
    <row r="66" spans="2:13">
      <c r="B66" s="322">
        <v>41789</v>
      </c>
      <c r="C66" s="287" t="s">
        <v>479</v>
      </c>
      <c r="D66" s="430"/>
      <c r="E66" s="214"/>
      <c r="F66" s="405">
        <v>45105.53</v>
      </c>
      <c r="G66" s="320">
        <f t="shared" si="8"/>
        <v>520382499.61000001</v>
      </c>
      <c r="H66" s="403">
        <f t="shared" si="5"/>
        <v>2486354.67</v>
      </c>
      <c r="I66" s="196">
        <f t="shared" si="4"/>
        <v>27580764066.719994</v>
      </c>
      <c r="J66" s="321"/>
      <c r="K66" s="423"/>
      <c r="L66" s="423"/>
      <c r="M66" s="425"/>
    </row>
    <row r="67" spans="2:13">
      <c r="B67" s="322">
        <v>41790</v>
      </c>
      <c r="C67" s="324" t="s">
        <v>480</v>
      </c>
      <c r="D67" s="400"/>
      <c r="E67" s="325"/>
      <c r="F67" s="400">
        <v>20724.32</v>
      </c>
      <c r="G67" s="320">
        <f t="shared" si="8"/>
        <v>239096479.84</v>
      </c>
      <c r="H67" s="403">
        <f t="shared" si="5"/>
        <v>2507078.9899999998</v>
      </c>
      <c r="I67" s="196">
        <f t="shared" si="4"/>
        <v>27819860546.559994</v>
      </c>
      <c r="J67" s="321"/>
      <c r="K67" s="423"/>
      <c r="L67" s="423"/>
      <c r="M67" s="425"/>
    </row>
    <row r="68" spans="2:13">
      <c r="B68" s="322">
        <v>41766</v>
      </c>
      <c r="C68" s="324" t="s">
        <v>481</v>
      </c>
      <c r="D68" s="400"/>
      <c r="E68" s="325"/>
      <c r="F68" s="400">
        <v>31831.39</v>
      </c>
      <c r="G68" s="320">
        <f t="shared" si="8"/>
        <v>367238746.43000001</v>
      </c>
      <c r="H68" s="403">
        <f>H67+F68-D68</f>
        <v>2538910.38</v>
      </c>
      <c r="I68" s="196">
        <f t="shared" si="4"/>
        <v>28187099292.989994</v>
      </c>
      <c r="J68" s="321"/>
      <c r="K68" s="423"/>
      <c r="L68" s="423"/>
      <c r="M68" s="425"/>
    </row>
    <row r="69" spans="2:13">
      <c r="B69" s="322">
        <v>41773</v>
      </c>
      <c r="C69" s="324" t="s">
        <v>482</v>
      </c>
      <c r="D69" s="400"/>
      <c r="E69" s="524"/>
      <c r="F69" s="400">
        <v>24087.03</v>
      </c>
      <c r="G69" s="320">
        <f t="shared" si="8"/>
        <v>277892065.11000001</v>
      </c>
      <c r="H69" s="403">
        <f t="shared" ref="H69:H88" si="9">H68+F69-D69</f>
        <v>2562997.4099999997</v>
      </c>
      <c r="I69" s="196">
        <f t="shared" ref="I69:I88" si="10">I68+G69-E69</f>
        <v>28464991358.099995</v>
      </c>
      <c r="J69" s="321"/>
      <c r="K69" s="423"/>
      <c r="L69" s="423"/>
      <c r="M69" s="425"/>
    </row>
    <row r="70" spans="2:13">
      <c r="B70" s="322">
        <v>41779</v>
      </c>
      <c r="C70" s="324" t="s">
        <v>483</v>
      </c>
      <c r="D70" s="400"/>
      <c r="E70" s="524"/>
      <c r="F70" s="400">
        <v>21887.47</v>
      </c>
      <c r="G70" s="320">
        <f t="shared" si="8"/>
        <v>252515741.39000002</v>
      </c>
      <c r="H70" s="403">
        <f t="shared" si="9"/>
        <v>2584884.88</v>
      </c>
      <c r="I70" s="196">
        <f t="shared" si="10"/>
        <v>28717507099.489994</v>
      </c>
      <c r="J70" s="321"/>
      <c r="K70" s="423"/>
      <c r="L70" s="423"/>
      <c r="M70" s="425"/>
    </row>
    <row r="71" spans="2:13">
      <c r="B71" s="322">
        <v>41790</v>
      </c>
      <c r="C71" s="324" t="s">
        <v>484</v>
      </c>
      <c r="D71" s="400"/>
      <c r="E71" s="524"/>
      <c r="F71" s="400">
        <v>10097.61</v>
      </c>
      <c r="G71" s="320">
        <f t="shared" si="8"/>
        <v>116496126.57000001</v>
      </c>
      <c r="H71" s="410">
        <f t="shared" si="9"/>
        <v>2594982.4899999998</v>
      </c>
      <c r="I71" s="409">
        <f t="shared" si="10"/>
        <v>28834003226.059994</v>
      </c>
      <c r="J71" s="321"/>
      <c r="K71" s="423">
        <f>SUM(F63:F71)</f>
        <v>236166.78999999998</v>
      </c>
      <c r="L71" s="423">
        <f>SUM(G63:G71)</f>
        <v>2724656256.23</v>
      </c>
      <c r="M71" s="425"/>
    </row>
    <row r="72" spans="2:13">
      <c r="B72" s="322"/>
      <c r="C72" s="324"/>
      <c r="D72" s="400"/>
      <c r="E72" s="524"/>
      <c r="F72" s="400"/>
      <c r="G72" s="320"/>
      <c r="H72" s="403">
        <f t="shared" si="9"/>
        <v>2594982.4899999998</v>
      </c>
      <c r="I72" s="196">
        <f t="shared" si="10"/>
        <v>28834003226.059994</v>
      </c>
      <c r="J72" s="321"/>
      <c r="K72" s="423"/>
      <c r="L72" s="423"/>
      <c r="M72" s="425"/>
    </row>
    <row r="73" spans="2:13">
      <c r="B73" s="322"/>
      <c r="C73" s="324"/>
      <c r="D73" s="400"/>
      <c r="E73" s="524"/>
      <c r="F73" s="400"/>
      <c r="G73" s="320"/>
      <c r="H73" s="403">
        <f t="shared" si="9"/>
        <v>2594982.4899999998</v>
      </c>
      <c r="I73" s="196">
        <f t="shared" si="10"/>
        <v>28834003226.059994</v>
      </c>
      <c r="J73" s="321"/>
      <c r="K73" s="423"/>
      <c r="L73" s="423"/>
      <c r="M73" s="425"/>
    </row>
    <row r="74" spans="2:13">
      <c r="B74" s="322"/>
      <c r="C74" s="324"/>
      <c r="D74" s="400"/>
      <c r="E74" s="524"/>
      <c r="F74" s="400"/>
      <c r="G74" s="320"/>
      <c r="H74" s="403">
        <f t="shared" si="9"/>
        <v>2594982.4899999998</v>
      </c>
      <c r="I74" s="196">
        <f t="shared" si="10"/>
        <v>28834003226.059994</v>
      </c>
      <c r="J74" s="321"/>
      <c r="K74" s="423"/>
      <c r="L74" s="423"/>
      <c r="M74" s="425"/>
    </row>
    <row r="75" spans="2:13">
      <c r="B75" s="322"/>
      <c r="C75" s="324"/>
      <c r="D75" s="400"/>
      <c r="E75" s="524"/>
      <c r="F75" s="400"/>
      <c r="G75" s="320"/>
      <c r="H75" s="403">
        <f t="shared" si="9"/>
        <v>2594982.4899999998</v>
      </c>
      <c r="I75" s="196">
        <f t="shared" si="10"/>
        <v>28834003226.059994</v>
      </c>
      <c r="J75" s="321"/>
      <c r="K75" s="423"/>
      <c r="L75" s="423"/>
      <c r="M75" s="425"/>
    </row>
    <row r="76" spans="2:13">
      <c r="B76" s="322"/>
      <c r="C76" s="324"/>
      <c r="D76" s="400"/>
      <c r="E76" s="524"/>
      <c r="F76" s="400"/>
      <c r="G76" s="320"/>
      <c r="H76" s="403">
        <f t="shared" si="9"/>
        <v>2594982.4899999998</v>
      </c>
      <c r="I76" s="196">
        <f t="shared" si="10"/>
        <v>28834003226.059994</v>
      </c>
      <c r="J76" s="321"/>
      <c r="K76" s="423"/>
      <c r="L76" s="423"/>
      <c r="M76" s="425"/>
    </row>
    <row r="77" spans="2:13">
      <c r="B77" s="322"/>
      <c r="C77" s="324"/>
      <c r="D77" s="400"/>
      <c r="E77" s="524"/>
      <c r="F77" s="400"/>
      <c r="G77" s="320"/>
      <c r="H77" s="403">
        <f t="shared" si="9"/>
        <v>2594982.4899999998</v>
      </c>
      <c r="I77" s="196">
        <f t="shared" si="10"/>
        <v>28834003226.059994</v>
      </c>
      <c r="J77" s="321"/>
      <c r="K77" s="423"/>
      <c r="L77" s="423"/>
      <c r="M77" s="425"/>
    </row>
    <row r="78" spans="2:13">
      <c r="B78" s="322"/>
      <c r="C78" s="324"/>
      <c r="D78" s="400"/>
      <c r="E78" s="524"/>
      <c r="F78" s="400"/>
      <c r="G78" s="320"/>
      <c r="H78" s="403">
        <f t="shared" si="9"/>
        <v>2594982.4899999998</v>
      </c>
      <c r="I78" s="196">
        <f t="shared" si="10"/>
        <v>28834003226.059994</v>
      </c>
      <c r="J78" s="321"/>
      <c r="K78" s="423"/>
      <c r="L78" s="423"/>
      <c r="M78" s="425"/>
    </row>
    <row r="79" spans="2:13">
      <c r="B79" s="322"/>
      <c r="C79" s="324"/>
      <c r="D79" s="400"/>
      <c r="E79" s="524"/>
      <c r="F79" s="400"/>
      <c r="G79" s="320"/>
      <c r="H79" s="403">
        <f t="shared" si="9"/>
        <v>2594982.4899999998</v>
      </c>
      <c r="I79" s="196">
        <f t="shared" si="10"/>
        <v>28834003226.059994</v>
      </c>
      <c r="J79" s="321"/>
      <c r="K79" s="423"/>
      <c r="L79" s="423"/>
      <c r="M79" s="425"/>
    </row>
    <row r="80" spans="2:13">
      <c r="B80" s="322"/>
      <c r="C80" s="324"/>
      <c r="D80" s="400"/>
      <c r="E80" s="524"/>
      <c r="F80" s="400"/>
      <c r="G80" s="320"/>
      <c r="H80" s="403">
        <f t="shared" si="9"/>
        <v>2594982.4899999998</v>
      </c>
      <c r="I80" s="196">
        <f t="shared" si="10"/>
        <v>28834003226.059994</v>
      </c>
      <c r="J80" s="321"/>
      <c r="K80" s="423"/>
      <c r="L80" s="423"/>
      <c r="M80" s="425"/>
    </row>
    <row r="81" spans="2:13">
      <c r="B81" s="322"/>
      <c r="C81" s="324"/>
      <c r="D81" s="400"/>
      <c r="E81" s="524"/>
      <c r="F81" s="400"/>
      <c r="G81" s="320"/>
      <c r="H81" s="403">
        <f t="shared" si="9"/>
        <v>2594982.4899999998</v>
      </c>
      <c r="I81" s="196">
        <f t="shared" si="10"/>
        <v>28834003226.059994</v>
      </c>
      <c r="J81" s="321"/>
      <c r="K81" s="423"/>
      <c r="L81" s="423"/>
      <c r="M81" s="425"/>
    </row>
    <row r="82" spans="2:13">
      <c r="B82" s="322"/>
      <c r="C82" s="324"/>
      <c r="D82" s="400"/>
      <c r="E82" s="524"/>
      <c r="F82" s="400"/>
      <c r="G82" s="320"/>
      <c r="H82" s="403">
        <f t="shared" si="9"/>
        <v>2594982.4899999998</v>
      </c>
      <c r="I82" s="196">
        <f t="shared" si="10"/>
        <v>28834003226.059994</v>
      </c>
      <c r="J82" s="321"/>
      <c r="K82" s="423"/>
      <c r="L82" s="423"/>
      <c r="M82" s="425"/>
    </row>
    <row r="83" spans="2:13">
      <c r="B83" s="322"/>
      <c r="C83" s="324"/>
      <c r="D83" s="400"/>
      <c r="E83" s="524"/>
      <c r="F83" s="400"/>
      <c r="G83" s="320"/>
      <c r="H83" s="403">
        <f t="shared" si="9"/>
        <v>2594982.4899999998</v>
      </c>
      <c r="I83" s="196">
        <f t="shared" si="10"/>
        <v>28834003226.059994</v>
      </c>
      <c r="J83" s="321"/>
      <c r="K83" s="423"/>
      <c r="L83" s="423"/>
      <c r="M83" s="425"/>
    </row>
    <row r="84" spans="2:13">
      <c r="B84" s="322"/>
      <c r="C84" s="324"/>
      <c r="D84" s="400"/>
      <c r="E84" s="524"/>
      <c r="F84" s="400"/>
      <c r="G84" s="320"/>
      <c r="H84" s="403">
        <f t="shared" si="9"/>
        <v>2594982.4899999998</v>
      </c>
      <c r="I84" s="196">
        <f t="shared" si="10"/>
        <v>28834003226.059994</v>
      </c>
      <c r="J84" s="321"/>
      <c r="K84" s="423"/>
      <c r="L84" s="423"/>
      <c r="M84" s="425"/>
    </row>
    <row r="85" spans="2:13">
      <c r="B85" s="322"/>
      <c r="C85" s="324"/>
      <c r="D85" s="400"/>
      <c r="E85" s="524"/>
      <c r="F85" s="400"/>
      <c r="G85" s="320"/>
      <c r="H85" s="403">
        <f t="shared" si="9"/>
        <v>2594982.4899999998</v>
      </c>
      <c r="I85" s="196">
        <f t="shared" si="10"/>
        <v>28834003226.059994</v>
      </c>
      <c r="J85" s="321"/>
      <c r="K85" s="423"/>
      <c r="L85" s="423"/>
      <c r="M85" s="425"/>
    </row>
    <row r="86" spans="2:13">
      <c r="B86" s="322"/>
      <c r="C86" s="324"/>
      <c r="D86" s="400"/>
      <c r="E86" s="524"/>
      <c r="F86" s="400"/>
      <c r="G86" s="320"/>
      <c r="H86" s="403">
        <f t="shared" si="9"/>
        <v>2594982.4899999998</v>
      </c>
      <c r="I86" s="196">
        <f t="shared" si="10"/>
        <v>28834003226.059994</v>
      </c>
      <c r="J86" s="321"/>
      <c r="K86" s="423"/>
      <c r="L86" s="423"/>
      <c r="M86" s="425"/>
    </row>
    <row r="87" spans="2:13">
      <c r="B87" s="322"/>
      <c r="C87" s="324"/>
      <c r="D87" s="400"/>
      <c r="E87" s="524"/>
      <c r="F87" s="400"/>
      <c r="G87" s="320"/>
      <c r="H87" s="403">
        <f t="shared" si="9"/>
        <v>2594982.4899999998</v>
      </c>
      <c r="I87" s="196">
        <f t="shared" si="10"/>
        <v>28834003226.059994</v>
      </c>
      <c r="J87" s="321"/>
      <c r="K87" s="423"/>
      <c r="L87" s="423"/>
      <c r="M87" s="425"/>
    </row>
    <row r="88" spans="2:13">
      <c r="B88" s="322"/>
      <c r="C88" s="324"/>
      <c r="D88" s="400"/>
      <c r="E88" s="524"/>
      <c r="F88" s="400"/>
      <c r="G88" s="320"/>
      <c r="H88" s="403">
        <f t="shared" si="9"/>
        <v>2594982.4899999998</v>
      </c>
      <c r="I88" s="196">
        <f t="shared" si="10"/>
        <v>28834003226.059994</v>
      </c>
      <c r="J88" s="321"/>
      <c r="K88" s="423"/>
      <c r="L88" s="423"/>
      <c r="M88" s="425"/>
    </row>
    <row r="89" spans="2:13">
      <c r="B89" s="322"/>
      <c r="C89" s="324"/>
      <c r="D89" s="400"/>
      <c r="E89" s="524"/>
      <c r="F89" s="400"/>
      <c r="G89" s="320"/>
      <c r="H89" s="525"/>
      <c r="I89" s="196"/>
      <c r="J89" s="321"/>
      <c r="K89" s="423"/>
      <c r="L89" s="423"/>
      <c r="M89" s="425"/>
    </row>
    <row r="90" spans="2:13">
      <c r="B90" s="322"/>
      <c r="C90" s="324"/>
      <c r="D90" s="400"/>
      <c r="E90" s="524"/>
      <c r="F90" s="400"/>
      <c r="G90" s="320"/>
      <c r="H90" s="525"/>
      <c r="I90" s="196"/>
      <c r="J90" s="321"/>
      <c r="K90" s="423"/>
      <c r="L90" s="423"/>
      <c r="M90" s="425"/>
    </row>
    <row r="91" spans="2:13">
      <c r="B91" s="322"/>
      <c r="C91" s="324"/>
      <c r="D91" s="400"/>
      <c r="E91" s="524"/>
      <c r="F91" s="400"/>
      <c r="G91" s="320"/>
      <c r="H91" s="525"/>
      <c r="I91" s="196"/>
      <c r="J91" s="321"/>
      <c r="K91" s="423"/>
      <c r="L91" s="423"/>
      <c r="M91" s="425"/>
    </row>
    <row r="92" spans="2:13">
      <c r="B92" s="322"/>
      <c r="C92" s="324"/>
      <c r="D92" s="400"/>
      <c r="E92" s="524"/>
      <c r="F92" s="400"/>
      <c r="G92" s="320"/>
      <c r="H92" s="525"/>
      <c r="I92" s="196"/>
      <c r="J92" s="321"/>
      <c r="K92" s="423"/>
      <c r="L92" s="423"/>
      <c r="M92" s="425"/>
    </row>
    <row r="93" spans="2:13">
      <c r="B93" s="322"/>
      <c r="C93" s="324"/>
      <c r="D93" s="400"/>
      <c r="E93" s="524"/>
      <c r="F93" s="400"/>
      <c r="G93" s="320"/>
      <c r="H93" s="525"/>
      <c r="I93" s="196"/>
      <c r="J93" s="321"/>
      <c r="K93" s="423"/>
      <c r="L93" s="423"/>
      <c r="M93" s="425"/>
    </row>
    <row r="94" spans="2:13">
      <c r="B94" s="322"/>
      <c r="C94" s="324"/>
      <c r="D94" s="400"/>
      <c r="E94" s="524"/>
      <c r="F94" s="400"/>
      <c r="G94" s="320"/>
      <c r="H94" s="525"/>
      <c r="I94" s="196"/>
      <c r="J94" s="321"/>
      <c r="K94" s="423"/>
      <c r="L94" s="423"/>
      <c r="M94" s="425"/>
    </row>
    <row r="95" spans="2:13">
      <c r="B95" s="322"/>
      <c r="C95" s="324"/>
      <c r="D95" s="400"/>
      <c r="E95" s="524"/>
      <c r="F95" s="400"/>
      <c r="G95" s="320"/>
      <c r="H95" s="525"/>
      <c r="I95" s="196"/>
      <c r="J95" s="321"/>
      <c r="K95" s="423"/>
      <c r="L95" s="423"/>
      <c r="M95" s="425"/>
    </row>
    <row r="96" spans="2:13">
      <c r="B96" s="322"/>
      <c r="C96" s="324"/>
      <c r="D96" s="400"/>
      <c r="E96" s="524"/>
      <c r="F96" s="400"/>
      <c r="G96" s="320"/>
      <c r="H96" s="525"/>
      <c r="I96" s="196"/>
      <c r="J96" s="321"/>
      <c r="K96" s="423"/>
      <c r="L96" s="423"/>
      <c r="M96" s="425"/>
    </row>
    <row r="97" spans="2:13">
      <c r="B97" s="322"/>
      <c r="C97" s="324"/>
      <c r="D97" s="400"/>
      <c r="E97" s="524"/>
      <c r="F97" s="400"/>
      <c r="G97" s="320"/>
      <c r="H97" s="525"/>
      <c r="I97" s="196"/>
      <c r="J97" s="321"/>
      <c r="K97" s="423"/>
      <c r="L97" s="423"/>
      <c r="M97" s="425"/>
    </row>
    <row r="98" spans="2:13">
      <c r="B98" s="322"/>
      <c r="C98" s="324"/>
      <c r="D98" s="400"/>
      <c r="E98" s="524"/>
      <c r="F98" s="400"/>
      <c r="G98" s="320"/>
      <c r="H98" s="525"/>
      <c r="I98" s="196"/>
      <c r="J98" s="321"/>
      <c r="K98" s="423"/>
      <c r="L98" s="423"/>
      <c r="M98" s="425"/>
    </row>
    <row r="99" spans="2:13">
      <c r="B99" s="322"/>
      <c r="C99" s="324"/>
      <c r="D99" s="400"/>
      <c r="E99" s="524"/>
      <c r="F99" s="400"/>
      <c r="G99" s="320"/>
      <c r="H99" s="525"/>
      <c r="I99" s="196"/>
      <c r="J99" s="321"/>
      <c r="K99" s="423"/>
      <c r="L99" s="423"/>
      <c r="M99" s="425"/>
    </row>
    <row r="100" spans="2:13">
      <c r="B100" s="322"/>
      <c r="C100" s="324"/>
      <c r="D100" s="400"/>
      <c r="E100" s="524"/>
      <c r="F100" s="400"/>
      <c r="G100" s="320"/>
      <c r="H100" s="525"/>
      <c r="I100" s="196"/>
      <c r="J100" s="321"/>
      <c r="K100" s="423"/>
      <c r="L100" s="423"/>
      <c r="M100" s="425"/>
    </row>
    <row r="101" spans="2:13">
      <c r="B101" s="322"/>
      <c r="C101" s="324"/>
      <c r="D101" s="400"/>
      <c r="E101" s="524"/>
      <c r="F101" s="400"/>
      <c r="G101" s="320"/>
      <c r="H101" s="525"/>
      <c r="I101" s="196"/>
      <c r="J101" s="321"/>
      <c r="K101" s="423"/>
      <c r="L101" s="423"/>
      <c r="M101" s="425"/>
    </row>
    <row r="102" spans="2:13">
      <c r="B102" s="322"/>
      <c r="C102" s="324"/>
      <c r="D102" s="400"/>
      <c r="E102" s="524"/>
      <c r="F102" s="400"/>
      <c r="G102" s="320"/>
      <c r="H102" s="525"/>
      <c r="I102" s="196"/>
      <c r="J102" s="321"/>
      <c r="K102" s="423"/>
      <c r="L102" s="423"/>
      <c r="M102" s="425"/>
    </row>
    <row r="103" spans="2:13">
      <c r="B103" s="322"/>
      <c r="C103" s="324"/>
      <c r="D103" s="400"/>
      <c r="E103" s="524"/>
      <c r="F103" s="400"/>
      <c r="G103" s="320"/>
      <c r="H103" s="525"/>
      <c r="I103" s="196"/>
      <c r="J103" s="321"/>
      <c r="K103" s="423"/>
      <c r="L103" s="423"/>
      <c r="M103" s="425"/>
    </row>
    <row r="104" spans="2:13">
      <c r="B104" s="322"/>
      <c r="C104" s="324"/>
      <c r="D104" s="400"/>
      <c r="E104" s="524"/>
      <c r="F104" s="400"/>
      <c r="G104" s="320"/>
      <c r="H104" s="525"/>
      <c r="I104" s="196"/>
      <c r="J104" s="321"/>
      <c r="K104" s="423"/>
      <c r="L104" s="423"/>
      <c r="M104" s="425"/>
    </row>
    <row r="105" spans="2:13">
      <c r="B105" s="322"/>
      <c r="C105" s="324"/>
      <c r="D105" s="400"/>
      <c r="E105" s="524"/>
      <c r="F105" s="400"/>
      <c r="G105" s="320"/>
      <c r="H105" s="525"/>
      <c r="I105" s="196"/>
      <c r="J105" s="321"/>
      <c r="K105" s="423"/>
      <c r="L105" s="423"/>
      <c r="M105" s="425"/>
    </row>
    <row r="106" spans="2:13">
      <c r="B106" s="322"/>
      <c r="C106" s="324"/>
      <c r="D106" s="400"/>
      <c r="E106" s="524"/>
      <c r="F106" s="400"/>
      <c r="G106" s="320"/>
      <c r="H106" s="525"/>
      <c r="I106" s="196"/>
      <c r="J106" s="321"/>
      <c r="K106" s="423"/>
      <c r="L106" s="423"/>
      <c r="M106" s="425"/>
    </row>
    <row r="107" spans="2:13">
      <c r="B107" s="322"/>
      <c r="C107" s="324"/>
      <c r="D107" s="400"/>
      <c r="E107" s="524"/>
      <c r="F107" s="400"/>
      <c r="G107" s="320"/>
      <c r="H107" s="525"/>
      <c r="I107" s="196"/>
      <c r="J107" s="321"/>
      <c r="K107" s="423"/>
      <c r="L107" s="423"/>
      <c r="M107" s="425"/>
    </row>
    <row r="108" spans="2:13">
      <c r="B108" s="322"/>
      <c r="C108" s="324"/>
      <c r="D108" s="400"/>
      <c r="E108" s="524"/>
      <c r="F108" s="400"/>
      <c r="G108" s="320"/>
      <c r="H108" s="525"/>
      <c r="I108" s="196"/>
      <c r="J108" s="321"/>
      <c r="K108" s="423"/>
      <c r="L108" s="423"/>
      <c r="M108" s="425"/>
    </row>
    <row r="109" spans="2:13">
      <c r="B109" s="322"/>
      <c r="C109" s="324"/>
      <c r="D109" s="400"/>
      <c r="E109" s="524"/>
      <c r="F109" s="400"/>
      <c r="G109" s="320"/>
      <c r="H109" s="525"/>
      <c r="I109" s="196"/>
      <c r="J109" s="321"/>
      <c r="K109" s="423"/>
      <c r="L109" s="423"/>
      <c r="M109" s="425"/>
    </row>
    <row r="110" spans="2:13">
      <c r="B110" s="322"/>
      <c r="C110" s="324"/>
      <c r="D110" s="400"/>
      <c r="E110" s="524"/>
      <c r="F110" s="400"/>
      <c r="G110" s="320"/>
      <c r="H110" s="525"/>
      <c r="I110" s="196"/>
      <c r="J110" s="321"/>
      <c r="K110" s="423"/>
      <c r="L110" s="423"/>
      <c r="M110" s="425"/>
    </row>
    <row r="111" spans="2:13">
      <c r="B111" s="322"/>
      <c r="C111" s="324"/>
      <c r="D111" s="400"/>
      <c r="E111" s="524"/>
      <c r="F111" s="400"/>
      <c r="G111" s="320"/>
      <c r="H111" s="525"/>
      <c r="I111" s="196"/>
      <c r="J111" s="321"/>
      <c r="K111" s="423"/>
      <c r="L111" s="423"/>
      <c r="M111" s="425"/>
    </row>
    <row r="112" spans="2:13">
      <c r="B112" s="322"/>
      <c r="C112" s="324"/>
      <c r="D112" s="400"/>
      <c r="E112" s="524"/>
      <c r="F112" s="400"/>
      <c r="G112" s="320"/>
      <c r="H112" s="525"/>
      <c r="I112" s="196"/>
      <c r="J112" s="321"/>
      <c r="K112" s="423"/>
      <c r="L112" s="423"/>
      <c r="M112" s="425"/>
    </row>
    <row r="113" spans="2:13">
      <c r="B113" s="322"/>
      <c r="C113" s="324"/>
      <c r="D113" s="400"/>
      <c r="E113" s="524"/>
      <c r="F113" s="400"/>
      <c r="G113" s="320"/>
      <c r="H113" s="525"/>
      <c r="I113" s="196"/>
      <c r="J113" s="321"/>
      <c r="K113" s="423"/>
      <c r="L113" s="423"/>
      <c r="M113" s="425"/>
    </row>
    <row r="114" spans="2:13">
      <c r="B114" s="322"/>
      <c r="C114" s="324"/>
      <c r="D114" s="400"/>
      <c r="E114" s="524"/>
      <c r="F114" s="400"/>
      <c r="G114" s="320"/>
      <c r="H114" s="525"/>
      <c r="I114" s="196"/>
      <c r="J114" s="321"/>
      <c r="K114" s="423"/>
      <c r="L114" s="423"/>
      <c r="M114" s="425"/>
    </row>
    <row r="115" spans="2:13">
      <c r="B115" s="322"/>
      <c r="C115" s="324"/>
      <c r="D115" s="400"/>
      <c r="E115" s="524"/>
      <c r="F115" s="400"/>
      <c r="G115" s="320"/>
      <c r="H115" s="525"/>
      <c r="I115" s="196"/>
      <c r="J115" s="321"/>
      <c r="K115" s="423"/>
      <c r="L115" s="423"/>
      <c r="M115" s="425"/>
    </row>
    <row r="116" spans="2:13">
      <c r="B116" s="322"/>
      <c r="C116" s="324"/>
      <c r="D116" s="400"/>
      <c r="E116" s="524"/>
      <c r="F116" s="400"/>
      <c r="G116" s="320"/>
      <c r="H116" s="525"/>
      <c r="I116" s="196"/>
      <c r="J116" s="321"/>
      <c r="K116" s="423"/>
      <c r="L116" s="423"/>
      <c r="M116" s="425"/>
    </row>
    <row r="117" spans="2:13">
      <c r="B117" s="322"/>
      <c r="C117" s="324"/>
      <c r="D117" s="400"/>
      <c r="E117" s="524"/>
      <c r="F117" s="400"/>
      <c r="G117" s="320"/>
      <c r="H117" s="525"/>
      <c r="I117" s="196"/>
      <c r="J117" s="321"/>
      <c r="K117" s="423"/>
      <c r="L117" s="423"/>
      <c r="M117" s="425"/>
    </row>
    <row r="118" spans="2:13">
      <c r="B118" s="322"/>
      <c r="C118" s="324"/>
      <c r="D118" s="400"/>
      <c r="E118" s="524"/>
      <c r="F118" s="400"/>
      <c r="G118" s="320"/>
      <c r="H118" s="525"/>
      <c r="I118" s="196"/>
      <c r="J118" s="321"/>
      <c r="K118" s="423"/>
      <c r="L118" s="423"/>
      <c r="M118" s="425"/>
    </row>
    <row r="119" spans="2:13">
      <c r="B119" s="322"/>
      <c r="C119" s="324"/>
      <c r="D119" s="400"/>
      <c r="E119" s="524"/>
      <c r="F119" s="400"/>
      <c r="G119" s="320"/>
      <c r="H119" s="525"/>
      <c r="I119" s="196"/>
      <c r="J119" s="321"/>
      <c r="K119" s="423"/>
      <c r="L119" s="423"/>
      <c r="M119" s="425"/>
    </row>
    <row r="120" spans="2:13">
      <c r="B120" s="322"/>
      <c r="C120" s="324"/>
      <c r="D120" s="400"/>
      <c r="E120" s="524"/>
      <c r="F120" s="400"/>
      <c r="G120" s="320"/>
      <c r="H120" s="525"/>
      <c r="I120" s="196"/>
      <c r="J120" s="321"/>
      <c r="K120" s="423"/>
      <c r="L120" s="423"/>
      <c r="M120" s="425"/>
    </row>
    <row r="121" spans="2:13">
      <c r="B121" s="322"/>
      <c r="C121" s="324"/>
      <c r="D121" s="400"/>
      <c r="E121" s="524"/>
      <c r="F121" s="400"/>
      <c r="G121" s="320"/>
      <c r="H121" s="525"/>
      <c r="I121" s="196"/>
      <c r="J121" s="321"/>
      <c r="K121" s="423"/>
      <c r="L121" s="423"/>
      <c r="M121" s="425"/>
    </row>
    <row r="122" spans="2:13">
      <c r="B122" s="322"/>
      <c r="C122" s="324"/>
      <c r="D122" s="400"/>
      <c r="E122" s="524"/>
      <c r="F122" s="400"/>
      <c r="G122" s="320"/>
      <c r="H122" s="525"/>
      <c r="I122" s="196"/>
      <c r="J122" s="321"/>
      <c r="K122" s="423"/>
      <c r="L122" s="423"/>
      <c r="M122" s="425"/>
    </row>
    <row r="123" spans="2:13">
      <c r="B123" s="322"/>
      <c r="C123" s="324"/>
      <c r="D123" s="400"/>
      <c r="E123" s="524"/>
      <c r="F123" s="400"/>
      <c r="G123" s="320"/>
      <c r="H123" s="525"/>
      <c r="I123" s="196"/>
      <c r="J123" s="321"/>
      <c r="K123" s="423"/>
      <c r="L123" s="423"/>
      <c r="M123" s="425"/>
    </row>
    <row r="124" spans="2:13">
      <c r="B124" s="322"/>
      <c r="C124" s="324"/>
      <c r="D124" s="400"/>
      <c r="E124" s="524"/>
      <c r="F124" s="400"/>
      <c r="G124" s="320"/>
      <c r="H124" s="525"/>
      <c r="I124" s="196"/>
      <c r="J124" s="321"/>
      <c r="K124" s="423"/>
      <c r="L124" s="423"/>
      <c r="M124" s="425"/>
    </row>
    <row r="125" spans="2:13">
      <c r="B125" s="322"/>
      <c r="C125" s="324"/>
      <c r="D125" s="400"/>
      <c r="E125" s="524"/>
      <c r="F125" s="400"/>
      <c r="G125" s="320"/>
      <c r="H125" s="525"/>
      <c r="I125" s="196"/>
      <c r="J125" s="321"/>
      <c r="K125" s="423"/>
      <c r="L125" s="423"/>
      <c r="M125" s="425"/>
    </row>
    <row r="126" spans="2:13">
      <c r="B126" s="322"/>
      <c r="C126" s="324"/>
      <c r="D126" s="400"/>
      <c r="E126" s="524"/>
      <c r="F126" s="400"/>
      <c r="G126" s="320"/>
      <c r="H126" s="525"/>
      <c r="I126" s="196"/>
      <c r="J126" s="321"/>
      <c r="K126" s="423"/>
      <c r="L126" s="423"/>
      <c r="M126" s="425"/>
    </row>
    <row r="127" spans="2:13">
      <c r="B127" s="322"/>
      <c r="C127" s="324"/>
      <c r="D127" s="400"/>
      <c r="E127" s="524"/>
      <c r="F127" s="400"/>
      <c r="G127" s="320"/>
      <c r="H127" s="525"/>
      <c r="I127" s="196"/>
      <c r="J127" s="321"/>
      <c r="K127" s="423"/>
      <c r="L127" s="423"/>
      <c r="M127" s="425"/>
    </row>
    <row r="128" spans="2:13">
      <c r="B128" s="322"/>
      <c r="C128" s="324"/>
      <c r="D128" s="400"/>
      <c r="E128" s="524"/>
      <c r="F128" s="400"/>
      <c r="G128" s="320"/>
      <c r="H128" s="525"/>
      <c r="I128" s="196"/>
      <c r="J128" s="321"/>
      <c r="K128" s="423"/>
      <c r="L128" s="423"/>
      <c r="M128" s="425"/>
    </row>
    <row r="129" spans="2:13">
      <c r="B129" s="322"/>
      <c r="C129" s="324"/>
      <c r="D129" s="400"/>
      <c r="E129" s="524"/>
      <c r="F129" s="400"/>
      <c r="G129" s="320"/>
      <c r="H129" s="525"/>
      <c r="I129" s="196"/>
      <c r="J129" s="321"/>
      <c r="K129" s="423"/>
      <c r="L129" s="423"/>
      <c r="M129" s="425"/>
    </row>
    <row r="130" spans="2:13">
      <c r="B130" s="322"/>
      <c r="C130" s="324"/>
      <c r="D130" s="400"/>
      <c r="E130" s="524"/>
      <c r="F130" s="400"/>
      <c r="G130" s="320"/>
      <c r="H130" s="525"/>
      <c r="I130" s="196"/>
      <c r="J130" s="321"/>
      <c r="K130" s="423"/>
      <c r="L130" s="423"/>
      <c r="M130" s="425"/>
    </row>
    <row r="131" spans="2:13">
      <c r="B131" s="322"/>
      <c r="C131" s="324"/>
      <c r="D131" s="400"/>
      <c r="E131" s="524"/>
      <c r="F131" s="400"/>
      <c r="G131" s="320"/>
      <c r="H131" s="525"/>
      <c r="I131" s="196"/>
      <c r="J131" s="321"/>
      <c r="K131" s="423"/>
      <c r="L131" s="423"/>
      <c r="M131" s="425"/>
    </row>
    <row r="132" spans="2:13">
      <c r="B132" s="322"/>
      <c r="C132" s="324"/>
      <c r="D132" s="400"/>
      <c r="E132" s="524"/>
      <c r="F132" s="400"/>
      <c r="G132" s="320"/>
      <c r="H132" s="525"/>
      <c r="I132" s="196"/>
      <c r="J132" s="321"/>
      <c r="K132" s="423"/>
      <c r="L132" s="423"/>
      <c r="M132" s="425"/>
    </row>
    <row r="133" spans="2:13">
      <c r="B133" s="322"/>
      <c r="C133" s="324"/>
      <c r="D133" s="400"/>
      <c r="E133" s="524"/>
      <c r="F133" s="400"/>
      <c r="G133" s="320"/>
      <c r="H133" s="525"/>
      <c r="I133" s="196"/>
      <c r="J133" s="321"/>
      <c r="K133" s="423"/>
      <c r="L133" s="423"/>
      <c r="M133" s="425"/>
    </row>
    <row r="134" spans="2:13">
      <c r="B134" s="322"/>
      <c r="C134" s="324"/>
      <c r="D134" s="400"/>
      <c r="E134" s="524"/>
      <c r="F134" s="400"/>
      <c r="G134" s="320"/>
      <c r="H134" s="525"/>
      <c r="I134" s="196"/>
      <c r="J134" s="321"/>
      <c r="K134" s="423"/>
      <c r="L134" s="423"/>
      <c r="M134" s="425"/>
    </row>
    <row r="135" spans="2:13">
      <c r="B135" s="322"/>
      <c r="C135" s="324"/>
      <c r="D135" s="400"/>
      <c r="E135" s="524"/>
      <c r="F135" s="400"/>
      <c r="G135" s="320"/>
      <c r="H135" s="525"/>
      <c r="I135" s="196"/>
      <c r="J135" s="321"/>
      <c r="K135" s="423"/>
      <c r="L135" s="423"/>
      <c r="M135" s="425"/>
    </row>
    <row r="136" spans="2:13">
      <c r="B136" s="322"/>
      <c r="C136" s="324"/>
      <c r="D136" s="400"/>
      <c r="E136" s="524"/>
      <c r="F136" s="400"/>
      <c r="G136" s="320"/>
      <c r="H136" s="525"/>
      <c r="I136" s="196"/>
      <c r="J136" s="321"/>
      <c r="K136" s="423"/>
      <c r="L136" s="423"/>
      <c r="M136" s="425"/>
    </row>
    <row r="137" spans="2:13">
      <c r="B137" s="322"/>
      <c r="C137" s="324"/>
      <c r="D137" s="400"/>
      <c r="E137" s="524"/>
      <c r="F137" s="400"/>
      <c r="G137" s="320"/>
      <c r="H137" s="525"/>
      <c r="I137" s="196"/>
      <c r="J137" s="321"/>
      <c r="K137" s="423"/>
      <c r="L137" s="423"/>
      <c r="M137" s="425"/>
    </row>
    <row r="138" spans="2:13">
      <c r="B138" s="322"/>
      <c r="C138" s="324"/>
      <c r="D138" s="400"/>
      <c r="E138" s="524"/>
      <c r="F138" s="400"/>
      <c r="G138" s="320"/>
      <c r="H138" s="525"/>
      <c r="I138" s="196"/>
      <c r="J138" s="321"/>
      <c r="K138" s="423"/>
      <c r="L138" s="423"/>
      <c r="M138" s="425"/>
    </row>
    <row r="139" spans="2:13">
      <c r="B139" s="322"/>
      <c r="C139" s="324"/>
      <c r="D139" s="400"/>
      <c r="E139" s="524"/>
      <c r="F139" s="400"/>
      <c r="G139" s="320"/>
      <c r="H139" s="525"/>
      <c r="I139" s="196"/>
      <c r="J139" s="321"/>
      <c r="K139" s="423"/>
      <c r="L139" s="423"/>
      <c r="M139" s="425"/>
    </row>
    <row r="140" spans="2:13">
      <c r="B140" s="322"/>
      <c r="C140" s="324"/>
      <c r="D140" s="400"/>
      <c r="E140" s="524"/>
      <c r="F140" s="400"/>
      <c r="G140" s="320"/>
      <c r="H140" s="525"/>
      <c r="I140" s="196"/>
      <c r="J140" s="321"/>
      <c r="K140" s="423"/>
      <c r="L140" s="423"/>
      <c r="M140" s="425"/>
    </row>
    <row r="141" spans="2:13">
      <c r="B141" s="322"/>
      <c r="C141" s="324"/>
      <c r="D141" s="400"/>
      <c r="E141" s="524"/>
      <c r="F141" s="400"/>
      <c r="G141" s="320"/>
      <c r="H141" s="525"/>
      <c r="I141" s="196"/>
      <c r="J141" s="321"/>
      <c r="K141" s="423"/>
      <c r="L141" s="423"/>
      <c r="M141" s="425"/>
    </row>
    <row r="142" spans="2:13">
      <c r="B142" s="322"/>
      <c r="C142" s="324"/>
      <c r="D142" s="400"/>
      <c r="E142" s="524"/>
      <c r="F142" s="400"/>
      <c r="G142" s="320"/>
      <c r="H142" s="525"/>
      <c r="I142" s="196"/>
      <c r="J142" s="321"/>
      <c r="K142" s="423"/>
      <c r="L142" s="423"/>
      <c r="M142" s="425"/>
    </row>
    <row r="143" spans="2:13" ht="15.75" thickBot="1">
      <c r="B143" s="303"/>
      <c r="C143" s="304"/>
      <c r="D143" s="431"/>
      <c r="E143" s="64"/>
      <c r="F143" s="483"/>
      <c r="G143" s="483"/>
      <c r="H143" s="401"/>
      <c r="I143" s="484"/>
      <c r="J143" s="321"/>
      <c r="K143" s="423"/>
      <c r="L143" s="423"/>
      <c r="M143" s="425"/>
    </row>
    <row r="144" spans="2:13" ht="15.75" thickTop="1"/>
  </sheetData>
  <sortState ref="B7:E19">
    <sortCondition ref="B7:B19"/>
  </sortState>
  <mergeCells count="7">
    <mergeCell ref="B1:I1"/>
    <mergeCell ref="B2:I2"/>
    <mergeCell ref="K4:K5"/>
    <mergeCell ref="M4:M5"/>
    <mergeCell ref="F4:G4"/>
    <mergeCell ref="D4:E4"/>
    <mergeCell ref="H4:I4"/>
  </mergeCells>
  <pageMargins left="0.32" right="0.16" top="0.39370078740157483" bottom="0.62992125984251968" header="0.31496062992125984" footer="0.51181102362204722"/>
  <pageSetup paperSize="9" scale="90" orientation="portrait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1:M133"/>
  <sheetViews>
    <sheetView workbookViewId="0">
      <pane xSplit="1" ySplit="5" topLeftCell="C64" activePane="bottomRight" state="frozen"/>
      <selection pane="topRight" activeCell="B1" sqref="B1"/>
      <selection pane="bottomLeft" activeCell="A6" sqref="A6"/>
      <selection pane="bottomRight" activeCell="K78" sqref="K78"/>
    </sheetView>
  </sheetViews>
  <sheetFormatPr defaultRowHeight="15"/>
  <cols>
    <col min="1" max="1" width="3" style="40" customWidth="1"/>
    <col min="2" max="2" width="10.85546875" style="164" customWidth="1"/>
    <col min="3" max="3" width="30.7109375" style="40" bestFit="1" customWidth="1"/>
    <col min="4" max="4" width="11.42578125" style="406" customWidth="1"/>
    <col min="5" max="5" width="12.85546875" style="40" customWidth="1"/>
    <col min="6" max="6" width="11.140625" style="52" customWidth="1"/>
    <col min="7" max="7" width="12.28515625" style="52" customWidth="1"/>
    <col min="8" max="8" width="12.5703125" style="406" customWidth="1"/>
    <col min="9" max="9" width="13.85546875" style="53" customWidth="1"/>
    <col min="10" max="10" width="2.140625" style="40" customWidth="1"/>
    <col min="11" max="12" width="15.5703125" style="422" customWidth="1"/>
    <col min="13" max="13" width="16.7109375" style="424" bestFit="1" customWidth="1"/>
    <col min="14" max="16384" width="9.140625" style="40"/>
  </cols>
  <sheetData>
    <row r="1" spans="2:13" ht="18.75">
      <c r="B1" s="672" t="s">
        <v>29</v>
      </c>
      <c r="C1" s="672"/>
      <c r="D1" s="672"/>
      <c r="E1" s="672"/>
      <c r="F1" s="672"/>
      <c r="G1" s="672"/>
      <c r="H1" s="672"/>
      <c r="I1" s="672"/>
    </row>
    <row r="2" spans="2:13" ht="18.75">
      <c r="B2" s="672" t="s">
        <v>46</v>
      </c>
      <c r="C2" s="672"/>
      <c r="D2" s="672"/>
      <c r="E2" s="672"/>
      <c r="F2" s="672"/>
      <c r="G2" s="672"/>
      <c r="H2" s="672"/>
      <c r="I2" s="672"/>
    </row>
    <row r="3" spans="2:13" ht="15.75" thickBot="1">
      <c r="B3" s="158"/>
      <c r="C3" s="41"/>
      <c r="F3" s="42"/>
      <c r="G3" s="42"/>
      <c r="H3" s="401"/>
      <c r="I3" s="43"/>
    </row>
    <row r="4" spans="2:13" ht="15.75" customHeight="1" thickTop="1">
      <c r="B4" s="159" t="s">
        <v>10</v>
      </c>
      <c r="C4" s="45" t="s">
        <v>11</v>
      </c>
      <c r="D4" s="680" t="s">
        <v>9</v>
      </c>
      <c r="E4" s="681"/>
      <c r="F4" s="678" t="s">
        <v>13</v>
      </c>
      <c r="G4" s="679"/>
      <c r="H4" s="678" t="s">
        <v>8</v>
      </c>
      <c r="I4" s="679"/>
      <c r="K4" s="676" t="s">
        <v>22</v>
      </c>
      <c r="L4" s="649"/>
      <c r="M4" s="677" t="s">
        <v>23</v>
      </c>
    </row>
    <row r="5" spans="2:13" ht="15.75" thickBot="1">
      <c r="B5" s="160" t="s">
        <v>14</v>
      </c>
      <c r="C5" s="47" t="s">
        <v>15</v>
      </c>
      <c r="D5" s="428" t="s">
        <v>30</v>
      </c>
      <c r="E5" s="48" t="s">
        <v>16</v>
      </c>
      <c r="F5" s="48" t="s">
        <v>30</v>
      </c>
      <c r="G5" s="408" t="s">
        <v>16</v>
      </c>
      <c r="H5" s="402" t="s">
        <v>30</v>
      </c>
      <c r="I5" s="48" t="s">
        <v>16</v>
      </c>
      <c r="K5" s="676"/>
      <c r="L5" s="649"/>
      <c r="M5" s="677"/>
    </row>
    <row r="6" spans="2:13" ht="9" customHeight="1" thickTop="1">
      <c r="B6" s="654"/>
      <c r="C6" s="559"/>
      <c r="D6" s="560"/>
      <c r="E6" s="559"/>
      <c r="F6" s="559"/>
      <c r="G6" s="561"/>
      <c r="H6" s="562"/>
      <c r="I6" s="559"/>
      <c r="K6" s="649"/>
      <c r="L6" s="649"/>
      <c r="M6" s="650"/>
    </row>
    <row r="7" spans="2:13">
      <c r="B7" s="227">
        <v>41639</v>
      </c>
      <c r="C7" s="554" t="s">
        <v>25</v>
      </c>
      <c r="D7" s="528"/>
      <c r="E7" s="147"/>
      <c r="F7" s="528">
        <v>2498787.0099999998</v>
      </c>
      <c r="G7" s="150">
        <v>25872704821</v>
      </c>
      <c r="H7" s="413">
        <f>F7</f>
        <v>2498787.0099999998</v>
      </c>
      <c r="I7" s="234">
        <f>G7</f>
        <v>25872704821</v>
      </c>
    </row>
    <row r="8" spans="2:13">
      <c r="B8" s="378">
        <v>41641</v>
      </c>
      <c r="C8" s="529" t="s">
        <v>112</v>
      </c>
      <c r="D8" s="526">
        <v>118469.05</v>
      </c>
      <c r="E8" s="395">
        <v>1149149785</v>
      </c>
      <c r="F8" s="150"/>
      <c r="G8" s="150"/>
      <c r="H8" s="403">
        <f>H7+F8-D8</f>
        <v>2380317.96</v>
      </c>
      <c r="I8" s="527">
        <f>I7+G8-E8</f>
        <v>24723555036</v>
      </c>
      <c r="K8" s="422" t="s">
        <v>116</v>
      </c>
    </row>
    <row r="9" spans="2:13">
      <c r="B9" s="411">
        <v>41641</v>
      </c>
      <c r="C9" s="538" t="s">
        <v>96</v>
      </c>
      <c r="D9" s="429">
        <v>14965.38</v>
      </c>
      <c r="E9" s="395">
        <v>178776429</v>
      </c>
      <c r="F9" s="150"/>
      <c r="G9" s="150"/>
      <c r="H9" s="403">
        <f t="shared" ref="H9:I24" si="0">H8+F9-D9</f>
        <v>2365352.58</v>
      </c>
      <c r="I9" s="527">
        <f t="shared" si="0"/>
        <v>24544778607</v>
      </c>
      <c r="K9" s="422" t="s">
        <v>119</v>
      </c>
    </row>
    <row r="10" spans="2:13">
      <c r="B10" s="378">
        <v>41645</v>
      </c>
      <c r="C10" s="529" t="s">
        <v>77</v>
      </c>
      <c r="D10" s="526">
        <v>187.36</v>
      </c>
      <c r="E10" s="395">
        <v>1817392.0000000002</v>
      </c>
      <c r="F10" s="150"/>
      <c r="G10" s="150"/>
      <c r="H10" s="403">
        <f t="shared" si="0"/>
        <v>2365165.2200000002</v>
      </c>
      <c r="I10" s="527">
        <f t="shared" si="0"/>
        <v>24542961215</v>
      </c>
      <c r="J10" s="321"/>
      <c r="K10" s="423" t="s">
        <v>117</v>
      </c>
      <c r="L10" s="423"/>
      <c r="M10" s="425"/>
    </row>
    <row r="11" spans="2:13">
      <c r="B11" s="378">
        <v>41645</v>
      </c>
      <c r="C11" s="530" t="s">
        <v>81</v>
      </c>
      <c r="D11" s="526">
        <v>13489.56</v>
      </c>
      <c r="E11" s="412">
        <f>D11*9700</f>
        <v>130848732</v>
      </c>
      <c r="F11" s="399"/>
      <c r="G11" s="320"/>
      <c r="H11" s="403">
        <f t="shared" si="0"/>
        <v>2351675.66</v>
      </c>
      <c r="I11" s="527">
        <f t="shared" si="0"/>
        <v>24412112483</v>
      </c>
      <c r="J11" s="321"/>
      <c r="K11" s="423" t="s">
        <v>117</v>
      </c>
      <c r="L11" s="423"/>
      <c r="M11" s="425"/>
    </row>
    <row r="12" spans="2:13">
      <c r="B12" s="378">
        <v>41645</v>
      </c>
      <c r="C12" s="531" t="s">
        <v>78</v>
      </c>
      <c r="D12" s="459">
        <v>17019.47</v>
      </c>
      <c r="E12" s="395">
        <v>165088859</v>
      </c>
      <c r="F12" s="405"/>
      <c r="G12" s="320"/>
      <c r="H12" s="403">
        <f t="shared" si="0"/>
        <v>2334656.19</v>
      </c>
      <c r="I12" s="527">
        <f t="shared" si="0"/>
        <v>24247023624</v>
      </c>
      <c r="J12" s="321"/>
      <c r="K12" s="423" t="s">
        <v>117</v>
      </c>
      <c r="L12" s="423"/>
      <c r="M12" s="425"/>
    </row>
    <row r="13" spans="2:13">
      <c r="B13" s="378">
        <v>41645</v>
      </c>
      <c r="C13" s="537" t="s">
        <v>79</v>
      </c>
      <c r="D13" s="539">
        <v>19029.45</v>
      </c>
      <c r="E13" s="395">
        <v>184585665</v>
      </c>
      <c r="F13" s="397"/>
      <c r="G13" s="320"/>
      <c r="H13" s="403">
        <f t="shared" si="0"/>
        <v>2315626.7399999998</v>
      </c>
      <c r="I13" s="527">
        <f t="shared" si="0"/>
        <v>24062437959</v>
      </c>
      <c r="J13" s="321"/>
      <c r="K13" s="423" t="s">
        <v>117</v>
      </c>
      <c r="L13" s="423"/>
      <c r="M13" s="425"/>
    </row>
    <row r="14" spans="2:13">
      <c r="B14" s="161">
        <v>41645</v>
      </c>
      <c r="C14" s="532" t="s">
        <v>80</v>
      </c>
      <c r="D14" s="396">
        <v>37081.94</v>
      </c>
      <c r="E14" s="395">
        <v>359694818</v>
      </c>
      <c r="F14" s="397"/>
      <c r="G14" s="320"/>
      <c r="H14" s="403">
        <f t="shared" si="0"/>
        <v>2278544.7999999998</v>
      </c>
      <c r="I14" s="527">
        <f t="shared" si="0"/>
        <v>23702743141</v>
      </c>
      <c r="J14" s="321"/>
      <c r="K14" s="423" t="s">
        <v>117</v>
      </c>
      <c r="L14" s="423"/>
      <c r="M14" s="425"/>
    </row>
    <row r="15" spans="2:13">
      <c r="B15" s="378">
        <v>41645</v>
      </c>
      <c r="C15" s="538" t="s">
        <v>115</v>
      </c>
      <c r="D15" s="459">
        <v>13192.22</v>
      </c>
      <c r="E15" s="395">
        <f>D15*9678</f>
        <v>127674305.16</v>
      </c>
      <c r="F15" s="400"/>
      <c r="G15" s="320"/>
      <c r="H15" s="403">
        <f t="shared" si="0"/>
        <v>2265352.5799999996</v>
      </c>
      <c r="I15" s="527">
        <f t="shared" si="0"/>
        <v>23575068835.84</v>
      </c>
      <c r="J15" s="321"/>
      <c r="K15" s="423" t="s">
        <v>117</v>
      </c>
      <c r="L15" s="423"/>
      <c r="M15" s="425"/>
    </row>
    <row r="16" spans="2:13">
      <c r="B16" s="370">
        <v>41668</v>
      </c>
      <c r="C16" s="371" t="s">
        <v>34</v>
      </c>
      <c r="D16" s="396">
        <v>120.87</v>
      </c>
      <c r="E16" s="395">
        <f t="shared" ref="E16:E21" si="1">9678*D16</f>
        <v>1169779.8600000001</v>
      </c>
      <c r="F16" s="397"/>
      <c r="G16" s="320"/>
      <c r="H16" s="403">
        <f t="shared" si="0"/>
        <v>2265231.7099999995</v>
      </c>
      <c r="I16" s="527">
        <f t="shared" si="0"/>
        <v>23573899055.98</v>
      </c>
      <c r="J16" s="321"/>
      <c r="K16" s="423" t="s">
        <v>118</v>
      </c>
      <c r="L16" s="423"/>
      <c r="M16" s="425"/>
    </row>
    <row r="17" spans="2:13">
      <c r="B17" s="370">
        <v>41668</v>
      </c>
      <c r="C17" s="371" t="s">
        <v>35</v>
      </c>
      <c r="D17" s="396">
        <v>488.4</v>
      </c>
      <c r="E17" s="395">
        <f t="shared" si="1"/>
        <v>4726735.2</v>
      </c>
      <c r="F17" s="397"/>
      <c r="G17" s="320"/>
      <c r="H17" s="403">
        <f t="shared" si="0"/>
        <v>2264743.3099999996</v>
      </c>
      <c r="I17" s="527">
        <f t="shared" si="0"/>
        <v>23569172320.779999</v>
      </c>
      <c r="J17" s="321"/>
      <c r="K17" s="423" t="s">
        <v>118</v>
      </c>
      <c r="L17" s="423"/>
      <c r="M17" s="425"/>
    </row>
    <row r="18" spans="2:13">
      <c r="B18" s="370">
        <v>41668</v>
      </c>
      <c r="C18" s="371" t="s">
        <v>36</v>
      </c>
      <c r="D18" s="396">
        <v>75893.42</v>
      </c>
      <c r="E18" s="395">
        <f t="shared" si="1"/>
        <v>734496518.75999999</v>
      </c>
      <c r="F18" s="397"/>
      <c r="G18" s="320"/>
      <c r="H18" s="403">
        <f t="shared" si="0"/>
        <v>2188849.8899999997</v>
      </c>
      <c r="I18" s="527">
        <f t="shared" si="0"/>
        <v>22834675802.02</v>
      </c>
      <c r="J18" s="321"/>
      <c r="K18" s="423" t="s">
        <v>118</v>
      </c>
      <c r="L18" s="423"/>
      <c r="M18" s="425"/>
    </row>
    <row r="19" spans="2:13">
      <c r="B19" s="370">
        <v>41668</v>
      </c>
      <c r="C19" s="371" t="s">
        <v>37</v>
      </c>
      <c r="D19" s="396">
        <v>193.09</v>
      </c>
      <c r="E19" s="395">
        <f t="shared" si="1"/>
        <v>1868725.02</v>
      </c>
      <c r="F19" s="397"/>
      <c r="G19" s="320"/>
      <c r="H19" s="403">
        <f t="shared" si="0"/>
        <v>2188656.7999999998</v>
      </c>
      <c r="I19" s="527">
        <f t="shared" si="0"/>
        <v>22832807077</v>
      </c>
      <c r="J19" s="321"/>
      <c r="K19" s="423" t="s">
        <v>118</v>
      </c>
      <c r="L19" s="423"/>
      <c r="M19" s="425"/>
    </row>
    <row r="20" spans="2:13" ht="15.75" customHeight="1">
      <c r="B20" s="370">
        <v>41668</v>
      </c>
      <c r="C20" s="371" t="s">
        <v>82</v>
      </c>
      <c r="D20" s="396">
        <v>18498.900000000001</v>
      </c>
      <c r="E20" s="395">
        <f t="shared" si="1"/>
        <v>179032354.20000002</v>
      </c>
      <c r="F20" s="397"/>
      <c r="G20" s="320"/>
      <c r="H20" s="403">
        <f t="shared" si="0"/>
        <v>2170157.9</v>
      </c>
      <c r="I20" s="527">
        <f t="shared" si="0"/>
        <v>22653774722.799999</v>
      </c>
      <c r="J20" s="321"/>
      <c r="K20" s="423" t="s">
        <v>118</v>
      </c>
      <c r="L20" s="423">
        <f>SUM(G13:G20)</f>
        <v>0</v>
      </c>
      <c r="M20" s="425"/>
    </row>
    <row r="21" spans="2:13">
      <c r="B21" s="370">
        <v>41668</v>
      </c>
      <c r="C21" s="371" t="s">
        <v>38</v>
      </c>
      <c r="D21" s="396">
        <v>4805.32</v>
      </c>
      <c r="E21" s="395">
        <f t="shared" si="1"/>
        <v>46505886.960000001</v>
      </c>
      <c r="F21" s="397"/>
      <c r="G21" s="320"/>
      <c r="H21" s="403">
        <f t="shared" si="0"/>
        <v>2165352.58</v>
      </c>
      <c r="I21" s="527">
        <f t="shared" si="0"/>
        <v>22607268835.84</v>
      </c>
      <c r="J21" s="321"/>
      <c r="K21" s="423" t="s">
        <v>118</v>
      </c>
      <c r="L21" s="423"/>
      <c r="M21" s="425"/>
    </row>
    <row r="22" spans="2:13">
      <c r="B22" s="201">
        <v>41648</v>
      </c>
      <c r="C22" s="38" t="s">
        <v>101</v>
      </c>
      <c r="D22" s="397"/>
      <c r="E22" s="325"/>
      <c r="F22" s="397">
        <v>71984.05</v>
      </c>
      <c r="G22" s="320">
        <f>12242*F22</f>
        <v>881228740.10000002</v>
      </c>
      <c r="H22" s="403">
        <f t="shared" si="0"/>
        <v>2237336.63</v>
      </c>
      <c r="I22" s="527">
        <f t="shared" si="0"/>
        <v>23488497575.939999</v>
      </c>
      <c r="J22" s="321"/>
      <c r="K22" s="423"/>
      <c r="L22" s="423"/>
      <c r="M22" s="425"/>
    </row>
    <row r="23" spans="2:13">
      <c r="B23" s="201">
        <v>41660</v>
      </c>
      <c r="C23" s="38" t="s">
        <v>102</v>
      </c>
      <c r="D23" s="397"/>
      <c r="E23" s="325"/>
      <c r="F23" s="397">
        <v>81070.95</v>
      </c>
      <c r="G23" s="320">
        <v>992470570</v>
      </c>
      <c r="H23" s="403">
        <f t="shared" si="0"/>
        <v>2318407.58</v>
      </c>
      <c r="I23" s="527">
        <f t="shared" si="0"/>
        <v>24480968145.939999</v>
      </c>
      <c r="J23" s="321"/>
      <c r="K23" s="423"/>
      <c r="L23" s="423"/>
      <c r="M23" s="425"/>
    </row>
    <row r="24" spans="2:13">
      <c r="B24" s="201">
        <v>41660</v>
      </c>
      <c r="C24" s="38" t="s">
        <v>103</v>
      </c>
      <c r="D24" s="397"/>
      <c r="E24" s="325"/>
      <c r="F24" s="397">
        <v>55378.43</v>
      </c>
      <c r="G24" s="320">
        <v>677942740</v>
      </c>
      <c r="H24" s="403">
        <f t="shared" si="0"/>
        <v>2373786.0100000002</v>
      </c>
      <c r="I24" s="527">
        <f t="shared" si="0"/>
        <v>25158910885.939999</v>
      </c>
      <c r="J24" s="321"/>
      <c r="K24" s="423"/>
      <c r="L24" s="423"/>
      <c r="M24" s="425"/>
    </row>
    <row r="25" spans="2:13">
      <c r="B25" s="201">
        <v>41667</v>
      </c>
      <c r="C25" s="38" t="s">
        <v>104</v>
      </c>
      <c r="D25" s="397"/>
      <c r="E25" s="325"/>
      <c r="F25" s="397">
        <v>48768.72</v>
      </c>
      <c r="G25" s="320">
        <v>597026670</v>
      </c>
      <c r="H25" s="410">
        <f t="shared" ref="H25:I39" si="2">H24+F25-D25</f>
        <v>2422554.7300000004</v>
      </c>
      <c r="I25" s="409">
        <f t="shared" si="2"/>
        <v>25755937555.939999</v>
      </c>
      <c r="J25" s="321"/>
      <c r="K25" s="423"/>
      <c r="L25" s="423">
        <f>SUM(G22:G25)</f>
        <v>3148668720.0999999</v>
      </c>
      <c r="M25" s="425"/>
    </row>
    <row r="26" spans="2:13">
      <c r="B26" s="370">
        <v>41675</v>
      </c>
      <c r="C26" s="371" t="s">
        <v>162</v>
      </c>
      <c r="D26" s="396">
        <v>2836</v>
      </c>
      <c r="E26" s="395">
        <f>11946*D26</f>
        <v>33878856</v>
      </c>
      <c r="F26" s="397"/>
      <c r="G26" s="320"/>
      <c r="H26" s="403">
        <f>H25+F26-D26</f>
        <v>2419718.7300000004</v>
      </c>
      <c r="I26" s="196">
        <f>I25+G26-E26</f>
        <v>25722058699.939999</v>
      </c>
      <c r="J26" s="321"/>
      <c r="K26" s="423" t="s">
        <v>164</v>
      </c>
      <c r="L26" s="423"/>
      <c r="M26" s="425"/>
    </row>
    <row r="27" spans="2:13">
      <c r="B27" s="370">
        <v>41675</v>
      </c>
      <c r="C27" s="371" t="s">
        <v>163</v>
      </c>
      <c r="D27" s="396">
        <v>55378.43</v>
      </c>
      <c r="E27" s="395">
        <v>677942740</v>
      </c>
      <c r="F27" s="397"/>
      <c r="G27" s="320"/>
      <c r="H27" s="403">
        <f t="shared" si="2"/>
        <v>2364340.3000000003</v>
      </c>
      <c r="I27" s="196">
        <f t="shared" si="2"/>
        <v>25044115959.939999</v>
      </c>
      <c r="J27" s="321"/>
      <c r="K27" s="423" t="s">
        <v>164</v>
      </c>
      <c r="L27" s="423"/>
      <c r="M27" s="425"/>
    </row>
    <row r="28" spans="2:13">
      <c r="B28" s="201">
        <v>41681</v>
      </c>
      <c r="C28" s="38" t="s">
        <v>189</v>
      </c>
      <c r="D28" s="397"/>
      <c r="E28" s="325"/>
      <c r="F28" s="397">
        <v>97885.79</v>
      </c>
      <c r="G28" s="320">
        <f>F28*12251</f>
        <v>1199198813.29</v>
      </c>
      <c r="H28" s="403">
        <f t="shared" si="2"/>
        <v>2462226.0900000003</v>
      </c>
      <c r="I28" s="196">
        <f t="shared" si="2"/>
        <v>26243314773.23</v>
      </c>
      <c r="J28" s="321"/>
      <c r="K28" s="423"/>
      <c r="L28" s="423"/>
      <c r="M28" s="425"/>
    </row>
    <row r="29" spans="2:13">
      <c r="B29" s="201">
        <v>41687</v>
      </c>
      <c r="C29" s="38" t="s">
        <v>190</v>
      </c>
      <c r="D29" s="397"/>
      <c r="E29" s="325"/>
      <c r="F29" s="397">
        <v>42012.22</v>
      </c>
      <c r="G29" s="320">
        <f>F29*12251</f>
        <v>514691707.22000003</v>
      </c>
      <c r="H29" s="403">
        <f t="shared" si="2"/>
        <v>2504238.3100000005</v>
      </c>
      <c r="I29" s="196">
        <f t="shared" si="2"/>
        <v>26758006480.450001</v>
      </c>
      <c r="J29" s="321"/>
      <c r="K29" s="423"/>
      <c r="L29" s="423"/>
      <c r="M29" s="425"/>
    </row>
    <row r="30" spans="2:13">
      <c r="B30" s="201">
        <v>41694</v>
      </c>
      <c r="C30" s="38" t="s">
        <v>191</v>
      </c>
      <c r="D30" s="397"/>
      <c r="E30" s="325"/>
      <c r="F30" s="397">
        <v>21915.52</v>
      </c>
      <c r="G30" s="320">
        <f>F30*12251</f>
        <v>268487035.51999998</v>
      </c>
      <c r="H30" s="403">
        <f t="shared" si="2"/>
        <v>2526153.8300000005</v>
      </c>
      <c r="I30" s="196">
        <f t="shared" si="2"/>
        <v>27026493515.970001</v>
      </c>
      <c r="J30" s="321"/>
      <c r="K30" s="423"/>
      <c r="L30" s="423"/>
      <c r="M30" s="425"/>
    </row>
    <row r="31" spans="2:13">
      <c r="B31" s="322">
        <v>41698</v>
      </c>
      <c r="C31" s="322" t="s">
        <v>192</v>
      </c>
      <c r="D31" s="398"/>
      <c r="E31" s="323"/>
      <c r="F31" s="399">
        <v>57145.82</v>
      </c>
      <c r="G31" s="320">
        <f>F31*12251</f>
        <v>700093440.82000005</v>
      </c>
      <c r="H31" s="410">
        <f t="shared" si="2"/>
        <v>2583299.6500000004</v>
      </c>
      <c r="I31" s="409">
        <f>I30+G31-E31</f>
        <v>27726586956.790001</v>
      </c>
      <c r="J31" s="321"/>
      <c r="K31" s="423">
        <f>SUM(F26:F31)</f>
        <v>218959.35</v>
      </c>
      <c r="L31" s="423">
        <f>SUM(G26:G31)</f>
        <v>2682470996.8499999</v>
      </c>
      <c r="M31" s="425"/>
    </row>
    <row r="32" spans="2:13">
      <c r="B32" s="370">
        <v>41702</v>
      </c>
      <c r="C32" s="371" t="s">
        <v>254</v>
      </c>
      <c r="D32" s="396">
        <v>100000</v>
      </c>
      <c r="E32" s="395">
        <f>9678*D32</f>
        <v>967800000</v>
      </c>
      <c r="F32" s="397"/>
      <c r="G32" s="320"/>
      <c r="H32" s="403">
        <f t="shared" si="2"/>
        <v>2483299.6500000004</v>
      </c>
      <c r="I32" s="196">
        <f t="shared" si="2"/>
        <v>26758786956.790001</v>
      </c>
      <c r="J32" s="321"/>
      <c r="K32" s="423" t="s">
        <v>249</v>
      </c>
      <c r="L32" s="423">
        <f>SUM(E26:E27)</f>
        <v>711821596</v>
      </c>
      <c r="M32" s="425"/>
    </row>
    <row r="33" spans="2:13">
      <c r="B33" s="370">
        <v>41703</v>
      </c>
      <c r="C33" s="371" t="s">
        <v>246</v>
      </c>
      <c r="D33" s="396">
        <v>35830.910000000003</v>
      </c>
      <c r="E33" s="395">
        <f>9678*D33</f>
        <v>346771546.98000002</v>
      </c>
      <c r="F33" s="397"/>
      <c r="G33" s="320"/>
      <c r="H33" s="403">
        <f t="shared" si="2"/>
        <v>2447468.7400000002</v>
      </c>
      <c r="I33" s="196">
        <f t="shared" si="2"/>
        <v>26412015409.810001</v>
      </c>
      <c r="J33" s="321"/>
      <c r="K33" s="423" t="s">
        <v>249</v>
      </c>
      <c r="L33" s="423"/>
      <c r="M33" s="425"/>
    </row>
    <row r="34" spans="2:13">
      <c r="B34" s="370">
        <v>41703</v>
      </c>
      <c r="C34" s="371" t="s">
        <v>247</v>
      </c>
      <c r="D34" s="396">
        <v>58078.52</v>
      </c>
      <c r="E34" s="395">
        <f>9678*D34</f>
        <v>562083916.55999994</v>
      </c>
      <c r="F34" s="397"/>
      <c r="G34" s="320"/>
      <c r="H34" s="403">
        <f t="shared" si="2"/>
        <v>2389390.2200000002</v>
      </c>
      <c r="I34" s="196">
        <f t="shared" si="2"/>
        <v>25849931493.25</v>
      </c>
      <c r="J34" s="321"/>
      <c r="K34" s="423" t="s">
        <v>249</v>
      </c>
      <c r="L34" s="423"/>
      <c r="M34" s="425"/>
    </row>
    <row r="35" spans="2:13">
      <c r="B35" s="370">
        <v>41703</v>
      </c>
      <c r="C35" s="371" t="s">
        <v>248</v>
      </c>
      <c r="D35" s="396">
        <v>2603.39</v>
      </c>
      <c r="E35" s="395">
        <f>9678*D35</f>
        <v>25195608.419999998</v>
      </c>
      <c r="F35" s="397"/>
      <c r="G35" s="320"/>
      <c r="H35" s="403">
        <f t="shared" si="2"/>
        <v>2386786.83</v>
      </c>
      <c r="I35" s="196">
        <f t="shared" si="2"/>
        <v>25824735884.830002</v>
      </c>
      <c r="J35" s="321"/>
      <c r="K35" s="423"/>
      <c r="L35" s="423"/>
      <c r="M35" s="425"/>
    </row>
    <row r="36" spans="2:13">
      <c r="B36" s="201">
        <v>41717</v>
      </c>
      <c r="C36" s="38" t="s">
        <v>275</v>
      </c>
      <c r="D36" s="397"/>
      <c r="E36" s="325"/>
      <c r="F36" s="397">
        <v>20357.28</v>
      </c>
      <c r="G36" s="320">
        <v>236063018.88</v>
      </c>
      <c r="H36" s="403">
        <f t="shared" si="2"/>
        <v>2407144.11</v>
      </c>
      <c r="I36" s="196">
        <f t="shared" si="2"/>
        <v>26060798903.710003</v>
      </c>
      <c r="J36" s="321"/>
      <c r="K36" s="423"/>
      <c r="L36" s="423"/>
      <c r="M36" s="425"/>
    </row>
    <row r="37" spans="2:13">
      <c r="B37" s="201">
        <v>41717</v>
      </c>
      <c r="C37" s="38" t="s">
        <v>276</v>
      </c>
      <c r="D37" s="397"/>
      <c r="E37" s="325"/>
      <c r="F37" s="397">
        <v>29357.67</v>
      </c>
      <c r="G37" s="320">
        <f>11596*F37</f>
        <v>340431541.31999999</v>
      </c>
      <c r="H37" s="403">
        <f t="shared" si="2"/>
        <v>2436501.7799999998</v>
      </c>
      <c r="I37" s="196">
        <f t="shared" si="2"/>
        <v>26401230445.030003</v>
      </c>
      <c r="J37" s="321"/>
      <c r="K37" s="423"/>
      <c r="L37" s="423"/>
      <c r="M37" s="425"/>
    </row>
    <row r="38" spans="2:13">
      <c r="B38" s="201">
        <v>41722</v>
      </c>
      <c r="C38" s="38" t="s">
        <v>277</v>
      </c>
      <c r="D38" s="397"/>
      <c r="E38" s="325"/>
      <c r="F38" s="397">
        <v>45062.49</v>
      </c>
      <c r="G38" s="320">
        <v>522544634.03999996</v>
      </c>
      <c r="H38" s="403">
        <f t="shared" si="2"/>
        <v>2481564.27</v>
      </c>
      <c r="I38" s="196">
        <f t="shared" si="2"/>
        <v>26923775079.070004</v>
      </c>
      <c r="J38" s="321"/>
      <c r="K38" s="423"/>
      <c r="L38" s="423"/>
      <c r="M38" s="425"/>
    </row>
    <row r="39" spans="2:13">
      <c r="B39" s="201">
        <v>41717</v>
      </c>
      <c r="C39" s="38" t="s">
        <v>288</v>
      </c>
      <c r="D39" s="397"/>
      <c r="E39" s="325"/>
      <c r="F39" s="397">
        <v>320.95</v>
      </c>
      <c r="G39" s="320">
        <v>3721737</v>
      </c>
      <c r="H39" s="403">
        <f t="shared" si="2"/>
        <v>2481885.2200000002</v>
      </c>
      <c r="I39" s="196">
        <f t="shared" si="2"/>
        <v>26927496816.070004</v>
      </c>
      <c r="J39" s="321"/>
      <c r="K39" s="423"/>
      <c r="L39" s="423"/>
      <c r="M39" s="425"/>
    </row>
    <row r="40" spans="2:13">
      <c r="B40" s="201">
        <v>41726</v>
      </c>
      <c r="C40" s="38" t="s">
        <v>294</v>
      </c>
      <c r="D40" s="397"/>
      <c r="E40" s="325"/>
      <c r="F40" s="397">
        <v>24108.11</v>
      </c>
      <c r="G40" s="320">
        <v>279557643.56</v>
      </c>
      <c r="H40" s="410">
        <f t="shared" ref="H40:I48" si="3">H39+F40-D40</f>
        <v>2505993.33</v>
      </c>
      <c r="I40" s="409">
        <f t="shared" si="3"/>
        <v>27207054459.630005</v>
      </c>
      <c r="J40" s="321"/>
      <c r="K40" s="423"/>
      <c r="L40" s="423"/>
      <c r="M40" s="425"/>
    </row>
    <row r="41" spans="2:13">
      <c r="B41" s="370">
        <v>41759</v>
      </c>
      <c r="C41" s="371" t="s">
        <v>451</v>
      </c>
      <c r="D41" s="396">
        <v>12896.63</v>
      </c>
      <c r="E41" s="395">
        <v>125548693</v>
      </c>
      <c r="F41" s="397"/>
      <c r="G41" s="320"/>
      <c r="H41" s="403">
        <f t="shared" si="3"/>
        <v>2493096.7000000002</v>
      </c>
      <c r="I41" s="196">
        <f t="shared" si="3"/>
        <v>27081505766.630005</v>
      </c>
      <c r="J41" s="321"/>
      <c r="K41" s="423" t="s">
        <v>334</v>
      </c>
      <c r="L41" s="423"/>
      <c r="M41" s="425"/>
    </row>
    <row r="42" spans="2:13">
      <c r="B42" s="370">
        <v>41759</v>
      </c>
      <c r="C42" s="371" t="s">
        <v>331</v>
      </c>
      <c r="D42" s="396">
        <v>224.4</v>
      </c>
      <c r="E42" s="395">
        <v>2184534</v>
      </c>
      <c r="F42" s="397"/>
      <c r="G42" s="320"/>
      <c r="H42" s="403">
        <f t="shared" si="3"/>
        <v>2492872.3000000003</v>
      </c>
      <c r="I42" s="196">
        <f t="shared" si="3"/>
        <v>27079321232.630005</v>
      </c>
      <c r="J42" s="321"/>
      <c r="K42" s="423" t="s">
        <v>334</v>
      </c>
      <c r="L42" s="423"/>
      <c r="M42" s="425"/>
    </row>
    <row r="43" spans="2:13">
      <c r="B43" s="370">
        <v>41759</v>
      </c>
      <c r="C43" s="371" t="s">
        <v>333</v>
      </c>
      <c r="D43" s="396">
        <v>3181.15</v>
      </c>
      <c r="E43" s="395">
        <v>30968495</v>
      </c>
      <c r="F43" s="397"/>
      <c r="G43" s="320"/>
      <c r="H43" s="403">
        <f t="shared" si="3"/>
        <v>2489691.1500000004</v>
      </c>
      <c r="I43" s="196">
        <f t="shared" si="3"/>
        <v>27048352737.630005</v>
      </c>
      <c r="J43" s="321"/>
      <c r="K43" s="423" t="s">
        <v>334</v>
      </c>
      <c r="L43" s="423"/>
      <c r="M43" s="425"/>
    </row>
    <row r="44" spans="2:13">
      <c r="B44" s="370">
        <v>41759</v>
      </c>
      <c r="C44" s="371" t="s">
        <v>332</v>
      </c>
      <c r="D44" s="396">
        <v>83697.820000000007</v>
      </c>
      <c r="E44" s="395">
        <v>814798278</v>
      </c>
      <c r="F44" s="397"/>
      <c r="G44" s="320"/>
      <c r="H44" s="403">
        <f t="shared" ref="H44:H49" si="4">H43+F44-D44</f>
        <v>2405993.3300000005</v>
      </c>
      <c r="I44" s="196">
        <f t="shared" si="3"/>
        <v>26233554459.630005</v>
      </c>
      <c r="J44" s="321"/>
      <c r="K44" s="423" t="s">
        <v>334</v>
      </c>
      <c r="L44" s="423"/>
      <c r="M44" s="425"/>
    </row>
    <row r="45" spans="2:13">
      <c r="B45" s="370">
        <v>41759</v>
      </c>
      <c r="C45" s="371" t="s">
        <v>450</v>
      </c>
      <c r="D45" s="396">
        <v>50000</v>
      </c>
      <c r="E45" s="395">
        <f>D45*9735</f>
        <v>486750000</v>
      </c>
      <c r="F45" s="397"/>
      <c r="G45" s="320"/>
      <c r="H45" s="403">
        <f t="shared" si="4"/>
        <v>2355993.3300000005</v>
      </c>
      <c r="I45" s="196">
        <f t="shared" si="3"/>
        <v>25746804459.630005</v>
      </c>
      <c r="J45" s="321"/>
      <c r="K45" s="423"/>
      <c r="L45" s="423">
        <f>SUM(E41:E45)</f>
        <v>1460250000</v>
      </c>
      <c r="M45" s="425"/>
    </row>
    <row r="46" spans="2:13">
      <c r="B46" s="201">
        <v>41736</v>
      </c>
      <c r="C46" s="38" t="s">
        <v>364</v>
      </c>
      <c r="D46" s="397"/>
      <c r="E46" s="320"/>
      <c r="F46" s="397">
        <v>36041.279999999999</v>
      </c>
      <c r="G46" s="320">
        <f t="shared" ref="G46:G51" si="5">F46*11271</f>
        <v>406221266.88</v>
      </c>
      <c r="H46" s="403">
        <f t="shared" si="4"/>
        <v>2392034.6100000003</v>
      </c>
      <c r="I46" s="196">
        <f t="shared" si="3"/>
        <v>26153025726.510006</v>
      </c>
      <c r="J46" s="321"/>
      <c r="K46" s="423"/>
      <c r="L46" s="423"/>
      <c r="M46" s="425"/>
    </row>
    <row r="47" spans="2:13">
      <c r="B47" s="201">
        <v>41746</v>
      </c>
      <c r="C47" s="38" t="s">
        <v>365</v>
      </c>
      <c r="D47" s="397"/>
      <c r="E47" s="325"/>
      <c r="F47" s="397">
        <v>43812.27</v>
      </c>
      <c r="G47" s="320">
        <f t="shared" si="5"/>
        <v>493808095.16999996</v>
      </c>
      <c r="H47" s="403">
        <f t="shared" si="4"/>
        <v>2435846.8800000004</v>
      </c>
      <c r="I47" s="196">
        <f t="shared" si="3"/>
        <v>26646833821.680004</v>
      </c>
      <c r="J47" s="321"/>
      <c r="K47" s="423"/>
      <c r="L47" s="423"/>
      <c r="M47" s="425"/>
    </row>
    <row r="48" spans="2:13">
      <c r="B48" s="201">
        <v>41752</v>
      </c>
      <c r="C48" s="38" t="s">
        <v>366</v>
      </c>
      <c r="D48" s="397"/>
      <c r="E48" s="325"/>
      <c r="F48" s="397">
        <v>60416.93</v>
      </c>
      <c r="G48" s="320">
        <f t="shared" si="5"/>
        <v>680959218.02999997</v>
      </c>
      <c r="H48" s="403">
        <f t="shared" si="4"/>
        <v>2496263.8100000005</v>
      </c>
      <c r="I48" s="196">
        <f t="shared" si="3"/>
        <v>27327793039.710003</v>
      </c>
      <c r="J48" s="321"/>
      <c r="K48" s="423"/>
      <c r="L48" s="423"/>
      <c r="M48" s="425">
        <f>SUM(F43:F48)</f>
        <v>140270.47999999998</v>
      </c>
    </row>
    <row r="49" spans="2:13">
      <c r="B49" s="322">
        <v>41736</v>
      </c>
      <c r="C49" s="287" t="s">
        <v>379</v>
      </c>
      <c r="D49" s="398"/>
      <c r="E49" s="323"/>
      <c r="F49" s="399">
        <v>2142.4699999999998</v>
      </c>
      <c r="G49" s="320">
        <f t="shared" si="5"/>
        <v>24147779.369999997</v>
      </c>
      <c r="H49" s="403">
        <f t="shared" si="4"/>
        <v>2498406.2800000007</v>
      </c>
      <c r="I49" s="196">
        <f t="shared" ref="I49:I57" si="6">I48+G49-E49</f>
        <v>27351940819.080002</v>
      </c>
      <c r="J49" s="321"/>
      <c r="K49" s="423"/>
      <c r="L49" s="423"/>
      <c r="M49" s="425"/>
    </row>
    <row r="50" spans="2:13">
      <c r="B50" s="322">
        <v>41746</v>
      </c>
      <c r="C50" s="287" t="s">
        <v>380</v>
      </c>
      <c r="D50" s="430"/>
      <c r="E50" s="214"/>
      <c r="F50" s="405">
        <v>9409.09</v>
      </c>
      <c r="G50" s="320">
        <f t="shared" si="5"/>
        <v>106049853.39</v>
      </c>
      <c r="H50" s="403">
        <f t="shared" ref="H50:H61" si="7">H49+F50-D50</f>
        <v>2507815.3700000006</v>
      </c>
      <c r="I50" s="196">
        <f t="shared" si="6"/>
        <v>27457990672.470001</v>
      </c>
      <c r="J50" s="321"/>
      <c r="K50" s="423"/>
      <c r="L50" s="423"/>
      <c r="M50" s="425"/>
    </row>
    <row r="51" spans="2:13">
      <c r="B51" s="322">
        <v>41752</v>
      </c>
      <c r="C51" s="287" t="s">
        <v>381</v>
      </c>
      <c r="D51" s="430"/>
      <c r="E51" s="214"/>
      <c r="F51" s="405">
        <v>18793.09</v>
      </c>
      <c r="G51" s="320">
        <f t="shared" si="5"/>
        <v>211816917.39000002</v>
      </c>
      <c r="H51" s="410">
        <f t="shared" si="7"/>
        <v>2526608.4600000004</v>
      </c>
      <c r="I51" s="409">
        <f t="shared" si="6"/>
        <v>27669807589.860001</v>
      </c>
      <c r="J51" s="321"/>
      <c r="K51" s="423">
        <f>SUM(G46:G51)</f>
        <v>1923003130.23</v>
      </c>
      <c r="L51" s="423"/>
      <c r="M51" s="425"/>
    </row>
    <row r="52" spans="2:13">
      <c r="B52" s="370">
        <v>41772</v>
      </c>
      <c r="C52" s="371" t="s">
        <v>456</v>
      </c>
      <c r="D52" s="396">
        <v>67.02</v>
      </c>
      <c r="E52" s="395">
        <v>652439.69999999995</v>
      </c>
      <c r="F52" s="397"/>
      <c r="G52" s="320"/>
      <c r="H52" s="403">
        <f t="shared" si="7"/>
        <v>2526541.4400000004</v>
      </c>
      <c r="I52" s="196">
        <f t="shared" si="6"/>
        <v>27669155150.16</v>
      </c>
      <c r="J52" s="321"/>
      <c r="K52" s="38" t="s">
        <v>449</v>
      </c>
      <c r="L52" s="423"/>
      <c r="M52" s="425"/>
    </row>
    <row r="53" spans="2:13">
      <c r="B53" s="370">
        <v>41772</v>
      </c>
      <c r="C53" s="532" t="s">
        <v>455</v>
      </c>
      <c r="D53" s="396">
        <v>678.42</v>
      </c>
      <c r="E53" s="395">
        <v>6604418.6999999993</v>
      </c>
      <c r="F53" s="397"/>
      <c r="G53" s="320"/>
      <c r="H53" s="403">
        <f t="shared" si="7"/>
        <v>2525863.0200000005</v>
      </c>
      <c r="I53" s="196">
        <f t="shared" si="6"/>
        <v>27662550731.459999</v>
      </c>
      <c r="J53" s="321"/>
      <c r="K53" s="423"/>
      <c r="L53" s="423"/>
      <c r="M53" s="425"/>
    </row>
    <row r="54" spans="2:13">
      <c r="B54" s="370">
        <v>41772</v>
      </c>
      <c r="C54" s="531" t="s">
        <v>454</v>
      </c>
      <c r="D54" s="459">
        <v>34555.19</v>
      </c>
      <c r="E54" s="395">
        <v>336394775</v>
      </c>
      <c r="F54" s="400"/>
      <c r="G54" s="320"/>
      <c r="H54" s="403">
        <f t="shared" si="7"/>
        <v>2491307.8300000005</v>
      </c>
      <c r="I54" s="196">
        <f t="shared" si="6"/>
        <v>27326155956.459999</v>
      </c>
      <c r="J54" s="321"/>
      <c r="K54" s="423"/>
      <c r="L54" s="423"/>
      <c r="M54" s="425"/>
    </row>
    <row r="55" spans="2:13">
      <c r="B55" s="370">
        <v>41772</v>
      </c>
      <c r="C55" s="538" t="s">
        <v>452</v>
      </c>
      <c r="D55" s="459">
        <v>111507.4</v>
      </c>
      <c r="E55" s="494">
        <v>1084967002</v>
      </c>
      <c r="F55" s="400"/>
      <c r="G55" s="320"/>
      <c r="H55" s="403">
        <f t="shared" si="7"/>
        <v>2379800.4300000006</v>
      </c>
      <c r="I55" s="196">
        <f t="shared" si="6"/>
        <v>26241188954.459999</v>
      </c>
      <c r="J55" s="321"/>
      <c r="K55" s="423"/>
      <c r="L55" s="423"/>
      <c r="M55" s="425"/>
    </row>
    <row r="56" spans="2:13">
      <c r="B56" s="370">
        <v>41772</v>
      </c>
      <c r="C56" s="538" t="s">
        <v>453</v>
      </c>
      <c r="D56" s="459">
        <v>47654.83</v>
      </c>
      <c r="E56" s="494">
        <v>463681496</v>
      </c>
      <c r="F56" s="400"/>
      <c r="G56" s="320"/>
      <c r="H56" s="403">
        <f t="shared" si="7"/>
        <v>2332145.6000000006</v>
      </c>
      <c r="I56" s="196">
        <f t="shared" si="6"/>
        <v>25777507458.459999</v>
      </c>
      <c r="J56" s="321"/>
      <c r="K56" s="423"/>
      <c r="L56" s="423"/>
      <c r="M56" s="425"/>
    </row>
    <row r="57" spans="2:13">
      <c r="B57" s="370">
        <v>41772</v>
      </c>
      <c r="C57" s="458" t="s">
        <v>498</v>
      </c>
      <c r="D57" s="459">
        <v>13192.22</v>
      </c>
      <c r="E57" s="494">
        <v>128360301</v>
      </c>
      <c r="F57" s="400"/>
      <c r="G57" s="320"/>
      <c r="H57" s="403">
        <f t="shared" si="7"/>
        <v>2318953.3800000004</v>
      </c>
      <c r="I57" s="196">
        <f t="shared" si="6"/>
        <v>25649147157.459999</v>
      </c>
      <c r="J57" s="321"/>
      <c r="K57" s="423"/>
      <c r="L57" s="423"/>
      <c r="M57" s="425"/>
    </row>
    <row r="58" spans="2:13">
      <c r="B58" s="411">
        <v>41772</v>
      </c>
      <c r="C58" s="458" t="s">
        <v>597</v>
      </c>
      <c r="D58" s="459">
        <v>4565.51</v>
      </c>
      <c r="E58" s="494">
        <v>55890974</v>
      </c>
      <c r="F58" s="400"/>
      <c r="G58" s="320"/>
      <c r="H58" s="403">
        <f>H57+F58-D58</f>
        <v>2314387.8700000006</v>
      </c>
      <c r="I58" s="196">
        <f>I57+G58-E58</f>
        <v>25593256183.459999</v>
      </c>
      <c r="J58" s="321"/>
      <c r="K58" s="423"/>
      <c r="L58" s="423"/>
      <c r="M58" s="425"/>
    </row>
    <row r="59" spans="2:13">
      <c r="B59" s="411">
        <v>41772</v>
      </c>
      <c r="C59" s="458" t="s">
        <v>597</v>
      </c>
      <c r="D59" s="459">
        <v>1920.66</v>
      </c>
      <c r="E59" s="494">
        <v>23512720</v>
      </c>
      <c r="F59" s="400"/>
      <c r="G59" s="320"/>
      <c r="H59" s="410">
        <f>H58+F59-D59</f>
        <v>2312467.2100000004</v>
      </c>
      <c r="I59" s="409">
        <f>I58+G59-E59</f>
        <v>25569743463.459999</v>
      </c>
      <c r="J59" s="321"/>
      <c r="K59" s="423"/>
      <c r="L59" s="423">
        <f>SUM(E52:E59)</f>
        <v>2100064126.4000001</v>
      </c>
      <c r="M59" s="425"/>
    </row>
    <row r="60" spans="2:13">
      <c r="B60" s="411">
        <v>41800</v>
      </c>
      <c r="C60" s="458" t="s">
        <v>527</v>
      </c>
      <c r="D60" s="459">
        <v>64401.24</v>
      </c>
      <c r="E60" s="658">
        <f t="shared" ref="E60:E62" si="8">D60*9730</f>
        <v>626624065.19999993</v>
      </c>
      <c r="F60" s="400"/>
      <c r="G60" s="320"/>
      <c r="H60" s="403">
        <f t="shared" si="7"/>
        <v>2248065.9700000002</v>
      </c>
      <c r="I60" s="196">
        <f t="shared" ref="I60:I67" si="9">I59+G60-E60</f>
        <v>24943119398.259998</v>
      </c>
      <c r="J60" s="321"/>
      <c r="K60" s="423" t="s">
        <v>530</v>
      </c>
      <c r="L60" s="423"/>
      <c r="M60" s="425"/>
    </row>
    <row r="61" spans="2:13">
      <c r="B61" s="411">
        <v>41800</v>
      </c>
      <c r="C61" s="458" t="s">
        <v>529</v>
      </c>
      <c r="D61" s="459">
        <v>2.57</v>
      </c>
      <c r="E61" s="658">
        <f t="shared" si="8"/>
        <v>25006.1</v>
      </c>
      <c r="F61" s="400"/>
      <c r="G61" s="320"/>
      <c r="H61" s="403">
        <f t="shared" si="7"/>
        <v>2248063.4000000004</v>
      </c>
      <c r="I61" s="196">
        <f t="shared" si="9"/>
        <v>24943094392.16</v>
      </c>
      <c r="J61" s="321"/>
      <c r="K61" s="423"/>
      <c r="L61" s="423">
        <f>SUM(D60:D62)</f>
        <v>200148.08</v>
      </c>
      <c r="M61" s="425"/>
    </row>
    <row r="62" spans="2:13">
      <c r="B62" s="411">
        <v>41800</v>
      </c>
      <c r="C62" s="458" t="s">
        <v>528</v>
      </c>
      <c r="D62" s="459">
        <v>135744.26999999999</v>
      </c>
      <c r="E62" s="658">
        <f t="shared" si="8"/>
        <v>1320791747.0999999</v>
      </c>
      <c r="F62" s="400"/>
      <c r="G62" s="320"/>
      <c r="H62" s="403">
        <f t="shared" ref="H62:H68" si="10">H61+F62-D62</f>
        <v>2112319.1300000004</v>
      </c>
      <c r="I62" s="196">
        <f t="shared" si="9"/>
        <v>23622302645.060001</v>
      </c>
      <c r="J62" s="321"/>
      <c r="K62" s="423"/>
      <c r="L62" s="423"/>
      <c r="M62" s="425"/>
    </row>
    <row r="63" spans="2:13">
      <c r="B63" s="322">
        <v>41653</v>
      </c>
      <c r="C63" s="324" t="s">
        <v>596</v>
      </c>
      <c r="D63" s="400"/>
      <c r="E63" s="524"/>
      <c r="F63" s="400">
        <v>4565.51</v>
      </c>
      <c r="G63" s="320">
        <v>55890973</v>
      </c>
      <c r="H63" s="410">
        <f t="shared" si="10"/>
        <v>2116884.64</v>
      </c>
      <c r="I63" s="409">
        <f t="shared" si="9"/>
        <v>23678193618.060001</v>
      </c>
      <c r="J63" s="321"/>
      <c r="K63" s="423">
        <f>SUM(E60:E62)</f>
        <v>1947440818.3999999</v>
      </c>
      <c r="L63" s="423"/>
      <c r="M63" s="425"/>
    </row>
    <row r="64" spans="2:13">
      <c r="B64" s="411">
        <v>41827</v>
      </c>
      <c r="C64" s="458" t="s">
        <v>573</v>
      </c>
      <c r="D64" s="459">
        <v>65079.24</v>
      </c>
      <c r="E64" s="658">
        <f>D64*9730</f>
        <v>633221005.19999993</v>
      </c>
      <c r="F64" s="400"/>
      <c r="G64" s="320"/>
      <c r="H64" s="403">
        <f t="shared" si="10"/>
        <v>2051805.4000000001</v>
      </c>
      <c r="I64" s="196">
        <f t="shared" si="9"/>
        <v>23044972612.860001</v>
      </c>
      <c r="J64" s="321"/>
      <c r="K64" s="423"/>
      <c r="L64" s="423"/>
      <c r="M64" s="425"/>
    </row>
    <row r="65" spans="2:13">
      <c r="B65" s="411">
        <v>41827</v>
      </c>
      <c r="C65" s="458" t="s">
        <v>574</v>
      </c>
      <c r="D65" s="459">
        <v>24275.75</v>
      </c>
      <c r="E65" s="658">
        <v>238169383.25</v>
      </c>
      <c r="F65" s="400"/>
      <c r="G65" s="320"/>
      <c r="H65" s="403">
        <f t="shared" si="10"/>
        <v>2027529.6500000001</v>
      </c>
      <c r="I65" s="196">
        <f t="shared" si="9"/>
        <v>22806803229.610001</v>
      </c>
      <c r="J65" s="321"/>
      <c r="K65" s="423"/>
      <c r="L65" s="423"/>
      <c r="M65" s="425"/>
    </row>
    <row r="66" spans="2:13">
      <c r="B66" s="411">
        <v>41827</v>
      </c>
      <c r="C66" s="458" t="s">
        <v>575</v>
      </c>
      <c r="D66" s="459">
        <v>927.62</v>
      </c>
      <c r="E66" s="658">
        <v>9100880</v>
      </c>
      <c r="F66" s="400"/>
      <c r="G66" s="320"/>
      <c r="H66" s="403">
        <f t="shared" si="10"/>
        <v>2026602.03</v>
      </c>
      <c r="I66" s="196">
        <f t="shared" si="9"/>
        <v>22797702349.610001</v>
      </c>
      <c r="J66" s="321"/>
      <c r="K66" s="423">
        <f>SUM(E64:E67)</f>
        <v>1806357104.4499998</v>
      </c>
      <c r="L66" s="423"/>
      <c r="M66" s="425"/>
    </row>
    <row r="67" spans="2:13">
      <c r="B67" s="411">
        <v>41827</v>
      </c>
      <c r="C67" s="458" t="s">
        <v>576</v>
      </c>
      <c r="D67" s="459">
        <v>94370.18</v>
      </c>
      <c r="E67" s="658">
        <v>925865836</v>
      </c>
      <c r="F67" s="400"/>
      <c r="G67" s="320"/>
      <c r="H67" s="403">
        <f t="shared" si="10"/>
        <v>1932231.85</v>
      </c>
      <c r="I67" s="196">
        <f t="shared" si="9"/>
        <v>21871836513.610001</v>
      </c>
      <c r="J67" s="321"/>
      <c r="K67" s="423"/>
      <c r="L67" s="423"/>
      <c r="M67" s="425"/>
    </row>
    <row r="68" spans="2:13">
      <c r="B68" s="322">
        <v>41618</v>
      </c>
      <c r="C68" s="324" t="s">
        <v>649</v>
      </c>
      <c r="D68" s="400"/>
      <c r="E68" s="524"/>
      <c r="F68" s="400">
        <v>3.72</v>
      </c>
      <c r="G68" s="320">
        <f>11946*F68</f>
        <v>44439.12</v>
      </c>
      <c r="H68" s="410">
        <f t="shared" si="10"/>
        <v>1932235.57</v>
      </c>
      <c r="I68" s="409">
        <f>I67+G68</f>
        <v>21871880952.73</v>
      </c>
      <c r="J68" s="321"/>
      <c r="K68" s="423"/>
      <c r="L68" s="423"/>
      <c r="M68" s="425"/>
    </row>
    <row r="69" spans="2:13">
      <c r="B69" s="411">
        <v>41880</v>
      </c>
      <c r="C69" s="458" t="s">
        <v>684</v>
      </c>
      <c r="D69" s="459">
        <v>78</v>
      </c>
      <c r="E69" s="658">
        <v>747630</v>
      </c>
      <c r="F69" s="400"/>
      <c r="G69" s="320"/>
      <c r="H69" s="403">
        <f t="shared" ref="H69:H76" si="11">H68+F70-D70</f>
        <v>1923332.51</v>
      </c>
      <c r="I69" s="196">
        <f>I68-E69</f>
        <v>21871133322.73</v>
      </c>
      <c r="J69" s="321"/>
      <c r="K69" s="423"/>
      <c r="L69" s="423"/>
      <c r="M69" s="425"/>
    </row>
    <row r="70" spans="2:13">
      <c r="B70" s="411">
        <v>41880</v>
      </c>
      <c r="C70" s="458" t="s">
        <v>685</v>
      </c>
      <c r="D70" s="459">
        <v>8903.06</v>
      </c>
      <c r="E70" s="658">
        <v>85718661.680000052</v>
      </c>
      <c r="F70" s="400"/>
      <c r="G70" s="320"/>
      <c r="H70" s="403">
        <f t="shared" si="11"/>
        <v>1923170.51</v>
      </c>
      <c r="I70" s="196">
        <f t="shared" ref="I70:I76" si="12">I69-E70</f>
        <v>21785414661.049999</v>
      </c>
      <c r="J70" s="321"/>
      <c r="K70" s="423"/>
      <c r="L70" s="423"/>
      <c r="M70" s="425"/>
    </row>
    <row r="71" spans="2:13">
      <c r="B71" s="411">
        <v>41880</v>
      </c>
      <c r="C71" s="458" t="s">
        <v>686</v>
      </c>
      <c r="D71" s="459">
        <v>162</v>
      </c>
      <c r="E71" s="658">
        <v>1666656</v>
      </c>
      <c r="F71" s="400"/>
      <c r="G71" s="320"/>
      <c r="H71" s="403">
        <f t="shared" si="11"/>
        <v>1919930.46</v>
      </c>
      <c r="I71" s="196">
        <f t="shared" si="12"/>
        <v>21783748005.049999</v>
      </c>
      <c r="J71" s="321"/>
      <c r="K71" s="658"/>
      <c r="L71" s="423"/>
      <c r="M71" s="425"/>
    </row>
    <row r="72" spans="2:13">
      <c r="B72" s="411">
        <v>41880</v>
      </c>
      <c r="C72" s="458" t="s">
        <v>687</v>
      </c>
      <c r="D72" s="459">
        <v>3240.05</v>
      </c>
      <c r="E72" s="658">
        <v>33333634.400000002</v>
      </c>
      <c r="F72" s="400"/>
      <c r="G72" s="320"/>
      <c r="H72" s="403">
        <f t="shared" si="11"/>
        <v>1919926.44</v>
      </c>
      <c r="I72" s="196">
        <f t="shared" si="12"/>
        <v>21750414370.649998</v>
      </c>
      <c r="J72" s="321"/>
      <c r="K72" s="423"/>
      <c r="L72" s="423"/>
      <c r="M72" s="425"/>
    </row>
    <row r="73" spans="2:13">
      <c r="B73" s="411">
        <v>41880</v>
      </c>
      <c r="C73" s="458" t="s">
        <v>688</v>
      </c>
      <c r="D73" s="459">
        <v>4.0199999999999996</v>
      </c>
      <c r="E73" s="658">
        <v>41357.759999999995</v>
      </c>
      <c r="F73" s="400"/>
      <c r="G73" s="320"/>
      <c r="H73" s="403">
        <f t="shared" si="11"/>
        <v>1883366.5899999999</v>
      </c>
      <c r="I73" s="196">
        <f t="shared" si="12"/>
        <v>21750373012.889999</v>
      </c>
      <c r="J73" s="321"/>
      <c r="K73" s="423"/>
      <c r="L73" s="423"/>
      <c r="M73" s="425"/>
    </row>
    <row r="74" spans="2:13">
      <c r="B74" s="411">
        <v>41880</v>
      </c>
      <c r="C74" s="458" t="s">
        <v>689</v>
      </c>
      <c r="D74" s="459">
        <v>36559.85</v>
      </c>
      <c r="E74" s="658">
        <f>D74*10288</f>
        <v>376127736.80000001</v>
      </c>
      <c r="F74" s="400"/>
      <c r="G74" s="320"/>
      <c r="H74" s="403">
        <f t="shared" si="11"/>
        <v>1882313.5699999998</v>
      </c>
      <c r="I74" s="196">
        <f t="shared" si="12"/>
        <v>21374245276.09</v>
      </c>
      <c r="J74" s="321"/>
      <c r="K74" s="423"/>
      <c r="L74" s="423"/>
      <c r="M74" s="425"/>
    </row>
    <row r="75" spans="2:13">
      <c r="B75" s="411">
        <v>41880</v>
      </c>
      <c r="C75" s="458" t="s">
        <v>690</v>
      </c>
      <c r="D75" s="459">
        <v>1053.02</v>
      </c>
      <c r="E75" s="395">
        <f t="shared" ref="E75" si="13">10288*D75</f>
        <v>10833469.76</v>
      </c>
      <c r="F75" s="400"/>
      <c r="G75" s="320"/>
      <c r="H75" s="403">
        <f t="shared" si="11"/>
        <v>1807948.1099999999</v>
      </c>
      <c r="I75" s="196">
        <f t="shared" si="12"/>
        <v>21363411806.330002</v>
      </c>
      <c r="J75" s="321"/>
      <c r="K75" s="423"/>
      <c r="L75" s="423"/>
      <c r="M75" s="425"/>
    </row>
    <row r="76" spans="2:13">
      <c r="B76" s="411">
        <v>41857</v>
      </c>
      <c r="C76" s="458" t="s">
        <v>691</v>
      </c>
      <c r="D76" s="459">
        <v>74365.460000000006</v>
      </c>
      <c r="E76" s="658">
        <v>713759684.75999999</v>
      </c>
      <c r="F76" s="400"/>
      <c r="G76" s="320"/>
      <c r="H76" s="403">
        <f t="shared" si="11"/>
        <v>1669726.38</v>
      </c>
      <c r="I76" s="196">
        <f t="shared" si="12"/>
        <v>20649652121.570004</v>
      </c>
      <c r="J76" s="321"/>
      <c r="K76" s="423"/>
      <c r="L76" s="423"/>
      <c r="M76" s="425"/>
    </row>
    <row r="77" spans="2:13">
      <c r="B77" s="411">
        <v>41857</v>
      </c>
      <c r="C77" s="458" t="s">
        <v>692</v>
      </c>
      <c r="D77" s="459">
        <v>138221.73000000001</v>
      </c>
      <c r="E77" s="658">
        <v>1373094665</v>
      </c>
      <c r="F77" s="400"/>
      <c r="G77" s="320"/>
      <c r="H77" s="410">
        <f t="shared" ref="H77:H80" si="14">H76+F78-D78</f>
        <v>1669726.38</v>
      </c>
      <c r="I77" s="409">
        <f>I76+-E77</f>
        <v>19276557456.570004</v>
      </c>
      <c r="J77" s="321"/>
      <c r="K77" s="423">
        <f>SUM(E71:E75)</f>
        <v>422002854.72000003</v>
      </c>
      <c r="L77" s="423">
        <f>SUM(E69:E77)</f>
        <v>2595323496.1599998</v>
      </c>
      <c r="M77" s="425"/>
    </row>
    <row r="78" spans="2:13">
      <c r="B78" s="322"/>
      <c r="C78" s="324"/>
      <c r="D78" s="400"/>
      <c r="E78" s="524"/>
      <c r="F78" s="400"/>
      <c r="G78" s="320"/>
      <c r="H78" s="403">
        <f t="shared" si="14"/>
        <v>1669726.38</v>
      </c>
      <c r="I78" s="196">
        <f t="shared" ref="I78:I80" si="15">I77+G79-E79</f>
        <v>19276557456.570004</v>
      </c>
      <c r="J78" s="321"/>
      <c r="K78" s="423"/>
      <c r="L78" s="423"/>
      <c r="M78" s="425"/>
    </row>
    <row r="79" spans="2:13">
      <c r="B79" s="322"/>
      <c r="C79" s="324"/>
      <c r="D79" s="400"/>
      <c r="E79" s="524"/>
      <c r="F79" s="400"/>
      <c r="G79" s="320"/>
      <c r="H79" s="403">
        <f t="shared" si="14"/>
        <v>1669726.38</v>
      </c>
      <c r="I79" s="196">
        <f t="shared" si="15"/>
        <v>19276557456.570004</v>
      </c>
      <c r="J79" s="321"/>
      <c r="K79" s="423"/>
      <c r="L79" s="423"/>
      <c r="M79" s="425"/>
    </row>
    <row r="80" spans="2:13">
      <c r="B80" s="322"/>
      <c r="C80" s="324"/>
      <c r="D80" s="400"/>
      <c r="E80" s="524"/>
      <c r="F80" s="400"/>
      <c r="G80" s="320"/>
      <c r="H80" s="403">
        <f t="shared" si="14"/>
        <v>1669726.38</v>
      </c>
      <c r="I80" s="196">
        <f t="shared" si="15"/>
        <v>19276557456.570004</v>
      </c>
      <c r="J80" s="321"/>
      <c r="K80" s="423"/>
      <c r="L80" s="423"/>
      <c r="M80" s="425"/>
    </row>
    <row r="81" spans="2:13">
      <c r="B81" s="322"/>
      <c r="C81" s="324"/>
      <c r="D81" s="400"/>
      <c r="E81" s="524"/>
      <c r="F81" s="400"/>
      <c r="G81" s="320"/>
      <c r="H81" s="525"/>
      <c r="I81" s="196"/>
      <c r="J81" s="321"/>
      <c r="K81" s="423"/>
      <c r="L81" s="423"/>
      <c r="M81" s="425"/>
    </row>
    <row r="82" spans="2:13">
      <c r="B82" s="322"/>
      <c r="C82" s="324"/>
      <c r="D82" s="400"/>
      <c r="E82" s="524"/>
      <c r="F82" s="400"/>
      <c r="G82" s="320"/>
      <c r="H82" s="525"/>
      <c r="I82" s="196"/>
      <c r="J82" s="321"/>
      <c r="K82" s="423"/>
      <c r="L82" s="423"/>
      <c r="M82" s="425"/>
    </row>
    <row r="83" spans="2:13">
      <c r="B83" s="322"/>
      <c r="C83" s="324"/>
      <c r="D83" s="400"/>
      <c r="E83" s="524"/>
      <c r="F83" s="400"/>
      <c r="G83" s="320"/>
      <c r="H83" s="525"/>
      <c r="I83" s="196"/>
      <c r="J83" s="321"/>
      <c r="K83" s="423"/>
      <c r="L83" s="423"/>
      <c r="M83" s="425"/>
    </row>
    <row r="84" spans="2:13">
      <c r="B84" s="322"/>
      <c r="C84" s="324"/>
      <c r="D84" s="400"/>
      <c r="E84" s="524"/>
      <c r="F84" s="400"/>
      <c r="G84" s="320"/>
      <c r="H84" s="525"/>
      <c r="I84" s="196"/>
      <c r="J84" s="321"/>
      <c r="K84" s="423"/>
      <c r="L84" s="423"/>
      <c r="M84" s="425"/>
    </row>
    <row r="85" spans="2:13">
      <c r="B85" s="322"/>
      <c r="C85" s="324"/>
      <c r="D85" s="400"/>
      <c r="E85" s="524"/>
      <c r="F85" s="400"/>
      <c r="G85" s="320"/>
      <c r="H85" s="525"/>
      <c r="I85" s="196"/>
      <c r="J85" s="321"/>
      <c r="K85" s="423"/>
      <c r="L85" s="423"/>
      <c r="M85" s="425"/>
    </row>
    <row r="86" spans="2:13">
      <c r="B86" s="322"/>
      <c r="C86" s="324"/>
      <c r="D86" s="400"/>
      <c r="E86" s="524"/>
      <c r="F86" s="400"/>
      <c r="G86" s="320"/>
      <c r="H86" s="525"/>
      <c r="I86" s="196"/>
      <c r="J86" s="321"/>
      <c r="K86" s="423"/>
      <c r="L86" s="423"/>
      <c r="M86" s="425"/>
    </row>
    <row r="87" spans="2:13">
      <c r="B87" s="322"/>
      <c r="C87" s="324"/>
      <c r="D87" s="400"/>
      <c r="E87" s="524"/>
      <c r="F87" s="400"/>
      <c r="G87" s="320"/>
      <c r="H87" s="525"/>
      <c r="I87" s="196"/>
      <c r="J87" s="321"/>
      <c r="K87" s="423"/>
      <c r="L87" s="423"/>
      <c r="M87" s="425"/>
    </row>
    <row r="88" spans="2:13">
      <c r="B88" s="322"/>
      <c r="C88" s="324"/>
      <c r="D88" s="400"/>
      <c r="E88" s="524"/>
      <c r="F88" s="400"/>
      <c r="G88" s="320"/>
      <c r="H88" s="525"/>
      <c r="I88" s="196"/>
      <c r="J88" s="321"/>
      <c r="K88" s="423"/>
      <c r="L88" s="423"/>
      <c r="M88" s="425"/>
    </row>
    <row r="89" spans="2:13">
      <c r="B89" s="322"/>
      <c r="C89" s="324"/>
      <c r="D89" s="400"/>
      <c r="E89" s="524"/>
      <c r="F89" s="400"/>
      <c r="G89" s="320"/>
      <c r="H89" s="525"/>
      <c r="I89" s="196"/>
      <c r="J89" s="321"/>
      <c r="K89" s="423"/>
      <c r="L89" s="423"/>
      <c r="M89" s="425"/>
    </row>
    <row r="90" spans="2:13">
      <c r="B90" s="322"/>
      <c r="C90" s="324"/>
      <c r="D90" s="400"/>
      <c r="E90" s="524"/>
      <c r="F90" s="400"/>
      <c r="G90" s="320"/>
      <c r="H90" s="525"/>
      <c r="I90" s="196"/>
      <c r="J90" s="321"/>
      <c r="K90" s="423"/>
      <c r="L90" s="423"/>
      <c r="M90" s="425"/>
    </row>
    <row r="91" spans="2:13">
      <c r="B91" s="322"/>
      <c r="C91" s="324"/>
      <c r="D91" s="400"/>
      <c r="E91" s="524"/>
      <c r="F91" s="400"/>
      <c r="G91" s="320"/>
      <c r="H91" s="525"/>
      <c r="I91" s="196"/>
      <c r="J91" s="321"/>
      <c r="K91" s="423"/>
      <c r="L91" s="423"/>
      <c r="M91" s="425"/>
    </row>
    <row r="92" spans="2:13">
      <c r="B92" s="322"/>
      <c r="C92" s="324"/>
      <c r="D92" s="400"/>
      <c r="E92" s="524"/>
      <c r="F92" s="400"/>
      <c r="G92" s="320"/>
      <c r="H92" s="525"/>
      <c r="I92" s="196"/>
      <c r="J92" s="321"/>
      <c r="K92" s="423"/>
      <c r="L92" s="423"/>
      <c r="M92" s="425"/>
    </row>
    <row r="93" spans="2:13">
      <c r="B93" s="322"/>
      <c r="C93" s="324"/>
      <c r="D93" s="400"/>
      <c r="E93" s="524"/>
      <c r="F93" s="400"/>
      <c r="G93" s="320"/>
      <c r="H93" s="525"/>
      <c r="I93" s="196"/>
      <c r="J93" s="321"/>
      <c r="K93" s="423"/>
      <c r="L93" s="423"/>
      <c r="M93" s="425"/>
    </row>
    <row r="94" spans="2:13">
      <c r="B94" s="322"/>
      <c r="C94" s="324"/>
      <c r="D94" s="400"/>
      <c r="E94" s="524"/>
      <c r="F94" s="400"/>
      <c r="G94" s="320"/>
      <c r="H94" s="525"/>
      <c r="I94" s="196"/>
      <c r="J94" s="321"/>
      <c r="K94" s="423"/>
      <c r="L94" s="423"/>
      <c r="M94" s="425"/>
    </row>
    <row r="95" spans="2:13">
      <c r="B95" s="322"/>
      <c r="C95" s="324"/>
      <c r="D95" s="400"/>
      <c r="E95" s="524"/>
      <c r="F95" s="400"/>
      <c r="G95" s="320"/>
      <c r="H95" s="525"/>
      <c r="I95" s="196"/>
      <c r="J95" s="321"/>
      <c r="K95" s="423"/>
      <c r="L95" s="423"/>
      <c r="M95" s="425"/>
    </row>
    <row r="96" spans="2:13">
      <c r="B96" s="322"/>
      <c r="C96" s="324"/>
      <c r="D96" s="400"/>
      <c r="E96" s="524"/>
      <c r="F96" s="400"/>
      <c r="G96" s="320"/>
      <c r="H96" s="525"/>
      <c r="I96" s="196"/>
      <c r="J96" s="321"/>
      <c r="K96" s="423"/>
      <c r="L96" s="423"/>
      <c r="M96" s="425"/>
    </row>
    <row r="97" spans="2:13">
      <c r="B97" s="322"/>
      <c r="C97" s="324"/>
      <c r="D97" s="400"/>
      <c r="E97" s="524"/>
      <c r="F97" s="400"/>
      <c r="G97" s="320"/>
      <c r="H97" s="525"/>
      <c r="I97" s="196"/>
      <c r="J97" s="321"/>
      <c r="K97" s="423"/>
      <c r="L97" s="423"/>
      <c r="M97" s="425"/>
    </row>
    <row r="98" spans="2:13">
      <c r="B98" s="322"/>
      <c r="C98" s="324"/>
      <c r="D98" s="400"/>
      <c r="E98" s="524"/>
      <c r="F98" s="400"/>
      <c r="G98" s="320"/>
      <c r="H98" s="525"/>
      <c r="I98" s="196"/>
      <c r="J98" s="321"/>
      <c r="K98" s="423"/>
      <c r="L98" s="423"/>
      <c r="M98" s="425"/>
    </row>
    <row r="99" spans="2:13">
      <c r="B99" s="322"/>
      <c r="C99" s="324"/>
      <c r="D99" s="400"/>
      <c r="E99" s="524"/>
      <c r="F99" s="400"/>
      <c r="G99" s="320"/>
      <c r="H99" s="525"/>
      <c r="I99" s="196"/>
      <c r="J99" s="321"/>
      <c r="K99" s="423"/>
      <c r="L99" s="423"/>
      <c r="M99" s="425"/>
    </row>
    <row r="100" spans="2:13">
      <c r="B100" s="322"/>
      <c r="C100" s="324"/>
      <c r="D100" s="400"/>
      <c r="E100" s="524"/>
      <c r="F100" s="400"/>
      <c r="G100" s="320"/>
      <c r="H100" s="525"/>
      <c r="I100" s="196"/>
      <c r="J100" s="321"/>
      <c r="K100" s="423"/>
      <c r="L100" s="423"/>
      <c r="M100" s="425"/>
    </row>
    <row r="101" spans="2:13">
      <c r="B101" s="322"/>
      <c r="C101" s="324"/>
      <c r="D101" s="400"/>
      <c r="E101" s="524"/>
      <c r="F101" s="400"/>
      <c r="G101" s="320"/>
      <c r="H101" s="525"/>
      <c r="I101" s="196"/>
      <c r="J101" s="321"/>
      <c r="K101" s="423"/>
      <c r="L101" s="423"/>
      <c r="M101" s="425"/>
    </row>
    <row r="102" spans="2:13">
      <c r="B102" s="322"/>
      <c r="C102" s="324"/>
      <c r="D102" s="400"/>
      <c r="E102" s="524"/>
      <c r="F102" s="400"/>
      <c r="G102" s="320"/>
      <c r="H102" s="525"/>
      <c r="I102" s="196"/>
      <c r="J102" s="321"/>
      <c r="K102" s="423"/>
      <c r="L102" s="423"/>
      <c r="M102" s="425"/>
    </row>
    <row r="103" spans="2:13">
      <c r="B103" s="322"/>
      <c r="C103" s="324"/>
      <c r="D103" s="400"/>
      <c r="E103" s="524"/>
      <c r="F103" s="400"/>
      <c r="G103" s="320"/>
      <c r="H103" s="525"/>
      <c r="I103" s="196"/>
      <c r="J103" s="321"/>
      <c r="K103" s="423"/>
      <c r="L103" s="423"/>
      <c r="M103" s="425"/>
    </row>
    <row r="104" spans="2:13">
      <c r="B104" s="322"/>
      <c r="C104" s="324"/>
      <c r="D104" s="400"/>
      <c r="E104" s="524"/>
      <c r="F104" s="400"/>
      <c r="G104" s="320"/>
      <c r="H104" s="525"/>
      <c r="I104" s="196"/>
      <c r="J104" s="321"/>
      <c r="K104" s="423"/>
      <c r="L104" s="423"/>
      <c r="M104" s="425"/>
    </row>
    <row r="105" spans="2:13">
      <c r="B105" s="322"/>
      <c r="C105" s="324"/>
      <c r="D105" s="400"/>
      <c r="E105" s="524"/>
      <c r="F105" s="400"/>
      <c r="G105" s="320"/>
      <c r="H105" s="525"/>
      <c r="I105" s="196"/>
      <c r="J105" s="321"/>
      <c r="K105" s="423"/>
      <c r="L105" s="423"/>
      <c r="M105" s="425"/>
    </row>
    <row r="106" spans="2:13">
      <c r="B106" s="322"/>
      <c r="C106" s="324"/>
      <c r="D106" s="400"/>
      <c r="E106" s="524"/>
      <c r="F106" s="400"/>
      <c r="G106" s="320"/>
      <c r="H106" s="525"/>
      <c r="I106" s="196"/>
      <c r="J106" s="321"/>
      <c r="K106" s="423"/>
      <c r="L106" s="423"/>
      <c r="M106" s="425"/>
    </row>
    <row r="107" spans="2:13">
      <c r="B107" s="322"/>
      <c r="C107" s="324"/>
      <c r="D107" s="400"/>
      <c r="E107" s="524"/>
      <c r="F107" s="400"/>
      <c r="G107" s="320"/>
      <c r="H107" s="525"/>
      <c r="I107" s="196"/>
      <c r="J107" s="321"/>
      <c r="K107" s="423"/>
      <c r="L107" s="423"/>
      <c r="M107" s="425"/>
    </row>
    <row r="108" spans="2:13">
      <c r="B108" s="322"/>
      <c r="C108" s="324"/>
      <c r="D108" s="400"/>
      <c r="E108" s="524"/>
      <c r="F108" s="400"/>
      <c r="G108" s="320"/>
      <c r="H108" s="525"/>
      <c r="I108" s="196"/>
      <c r="J108" s="321"/>
      <c r="K108" s="423"/>
      <c r="L108" s="423"/>
      <c r="M108" s="425"/>
    </row>
    <row r="109" spans="2:13">
      <c r="B109" s="322"/>
      <c r="C109" s="324"/>
      <c r="D109" s="400"/>
      <c r="E109" s="524"/>
      <c r="F109" s="400"/>
      <c r="G109" s="320"/>
      <c r="H109" s="525"/>
      <c r="I109" s="196"/>
      <c r="J109" s="321"/>
      <c r="K109" s="423"/>
      <c r="L109" s="423"/>
      <c r="M109" s="425"/>
    </row>
    <row r="110" spans="2:13">
      <c r="B110" s="322"/>
      <c r="C110" s="324"/>
      <c r="D110" s="400"/>
      <c r="E110" s="524"/>
      <c r="F110" s="400"/>
      <c r="G110" s="320"/>
      <c r="H110" s="525"/>
      <c r="I110" s="196"/>
      <c r="J110" s="321"/>
      <c r="K110" s="423"/>
      <c r="L110" s="423"/>
      <c r="M110" s="425"/>
    </row>
    <row r="111" spans="2:13">
      <c r="B111" s="322"/>
      <c r="C111" s="324"/>
      <c r="D111" s="400"/>
      <c r="E111" s="524"/>
      <c r="F111" s="400"/>
      <c r="G111" s="320"/>
      <c r="H111" s="525"/>
      <c r="I111" s="196"/>
      <c r="J111" s="321"/>
      <c r="K111" s="423"/>
      <c r="L111" s="423"/>
      <c r="M111" s="425"/>
    </row>
    <row r="112" spans="2:13">
      <c r="B112" s="322"/>
      <c r="C112" s="324"/>
      <c r="D112" s="400"/>
      <c r="E112" s="524"/>
      <c r="F112" s="400"/>
      <c r="G112" s="320"/>
      <c r="H112" s="525"/>
      <c r="I112" s="196"/>
      <c r="J112" s="321"/>
      <c r="K112" s="423"/>
      <c r="L112" s="423"/>
      <c r="M112" s="425"/>
    </row>
    <row r="113" spans="2:13">
      <c r="B113" s="322"/>
      <c r="C113" s="324"/>
      <c r="D113" s="400"/>
      <c r="E113" s="524"/>
      <c r="F113" s="400"/>
      <c r="G113" s="320"/>
      <c r="H113" s="525"/>
      <c r="I113" s="196"/>
      <c r="J113" s="321"/>
      <c r="K113" s="423"/>
      <c r="L113" s="423"/>
      <c r="M113" s="425"/>
    </row>
    <row r="114" spans="2:13">
      <c r="B114" s="322"/>
      <c r="C114" s="324"/>
      <c r="D114" s="400"/>
      <c r="E114" s="524"/>
      <c r="F114" s="400"/>
      <c r="G114" s="320"/>
      <c r="H114" s="525"/>
      <c r="I114" s="196"/>
      <c r="J114" s="321"/>
      <c r="K114" s="423"/>
      <c r="L114" s="423"/>
      <c r="M114" s="425"/>
    </row>
    <row r="115" spans="2:13">
      <c r="B115" s="322"/>
      <c r="C115" s="324"/>
      <c r="D115" s="400"/>
      <c r="E115" s="524"/>
      <c r="F115" s="400"/>
      <c r="G115" s="320"/>
      <c r="H115" s="525"/>
      <c r="I115" s="196"/>
      <c r="J115" s="321"/>
      <c r="K115" s="423"/>
      <c r="L115" s="423"/>
      <c r="M115" s="425"/>
    </row>
    <row r="116" spans="2:13">
      <c r="B116" s="322"/>
      <c r="C116" s="324"/>
      <c r="D116" s="400"/>
      <c r="E116" s="524"/>
      <c r="F116" s="400"/>
      <c r="G116" s="320"/>
      <c r="H116" s="525"/>
      <c r="I116" s="196"/>
      <c r="J116" s="321"/>
      <c r="K116" s="423"/>
      <c r="L116" s="423"/>
      <c r="M116" s="425"/>
    </row>
    <row r="117" spans="2:13">
      <c r="B117" s="322"/>
      <c r="C117" s="324"/>
      <c r="D117" s="400"/>
      <c r="E117" s="524"/>
      <c r="F117" s="400"/>
      <c r="G117" s="320"/>
      <c r="H117" s="525"/>
      <c r="I117" s="196"/>
      <c r="J117" s="321"/>
      <c r="K117" s="423"/>
      <c r="L117" s="423"/>
      <c r="M117" s="425"/>
    </row>
    <row r="118" spans="2:13">
      <c r="B118" s="322"/>
      <c r="C118" s="324"/>
      <c r="D118" s="400"/>
      <c r="E118" s="524"/>
      <c r="F118" s="400"/>
      <c r="G118" s="320"/>
      <c r="H118" s="525"/>
      <c r="I118" s="196"/>
      <c r="J118" s="321"/>
      <c r="K118" s="423"/>
      <c r="L118" s="423"/>
      <c r="M118" s="425"/>
    </row>
    <row r="119" spans="2:13">
      <c r="B119" s="322"/>
      <c r="C119" s="324"/>
      <c r="D119" s="400"/>
      <c r="E119" s="524"/>
      <c r="F119" s="400"/>
      <c r="G119" s="320"/>
      <c r="H119" s="525"/>
      <c r="I119" s="196"/>
      <c r="J119" s="321"/>
      <c r="K119" s="423"/>
      <c r="L119" s="423"/>
      <c r="M119" s="425"/>
    </row>
    <row r="120" spans="2:13">
      <c r="B120" s="322"/>
      <c r="C120" s="324"/>
      <c r="D120" s="400"/>
      <c r="E120" s="524"/>
      <c r="F120" s="400"/>
      <c r="G120" s="320"/>
      <c r="H120" s="525"/>
      <c r="I120" s="196"/>
      <c r="J120" s="321"/>
      <c r="K120" s="423"/>
      <c r="L120" s="423"/>
      <c r="M120" s="425"/>
    </row>
    <row r="121" spans="2:13">
      <c r="B121" s="322"/>
      <c r="C121" s="324"/>
      <c r="D121" s="400"/>
      <c r="E121" s="524"/>
      <c r="F121" s="400"/>
      <c r="G121" s="320"/>
      <c r="H121" s="525"/>
      <c r="I121" s="196"/>
      <c r="J121" s="321"/>
      <c r="K121" s="423"/>
      <c r="L121" s="423"/>
      <c r="M121" s="425"/>
    </row>
    <row r="122" spans="2:13">
      <c r="B122" s="322"/>
      <c r="C122" s="324"/>
      <c r="D122" s="400"/>
      <c r="E122" s="524"/>
      <c r="F122" s="400"/>
      <c r="G122" s="320"/>
      <c r="H122" s="525"/>
      <c r="I122" s="196"/>
      <c r="J122" s="321"/>
      <c r="K122" s="423"/>
      <c r="L122" s="423"/>
      <c r="M122" s="425"/>
    </row>
    <row r="123" spans="2:13">
      <c r="B123" s="322"/>
      <c r="C123" s="324"/>
      <c r="D123" s="400"/>
      <c r="E123" s="524"/>
      <c r="F123" s="400"/>
      <c r="G123" s="320"/>
      <c r="H123" s="525"/>
      <c r="I123" s="196"/>
      <c r="J123" s="321"/>
      <c r="K123" s="423"/>
      <c r="L123" s="423"/>
      <c r="M123" s="425"/>
    </row>
    <row r="124" spans="2:13">
      <c r="B124" s="322"/>
      <c r="C124" s="324"/>
      <c r="D124" s="400"/>
      <c r="E124" s="524"/>
      <c r="F124" s="400"/>
      <c r="G124" s="320"/>
      <c r="H124" s="525"/>
      <c r="I124" s="196"/>
      <c r="J124" s="321"/>
      <c r="K124" s="423"/>
      <c r="L124" s="423"/>
      <c r="M124" s="425"/>
    </row>
    <row r="125" spans="2:13">
      <c r="B125" s="322"/>
      <c r="C125" s="324"/>
      <c r="D125" s="400"/>
      <c r="E125" s="524"/>
      <c r="F125" s="400"/>
      <c r="G125" s="320"/>
      <c r="H125" s="525"/>
      <c r="I125" s="196"/>
      <c r="J125" s="321"/>
      <c r="K125" s="423"/>
      <c r="L125" s="423"/>
      <c r="M125" s="425"/>
    </row>
    <row r="126" spans="2:13">
      <c r="B126" s="322"/>
      <c r="C126" s="324"/>
      <c r="D126" s="400"/>
      <c r="E126" s="524"/>
      <c r="F126" s="400"/>
      <c r="G126" s="320"/>
      <c r="H126" s="525"/>
      <c r="I126" s="196"/>
      <c r="J126" s="321"/>
      <c r="K126" s="423"/>
      <c r="L126" s="423"/>
      <c r="M126" s="425"/>
    </row>
    <row r="127" spans="2:13">
      <c r="B127" s="322"/>
      <c r="C127" s="324"/>
      <c r="D127" s="400"/>
      <c r="E127" s="524"/>
      <c r="F127" s="400"/>
      <c r="G127" s="320"/>
      <c r="H127" s="525"/>
      <c r="I127" s="196"/>
      <c r="J127" s="321"/>
      <c r="K127" s="423"/>
      <c r="L127" s="423"/>
      <c r="M127" s="425"/>
    </row>
    <row r="128" spans="2:13">
      <c r="B128" s="322"/>
      <c r="C128" s="324"/>
      <c r="D128" s="400"/>
      <c r="E128" s="524"/>
      <c r="F128" s="400"/>
      <c r="G128" s="320"/>
      <c r="H128" s="525"/>
      <c r="I128" s="196"/>
      <c r="J128" s="321"/>
      <c r="K128" s="423"/>
      <c r="L128" s="423"/>
      <c r="M128" s="425"/>
    </row>
    <row r="129" spans="2:13">
      <c r="B129" s="322"/>
      <c r="C129" s="324"/>
      <c r="D129" s="400"/>
      <c r="E129" s="524"/>
      <c r="F129" s="400"/>
      <c r="G129" s="320"/>
      <c r="H129" s="525"/>
      <c r="I129" s="196"/>
      <c r="J129" s="321"/>
      <c r="K129" s="423"/>
      <c r="L129" s="423"/>
      <c r="M129" s="425"/>
    </row>
    <row r="130" spans="2:13">
      <c r="B130" s="322"/>
      <c r="C130" s="324"/>
      <c r="D130" s="400"/>
      <c r="E130" s="524"/>
      <c r="F130" s="400"/>
      <c r="G130" s="320"/>
      <c r="H130" s="525"/>
      <c r="I130" s="196"/>
      <c r="J130" s="321"/>
      <c r="K130" s="423"/>
      <c r="L130" s="423"/>
      <c r="M130" s="425"/>
    </row>
    <row r="131" spans="2:13" ht="15.75" thickBot="1">
      <c r="B131" s="322"/>
      <c r="C131" s="324"/>
      <c r="D131" s="400"/>
      <c r="E131" s="524"/>
      <c r="F131" s="400"/>
      <c r="G131" s="320"/>
      <c r="H131" s="401"/>
      <c r="I131" s="484"/>
      <c r="J131" s="321"/>
      <c r="K131" s="423"/>
      <c r="L131" s="423"/>
      <c r="M131" s="425"/>
    </row>
    <row r="132" spans="2:13" ht="16.5" thickTop="1" thickBot="1">
      <c r="B132" s="303"/>
      <c r="C132" s="304"/>
      <c r="D132" s="431"/>
      <c r="E132" s="64"/>
      <c r="F132" s="483"/>
      <c r="G132" s="483"/>
    </row>
    <row r="133" spans="2:13" ht="15.75" thickTop="1"/>
  </sheetData>
  <mergeCells count="7">
    <mergeCell ref="M4:M5"/>
    <mergeCell ref="B1:I1"/>
    <mergeCell ref="B2:I2"/>
    <mergeCell ref="D4:E4"/>
    <mergeCell ref="F4:G4"/>
    <mergeCell ref="H4:I4"/>
    <mergeCell ref="K4:K5"/>
  </mergeCells>
  <pageMargins left="0.31496062992125984" right="0.15748031496062992" top="0.39370078740157483" bottom="0.62992125984251968" header="0.31496062992125984" footer="0.51181102362204722"/>
  <pageSetup paperSize="9" scale="85" orientation="portrait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B1:M93"/>
  <sheetViews>
    <sheetView workbookViewId="0">
      <pane xSplit="1" ySplit="5" topLeftCell="C26" activePane="bottomRight" state="frozen"/>
      <selection pane="topRight" activeCell="B1" sqref="B1"/>
      <selection pane="bottomLeft" activeCell="A6" sqref="A6"/>
      <selection pane="bottomRight" activeCell="E41" sqref="E41"/>
    </sheetView>
  </sheetViews>
  <sheetFormatPr defaultRowHeight="15"/>
  <cols>
    <col min="1" max="1" width="3" style="40" customWidth="1"/>
    <col min="2" max="2" width="10.85546875" style="164" customWidth="1"/>
    <col min="3" max="3" width="23.28515625" style="40" customWidth="1"/>
    <col min="4" max="4" width="11.42578125" style="406" customWidth="1"/>
    <col min="5" max="5" width="12.5703125" style="40" customWidth="1"/>
    <col min="6" max="6" width="11.140625" style="52" customWidth="1"/>
    <col min="7" max="7" width="12.28515625" style="52" customWidth="1"/>
    <col min="8" max="8" width="12.5703125" style="406" customWidth="1"/>
    <col min="9" max="9" width="13.85546875" style="53" customWidth="1"/>
    <col min="10" max="10" width="2.140625" style="40" customWidth="1"/>
    <col min="11" max="12" width="15.5703125" style="422" customWidth="1"/>
    <col min="13" max="13" width="16.7109375" style="424" bestFit="1" customWidth="1"/>
    <col min="14" max="16384" width="9.140625" style="40"/>
  </cols>
  <sheetData>
    <row r="1" spans="2:13" ht="18.75">
      <c r="B1" s="672" t="s">
        <v>32</v>
      </c>
      <c r="C1" s="672"/>
      <c r="D1" s="672"/>
      <c r="E1" s="672"/>
      <c r="F1" s="672"/>
      <c r="G1" s="672"/>
      <c r="H1" s="672"/>
      <c r="I1" s="672"/>
    </row>
    <row r="2" spans="2:13" ht="18.75">
      <c r="B2" s="672" t="s">
        <v>46</v>
      </c>
      <c r="C2" s="672"/>
      <c r="D2" s="672"/>
      <c r="E2" s="672"/>
      <c r="F2" s="672"/>
      <c r="G2" s="672"/>
      <c r="H2" s="672"/>
      <c r="I2" s="672"/>
    </row>
    <row r="3" spans="2:13" ht="15.75" thickBot="1">
      <c r="B3" s="158"/>
      <c r="C3" s="41"/>
      <c r="F3" s="42"/>
      <c r="G3" s="42"/>
      <c r="H3" s="401"/>
      <c r="I3" s="43"/>
    </row>
    <row r="4" spans="2:13" ht="15.75" customHeight="1" thickTop="1">
      <c r="B4" s="159" t="s">
        <v>10</v>
      </c>
      <c r="C4" s="45" t="s">
        <v>11</v>
      </c>
      <c r="D4" s="680" t="s">
        <v>9</v>
      </c>
      <c r="E4" s="681"/>
      <c r="F4" s="678" t="s">
        <v>13</v>
      </c>
      <c r="G4" s="679"/>
      <c r="H4" s="678" t="s">
        <v>8</v>
      </c>
      <c r="I4" s="679"/>
      <c r="K4" s="676" t="s">
        <v>22</v>
      </c>
      <c r="L4" s="649"/>
      <c r="M4" s="677" t="s">
        <v>23</v>
      </c>
    </row>
    <row r="5" spans="2:13" ht="15.75" thickBot="1">
      <c r="B5" s="160" t="s">
        <v>14</v>
      </c>
      <c r="C5" s="47" t="s">
        <v>15</v>
      </c>
      <c r="D5" s="428" t="s">
        <v>30</v>
      </c>
      <c r="E5" s="48" t="s">
        <v>16</v>
      </c>
      <c r="F5" s="48" t="s">
        <v>30</v>
      </c>
      <c r="G5" s="408" t="s">
        <v>16</v>
      </c>
      <c r="H5" s="402" t="s">
        <v>30</v>
      </c>
      <c r="I5" s="48" t="s">
        <v>16</v>
      </c>
      <c r="K5" s="676"/>
      <c r="L5" s="649"/>
      <c r="M5" s="677"/>
    </row>
    <row r="6" spans="2:13" ht="15.75" thickTop="1">
      <c r="B6" s="654"/>
      <c r="C6" s="559"/>
      <c r="D6" s="560"/>
      <c r="E6" s="559"/>
      <c r="F6" s="559"/>
      <c r="G6" s="561"/>
      <c r="H6" s="562"/>
      <c r="I6" s="559"/>
      <c r="K6" s="649"/>
      <c r="L6" s="649"/>
      <c r="M6" s="650"/>
    </row>
    <row r="7" spans="2:13">
      <c r="B7" s="227">
        <v>41639</v>
      </c>
      <c r="C7" s="554" t="s">
        <v>25</v>
      </c>
      <c r="D7" s="528"/>
      <c r="E7" s="147"/>
      <c r="F7" s="651">
        <v>0</v>
      </c>
      <c r="G7" s="652">
        <v>0</v>
      </c>
      <c r="H7" s="653">
        <f>F7</f>
        <v>0</v>
      </c>
      <c r="I7" s="234">
        <f>G7</f>
        <v>0</v>
      </c>
    </row>
    <row r="8" spans="2:13">
      <c r="B8" s="201">
        <v>41668</v>
      </c>
      <c r="C8" s="38" t="s">
        <v>113</v>
      </c>
      <c r="D8" s="397"/>
      <c r="E8" s="325"/>
      <c r="F8" s="397">
        <v>201.74</v>
      </c>
      <c r="G8" s="320">
        <v>2469701</v>
      </c>
      <c r="H8" s="410">
        <f>F8+H7</f>
        <v>201.74</v>
      </c>
      <c r="I8" s="409">
        <f>I7+G8</f>
        <v>2469701</v>
      </c>
      <c r="J8" s="321"/>
      <c r="K8" s="423"/>
      <c r="L8" s="423"/>
      <c r="M8" s="425"/>
    </row>
    <row r="9" spans="2:13">
      <c r="B9" s="201">
        <v>41759</v>
      </c>
      <c r="C9" s="38" t="s">
        <v>367</v>
      </c>
      <c r="D9" s="397"/>
      <c r="E9" s="325"/>
      <c r="F9" s="397">
        <v>4946.51</v>
      </c>
      <c r="G9" s="320">
        <f>F9*11271</f>
        <v>55752114.210000001</v>
      </c>
      <c r="H9" s="403">
        <f>H8+F9-D9</f>
        <v>5148.25</v>
      </c>
      <c r="I9" s="196">
        <f>I8+G9-D9</f>
        <v>58221815.210000001</v>
      </c>
      <c r="J9" s="321"/>
      <c r="K9" s="423"/>
      <c r="L9" s="423"/>
      <c r="M9" s="425"/>
    </row>
    <row r="10" spans="2:13">
      <c r="B10" s="201">
        <v>41759</v>
      </c>
      <c r="C10" s="38" t="s">
        <v>368</v>
      </c>
      <c r="D10" s="397"/>
      <c r="E10" s="325"/>
      <c r="F10" s="397">
        <v>19441.09</v>
      </c>
      <c r="G10" s="320">
        <f>F10*11271</f>
        <v>219120525.39000002</v>
      </c>
      <c r="H10" s="403">
        <f t="shared" ref="H10:H20" si="0">H9+F10-D10</f>
        <v>24589.34</v>
      </c>
      <c r="I10" s="196">
        <f t="shared" ref="I10:I20" si="1">I9+G10-D10</f>
        <v>277342340.60000002</v>
      </c>
      <c r="J10" s="321"/>
      <c r="K10" s="423"/>
      <c r="L10" s="423"/>
      <c r="M10" s="425"/>
    </row>
    <row r="11" spans="2:13">
      <c r="B11" s="201">
        <v>41759</v>
      </c>
      <c r="C11" s="38" t="s">
        <v>382</v>
      </c>
      <c r="D11" s="397"/>
      <c r="E11" s="325"/>
      <c r="F11" s="397">
        <v>22226.720000000001</v>
      </c>
      <c r="G11" s="320">
        <f>F11*11271</f>
        <v>250517361.12</v>
      </c>
      <c r="H11" s="410">
        <f t="shared" si="0"/>
        <v>46816.06</v>
      </c>
      <c r="I11" s="409">
        <f t="shared" si="1"/>
        <v>527859701.72000003</v>
      </c>
      <c r="J11" s="321"/>
      <c r="K11" s="423">
        <f>SUM(G9:G11)</f>
        <v>525390000.72000003</v>
      </c>
      <c r="L11" s="423">
        <f>SUM(G9:G11)</f>
        <v>525390000.72000003</v>
      </c>
      <c r="M11" s="425"/>
    </row>
    <row r="12" spans="2:13">
      <c r="B12" s="322">
        <v>41766</v>
      </c>
      <c r="C12" s="324" t="s">
        <v>476</v>
      </c>
      <c r="D12" s="400"/>
      <c r="E12" s="325"/>
      <c r="F12" s="400">
        <v>26945.41</v>
      </c>
      <c r="G12" s="320">
        <f>F12*11537</f>
        <v>310869195.17000002</v>
      </c>
      <c r="H12" s="403">
        <f t="shared" si="0"/>
        <v>73761.47</v>
      </c>
      <c r="I12" s="196">
        <f t="shared" si="1"/>
        <v>838728896.8900001</v>
      </c>
      <c r="J12" s="321"/>
      <c r="K12" s="423"/>
      <c r="L12" s="423"/>
      <c r="M12" s="425"/>
    </row>
    <row r="13" spans="2:13">
      <c r="B13" s="322">
        <v>41773</v>
      </c>
      <c r="C13" s="324" t="s">
        <v>477</v>
      </c>
      <c r="D13" s="400"/>
      <c r="E13" s="325"/>
      <c r="F13" s="400">
        <v>25997.38</v>
      </c>
      <c r="G13" s="320">
        <f t="shared" ref="G13:G20" si="2">F13*11537</f>
        <v>299931773.06</v>
      </c>
      <c r="H13" s="403">
        <f t="shared" si="0"/>
        <v>99758.85</v>
      </c>
      <c r="I13" s="196">
        <f t="shared" si="1"/>
        <v>1138660669.95</v>
      </c>
      <c r="J13" s="321"/>
      <c r="K13" s="423"/>
      <c r="L13" s="423"/>
      <c r="M13" s="425"/>
    </row>
    <row r="14" spans="2:13">
      <c r="B14" s="322">
        <v>41779</v>
      </c>
      <c r="C14" s="287" t="s">
        <v>478</v>
      </c>
      <c r="D14" s="398"/>
      <c r="E14" s="323"/>
      <c r="F14" s="404">
        <v>29490.65</v>
      </c>
      <c r="G14" s="320">
        <f t="shared" si="2"/>
        <v>340233629.05000001</v>
      </c>
      <c r="H14" s="403">
        <f t="shared" si="0"/>
        <v>129249.5</v>
      </c>
      <c r="I14" s="196">
        <f t="shared" si="1"/>
        <v>1478894299</v>
      </c>
      <c r="J14" s="321"/>
      <c r="K14" s="423"/>
      <c r="L14" s="423"/>
      <c r="M14" s="425"/>
    </row>
    <row r="15" spans="2:13">
      <c r="B15" s="322">
        <v>41789</v>
      </c>
      <c r="C15" s="287" t="s">
        <v>479</v>
      </c>
      <c r="D15" s="430"/>
      <c r="E15" s="214"/>
      <c r="F15" s="405">
        <v>45105.53</v>
      </c>
      <c r="G15" s="320">
        <f t="shared" si="2"/>
        <v>520382499.61000001</v>
      </c>
      <c r="H15" s="403">
        <f t="shared" si="0"/>
        <v>174355.03</v>
      </c>
      <c r="I15" s="196">
        <f t="shared" si="1"/>
        <v>1999276798.6100001</v>
      </c>
      <c r="J15" s="321"/>
      <c r="K15" s="423"/>
      <c r="L15" s="423"/>
      <c r="M15" s="425"/>
    </row>
    <row r="16" spans="2:13">
      <c r="B16" s="322">
        <v>41790</v>
      </c>
      <c r="C16" s="324" t="s">
        <v>480</v>
      </c>
      <c r="D16" s="400"/>
      <c r="E16" s="325"/>
      <c r="F16" s="400">
        <v>20724.32</v>
      </c>
      <c r="G16" s="320">
        <f t="shared" si="2"/>
        <v>239096479.84</v>
      </c>
      <c r="H16" s="403">
        <f t="shared" si="0"/>
        <v>195079.35</v>
      </c>
      <c r="I16" s="196">
        <f t="shared" si="1"/>
        <v>2238373278.4500003</v>
      </c>
      <c r="J16" s="321"/>
      <c r="K16" s="423"/>
      <c r="L16" s="423"/>
      <c r="M16" s="425"/>
    </row>
    <row r="17" spans="2:13">
      <c r="B17" s="322">
        <v>41766</v>
      </c>
      <c r="C17" s="324" t="s">
        <v>481</v>
      </c>
      <c r="D17" s="400"/>
      <c r="E17" s="325"/>
      <c r="F17" s="400">
        <v>31831.39</v>
      </c>
      <c r="G17" s="320">
        <f t="shared" si="2"/>
        <v>367238746.43000001</v>
      </c>
      <c r="H17" s="403">
        <f t="shared" si="0"/>
        <v>226910.74</v>
      </c>
      <c r="I17" s="196">
        <f t="shared" si="1"/>
        <v>2605612024.8800001</v>
      </c>
      <c r="J17" s="321"/>
      <c r="K17" s="423"/>
      <c r="L17" s="423"/>
      <c r="M17" s="425"/>
    </row>
    <row r="18" spans="2:13">
      <c r="B18" s="322">
        <v>41773</v>
      </c>
      <c r="C18" s="324" t="s">
        <v>482</v>
      </c>
      <c r="D18" s="400"/>
      <c r="E18" s="524"/>
      <c r="F18" s="400">
        <v>24087.03</v>
      </c>
      <c r="G18" s="320">
        <f t="shared" si="2"/>
        <v>277892065.11000001</v>
      </c>
      <c r="H18" s="403">
        <f t="shared" si="0"/>
        <v>250997.77</v>
      </c>
      <c r="I18" s="196">
        <f t="shared" si="1"/>
        <v>2883504089.9900002</v>
      </c>
      <c r="J18" s="321"/>
      <c r="K18" s="423"/>
      <c r="L18" s="423"/>
      <c r="M18" s="425"/>
    </row>
    <row r="19" spans="2:13">
      <c r="B19" s="322">
        <v>41779</v>
      </c>
      <c r="C19" s="324" t="s">
        <v>483</v>
      </c>
      <c r="D19" s="400"/>
      <c r="E19" s="524"/>
      <c r="F19" s="400">
        <v>21887.47</v>
      </c>
      <c r="G19" s="320">
        <f t="shared" si="2"/>
        <v>252515741.39000002</v>
      </c>
      <c r="H19" s="403">
        <f t="shared" si="0"/>
        <v>272885.24</v>
      </c>
      <c r="I19" s="196">
        <f t="shared" si="1"/>
        <v>3136019831.3800001</v>
      </c>
      <c r="J19" s="321"/>
      <c r="K19" s="423"/>
      <c r="L19" s="423"/>
      <c r="M19" s="425"/>
    </row>
    <row r="20" spans="2:13">
      <c r="B20" s="322">
        <v>41790</v>
      </c>
      <c r="C20" s="324" t="s">
        <v>484</v>
      </c>
      <c r="D20" s="400"/>
      <c r="E20" s="524"/>
      <c r="F20" s="400">
        <v>10097.61</v>
      </c>
      <c r="G20" s="320">
        <f t="shared" si="2"/>
        <v>116496126.57000001</v>
      </c>
      <c r="H20" s="410">
        <f t="shared" si="0"/>
        <v>282982.84999999998</v>
      </c>
      <c r="I20" s="409">
        <f t="shared" si="1"/>
        <v>3252515957.9500003</v>
      </c>
      <c r="J20" s="321"/>
      <c r="K20" s="423">
        <f>SUM(F12:F20)</f>
        <v>236166.78999999998</v>
      </c>
      <c r="L20" s="423">
        <f>SUM(G12:G20)</f>
        <v>2724656256.23</v>
      </c>
      <c r="M20" s="425"/>
    </row>
    <row r="21" spans="2:13">
      <c r="B21" s="322">
        <v>41796</v>
      </c>
      <c r="C21" s="324" t="s">
        <v>564</v>
      </c>
      <c r="D21" s="400"/>
      <c r="E21" s="524"/>
      <c r="F21" s="400">
        <v>74740.28</v>
      </c>
      <c r="G21" s="320">
        <f>F21*11740</f>
        <v>877450887.19999993</v>
      </c>
      <c r="H21" s="403">
        <f t="shared" ref="H21:I33" si="3">H20+F21-D21</f>
        <v>357723.13</v>
      </c>
      <c r="I21" s="196">
        <f t="shared" ref="I21:I26" si="4">I20+G21-E21</f>
        <v>4129966845.1500001</v>
      </c>
      <c r="J21" s="321"/>
      <c r="K21" s="423"/>
      <c r="L21" s="423"/>
      <c r="M21" s="425"/>
    </row>
    <row r="22" spans="2:13">
      <c r="B22" s="322">
        <v>41803</v>
      </c>
      <c r="C22" s="324" t="s">
        <v>565</v>
      </c>
      <c r="D22" s="400"/>
      <c r="E22" s="524"/>
      <c r="F22" s="400">
        <v>56989.21</v>
      </c>
      <c r="G22" s="320">
        <f>F22*11740</f>
        <v>669053325.39999998</v>
      </c>
      <c r="H22" s="403">
        <f t="shared" si="3"/>
        <v>414712.34</v>
      </c>
      <c r="I22" s="196">
        <f t="shared" si="4"/>
        <v>4799020170.5500002</v>
      </c>
      <c r="J22" s="321"/>
      <c r="K22" s="423"/>
      <c r="L22" s="423"/>
      <c r="M22" s="425"/>
    </row>
    <row r="23" spans="2:13">
      <c r="B23" s="322">
        <v>41803</v>
      </c>
      <c r="C23" s="324" t="s">
        <v>566</v>
      </c>
      <c r="D23" s="400"/>
      <c r="E23" s="524"/>
      <c r="F23" s="400">
        <v>3.72</v>
      </c>
      <c r="G23" s="320">
        <f>F23*11740</f>
        <v>43672.800000000003</v>
      </c>
      <c r="H23" s="403">
        <f t="shared" si="3"/>
        <v>414716.06</v>
      </c>
      <c r="I23" s="196">
        <f t="shared" si="4"/>
        <v>4799063843.3500004</v>
      </c>
      <c r="J23" s="321"/>
      <c r="K23" s="423"/>
      <c r="L23" s="423"/>
      <c r="M23" s="425"/>
    </row>
    <row r="24" spans="2:13">
      <c r="B24" s="322">
        <v>41810</v>
      </c>
      <c r="C24" s="324" t="s">
        <v>567</v>
      </c>
      <c r="D24" s="400"/>
      <c r="E24" s="524"/>
      <c r="F24" s="400">
        <v>37940.74</v>
      </c>
      <c r="G24" s="320">
        <f>F24*11740</f>
        <v>445424287.59999996</v>
      </c>
      <c r="H24" s="403">
        <f t="shared" si="3"/>
        <v>452656.8</v>
      </c>
      <c r="I24" s="196">
        <f t="shared" si="4"/>
        <v>5244488130.9500008</v>
      </c>
      <c r="J24" s="321"/>
      <c r="K24" s="423"/>
      <c r="L24" s="423"/>
      <c r="M24" s="425"/>
    </row>
    <row r="25" spans="2:13">
      <c r="B25" s="322">
        <v>41817</v>
      </c>
      <c r="C25" s="324" t="s">
        <v>568</v>
      </c>
      <c r="D25" s="400"/>
      <c r="E25" s="524"/>
      <c r="F25" s="400">
        <v>33609.370000000003</v>
      </c>
      <c r="G25" s="320">
        <f>F25*11740</f>
        <v>394574003.80000001</v>
      </c>
      <c r="H25" s="410">
        <f t="shared" si="3"/>
        <v>486266.17</v>
      </c>
      <c r="I25" s="409">
        <f t="shared" si="4"/>
        <v>5639062134.750001</v>
      </c>
      <c r="J25" s="321"/>
      <c r="K25" s="423">
        <f>SUM(F21:F25)</f>
        <v>203283.31999999998</v>
      </c>
      <c r="L25" s="423">
        <f>SUM(G21:G25)</f>
        <v>2386546176.7999997</v>
      </c>
      <c r="M25" s="425"/>
    </row>
    <row r="26" spans="2:13">
      <c r="B26" s="322">
        <v>41824</v>
      </c>
      <c r="C26" s="324" t="s">
        <v>634</v>
      </c>
      <c r="D26" s="400"/>
      <c r="E26" s="524"/>
      <c r="F26" s="400">
        <v>47451.91</v>
      </c>
      <c r="G26" s="320">
        <v>559837634.18000007</v>
      </c>
      <c r="H26" s="403">
        <f t="shared" si="3"/>
        <v>533718.07999999996</v>
      </c>
      <c r="I26" s="196">
        <f t="shared" si="4"/>
        <v>6198899768.9300013</v>
      </c>
      <c r="J26" s="321"/>
      <c r="K26" s="423"/>
      <c r="L26" s="423"/>
      <c r="M26" s="425"/>
    </row>
    <row r="27" spans="2:13">
      <c r="B27" s="322">
        <v>41824</v>
      </c>
      <c r="C27" s="324" t="s">
        <v>648</v>
      </c>
      <c r="D27" s="400"/>
      <c r="E27" s="524"/>
      <c r="F27" s="400">
        <v>161.84</v>
      </c>
      <c r="G27" s="320">
        <v>1909388.32</v>
      </c>
      <c r="H27" s="403">
        <f t="shared" si="3"/>
        <v>533879.91999999993</v>
      </c>
      <c r="I27" s="196">
        <f t="shared" si="3"/>
        <v>6200809157.250001</v>
      </c>
      <c r="J27" s="321"/>
      <c r="K27" s="423"/>
      <c r="L27" s="423"/>
      <c r="M27" s="425"/>
    </row>
    <row r="28" spans="2:13">
      <c r="B28" s="322">
        <v>41824</v>
      </c>
      <c r="C28" s="324" t="s">
        <v>635</v>
      </c>
      <c r="D28" s="400"/>
      <c r="E28" s="524"/>
      <c r="F28" s="400">
        <v>161.84</v>
      </c>
      <c r="G28" s="320">
        <v>1909388.32</v>
      </c>
      <c r="H28" s="403">
        <f t="shared" si="3"/>
        <v>534041.75999999989</v>
      </c>
      <c r="I28" s="196">
        <f t="shared" si="3"/>
        <v>6202718545.5700006</v>
      </c>
      <c r="J28" s="321"/>
      <c r="K28" s="423"/>
      <c r="L28" s="423"/>
      <c r="M28" s="425"/>
    </row>
    <row r="29" spans="2:13">
      <c r="B29" s="322">
        <v>41824</v>
      </c>
      <c r="C29" s="324" t="s">
        <v>636</v>
      </c>
      <c r="D29" s="400"/>
      <c r="E29" s="524"/>
      <c r="F29" s="400">
        <v>485.51</v>
      </c>
      <c r="G29" s="320">
        <v>5728046.9799999995</v>
      </c>
      <c r="H29" s="403">
        <f t="shared" si="3"/>
        <v>534527.2699999999</v>
      </c>
      <c r="I29" s="196">
        <f t="shared" si="3"/>
        <v>6208446592.5500002</v>
      </c>
      <c r="J29" s="321"/>
      <c r="K29" s="423"/>
      <c r="L29" s="423"/>
      <c r="M29" s="425"/>
    </row>
    <row r="30" spans="2:13">
      <c r="B30" s="322">
        <v>41830</v>
      </c>
      <c r="C30" s="324" t="s">
        <v>637</v>
      </c>
      <c r="D30" s="400"/>
      <c r="E30" s="524"/>
      <c r="F30" s="400">
        <v>28.22</v>
      </c>
      <c r="G30" s="320">
        <v>332939.56</v>
      </c>
      <c r="H30" s="403">
        <f>H29+F30-D30</f>
        <v>534555.48999999987</v>
      </c>
      <c r="I30" s="196">
        <f>I29+G30-E30</f>
        <v>6208779532.1100006</v>
      </c>
      <c r="J30" s="321"/>
      <c r="K30" s="423"/>
      <c r="L30" s="423"/>
      <c r="M30" s="425"/>
    </row>
    <row r="31" spans="2:13">
      <c r="B31" s="322">
        <v>41843</v>
      </c>
      <c r="C31" s="324" t="s">
        <v>638</v>
      </c>
      <c r="D31" s="400"/>
      <c r="E31" s="524"/>
      <c r="F31" s="400">
        <v>60633.7</v>
      </c>
      <c r="G31" s="320">
        <v>715356392.60000002</v>
      </c>
      <c r="H31" s="410">
        <f>H30+F31-D31</f>
        <v>595189.18999999983</v>
      </c>
      <c r="I31" s="409">
        <f>I30+G31-E31</f>
        <v>6924135924.710001</v>
      </c>
      <c r="J31" s="321"/>
      <c r="K31" s="423">
        <f>SUM(F26:F31)</f>
        <v>108923.01999999999</v>
      </c>
      <c r="L31" s="423">
        <f>SUM(G26:G31)</f>
        <v>1285073789.96</v>
      </c>
      <c r="M31" s="425"/>
    </row>
    <row r="32" spans="2:13">
      <c r="B32" s="322">
        <v>41852</v>
      </c>
      <c r="C32" s="324" t="s">
        <v>720</v>
      </c>
      <c r="D32" s="400"/>
      <c r="E32" s="524"/>
      <c r="F32" s="400">
        <v>44917.120000000003</v>
      </c>
      <c r="G32" s="320">
        <v>520634337.92000002</v>
      </c>
      <c r="H32" s="403">
        <f t="shared" si="3"/>
        <v>640106.30999999982</v>
      </c>
      <c r="I32" s="196">
        <f t="shared" si="3"/>
        <v>7444770262.6300011</v>
      </c>
      <c r="J32" s="321"/>
      <c r="K32" s="423"/>
      <c r="L32" s="423"/>
      <c r="M32" s="425"/>
    </row>
    <row r="33" spans="2:13">
      <c r="B33" s="322">
        <v>41859</v>
      </c>
      <c r="C33" s="324" t="s">
        <v>721</v>
      </c>
      <c r="D33" s="400"/>
      <c r="E33" s="524"/>
      <c r="F33" s="400">
        <v>68433.75</v>
      </c>
      <c r="G33" s="320">
        <v>793215596.25</v>
      </c>
      <c r="H33" s="403">
        <f t="shared" si="3"/>
        <v>708540.05999999982</v>
      </c>
      <c r="I33" s="196">
        <f t="shared" si="3"/>
        <v>8237985858.8800011</v>
      </c>
      <c r="J33" s="321"/>
      <c r="K33" s="423"/>
      <c r="L33" s="423"/>
      <c r="M33" s="425"/>
    </row>
    <row r="34" spans="2:13">
      <c r="B34" s="322">
        <v>41860</v>
      </c>
      <c r="C34" s="324" t="s">
        <v>722</v>
      </c>
      <c r="D34" s="400"/>
      <c r="E34" s="524"/>
      <c r="F34" s="400">
        <v>1080.6400000000001</v>
      </c>
      <c r="G34" s="320">
        <v>12525698.240000002</v>
      </c>
      <c r="H34" s="403">
        <f t="shared" ref="H34:I37" si="5">H33+F34-D34</f>
        <v>709620.69999999984</v>
      </c>
      <c r="I34" s="196">
        <f t="shared" si="5"/>
        <v>8250511557.1200008</v>
      </c>
      <c r="J34" s="321"/>
      <c r="K34" s="423"/>
      <c r="L34" s="423"/>
      <c r="M34" s="425"/>
    </row>
    <row r="35" spans="2:13">
      <c r="B35" s="322">
        <v>41862</v>
      </c>
      <c r="C35" s="324" t="s">
        <v>723</v>
      </c>
      <c r="D35" s="400"/>
      <c r="E35" s="524"/>
      <c r="F35" s="400">
        <v>174.3</v>
      </c>
      <c r="G35" s="320">
        <v>2020311.3</v>
      </c>
      <c r="H35" s="403">
        <f t="shared" si="5"/>
        <v>709794.99999999988</v>
      </c>
      <c r="I35" s="196">
        <f t="shared" si="5"/>
        <v>8252531868.420001</v>
      </c>
      <c r="J35" s="321"/>
      <c r="K35" s="423"/>
      <c r="L35" s="423"/>
      <c r="M35" s="425"/>
    </row>
    <row r="36" spans="2:13">
      <c r="B36" s="322">
        <v>41866</v>
      </c>
      <c r="C36" s="324" t="s">
        <v>645</v>
      </c>
      <c r="D36" s="400"/>
      <c r="E36" s="524"/>
      <c r="F36" s="400">
        <v>12160.98</v>
      </c>
      <c r="G36" s="320">
        <v>140957919.18000001</v>
      </c>
      <c r="H36" s="403">
        <f t="shared" si="5"/>
        <v>721955.97999999986</v>
      </c>
      <c r="I36" s="196">
        <f t="shared" si="5"/>
        <v>8393489787.6000013</v>
      </c>
      <c r="J36" s="321"/>
      <c r="K36" s="423"/>
      <c r="L36" s="423"/>
      <c r="M36" s="425"/>
    </row>
    <row r="37" spans="2:13">
      <c r="B37" s="322">
        <v>41873</v>
      </c>
      <c r="C37" s="324" t="s">
        <v>724</v>
      </c>
      <c r="D37" s="400"/>
      <c r="E37" s="524"/>
      <c r="F37" s="400">
        <v>21845.19</v>
      </c>
      <c r="G37" s="320">
        <v>253207597.28999999</v>
      </c>
      <c r="H37" s="403">
        <f t="shared" si="5"/>
        <v>743801.16999999981</v>
      </c>
      <c r="I37" s="196">
        <f t="shared" si="5"/>
        <v>8646697384.8900013</v>
      </c>
      <c r="J37" s="321"/>
      <c r="K37" s="423"/>
      <c r="L37" s="423"/>
      <c r="M37" s="425"/>
    </row>
    <row r="38" spans="2:13">
      <c r="B38" s="322">
        <v>41880</v>
      </c>
      <c r="C38" s="324" t="s">
        <v>725</v>
      </c>
      <c r="D38" s="400"/>
      <c r="E38" s="524"/>
      <c r="F38" s="400">
        <v>47138.51</v>
      </c>
      <c r="G38" s="320">
        <v>546382469.40999997</v>
      </c>
      <c r="H38" s="410">
        <f t="shared" ref="H38:H49" si="6">H37+F38-D38</f>
        <v>790939.67999999982</v>
      </c>
      <c r="I38" s="409">
        <f t="shared" ref="I38:I49" si="7">I37+G38-E38</f>
        <v>9193079854.3000011</v>
      </c>
      <c r="J38" s="321"/>
      <c r="K38" s="423">
        <f>SUM(F32:F38)</f>
        <v>195750.49</v>
      </c>
      <c r="L38" s="423">
        <f>SUM(G32:G38)</f>
        <v>2268943929.5900002</v>
      </c>
      <c r="M38" s="425"/>
    </row>
    <row r="39" spans="2:13">
      <c r="B39" s="322"/>
      <c r="C39" s="324"/>
      <c r="D39" s="400"/>
      <c r="E39" s="524"/>
      <c r="F39" s="400"/>
      <c r="G39" s="320"/>
      <c r="H39" s="403">
        <f t="shared" si="6"/>
        <v>790939.67999999982</v>
      </c>
      <c r="I39" s="196">
        <f t="shared" si="7"/>
        <v>9193079854.3000011</v>
      </c>
      <c r="J39" s="321"/>
      <c r="K39" s="423"/>
      <c r="L39" s="423"/>
      <c r="M39" s="425"/>
    </row>
    <row r="40" spans="2:13">
      <c r="B40" s="322"/>
      <c r="C40" s="324"/>
      <c r="D40" s="400"/>
      <c r="E40" s="524"/>
      <c r="F40" s="400"/>
      <c r="G40" s="320"/>
      <c r="H40" s="403">
        <f t="shared" si="6"/>
        <v>790939.67999999982</v>
      </c>
      <c r="I40" s="196">
        <f t="shared" si="7"/>
        <v>9193079854.3000011</v>
      </c>
      <c r="J40" s="321"/>
      <c r="K40" s="423"/>
      <c r="L40" s="423"/>
      <c r="M40" s="425"/>
    </row>
    <row r="41" spans="2:13">
      <c r="B41" s="322"/>
      <c r="C41" s="324"/>
      <c r="D41" s="400"/>
      <c r="E41" s="524"/>
      <c r="F41" s="400"/>
      <c r="G41" s="320"/>
      <c r="H41" s="403">
        <f t="shared" si="6"/>
        <v>790939.67999999982</v>
      </c>
      <c r="I41" s="196">
        <f t="shared" si="7"/>
        <v>9193079854.3000011</v>
      </c>
      <c r="J41" s="321"/>
      <c r="K41" s="423"/>
      <c r="L41" s="423"/>
      <c r="M41" s="425"/>
    </row>
    <row r="42" spans="2:13">
      <c r="B42" s="322"/>
      <c r="C42" s="324"/>
      <c r="D42" s="400"/>
      <c r="E42" s="524"/>
      <c r="F42" s="400"/>
      <c r="G42" s="320"/>
      <c r="H42" s="403">
        <f t="shared" si="6"/>
        <v>790939.67999999982</v>
      </c>
      <c r="I42" s="196">
        <f t="shared" si="7"/>
        <v>9193079854.3000011</v>
      </c>
      <c r="J42" s="321"/>
      <c r="K42" s="423"/>
      <c r="L42" s="423"/>
      <c r="M42" s="425"/>
    </row>
    <row r="43" spans="2:13">
      <c r="B43" s="322"/>
      <c r="C43" s="324"/>
      <c r="D43" s="400"/>
      <c r="E43" s="524"/>
      <c r="F43" s="400"/>
      <c r="G43" s="320"/>
      <c r="H43" s="403">
        <f t="shared" si="6"/>
        <v>790939.67999999982</v>
      </c>
      <c r="I43" s="196">
        <f t="shared" si="7"/>
        <v>9193079854.3000011</v>
      </c>
      <c r="J43" s="321"/>
      <c r="K43" s="423"/>
      <c r="L43" s="423"/>
      <c r="M43" s="425"/>
    </row>
    <row r="44" spans="2:13">
      <c r="B44" s="322"/>
      <c r="C44" s="324"/>
      <c r="D44" s="400"/>
      <c r="E44" s="524"/>
      <c r="F44" s="400"/>
      <c r="G44" s="320"/>
      <c r="H44" s="403">
        <f t="shared" si="6"/>
        <v>790939.67999999982</v>
      </c>
      <c r="I44" s="196">
        <f t="shared" si="7"/>
        <v>9193079854.3000011</v>
      </c>
      <c r="J44" s="321"/>
      <c r="K44" s="423"/>
      <c r="L44" s="423"/>
      <c r="M44" s="425"/>
    </row>
    <row r="45" spans="2:13">
      <c r="B45" s="322"/>
      <c r="C45" s="324"/>
      <c r="D45" s="400"/>
      <c r="E45" s="524"/>
      <c r="F45" s="400"/>
      <c r="G45" s="320"/>
      <c r="H45" s="403">
        <f t="shared" si="6"/>
        <v>790939.67999999982</v>
      </c>
      <c r="I45" s="196">
        <f t="shared" si="7"/>
        <v>9193079854.3000011</v>
      </c>
      <c r="J45" s="321"/>
      <c r="K45" s="423"/>
      <c r="L45" s="423"/>
      <c r="M45" s="425"/>
    </row>
    <row r="46" spans="2:13">
      <c r="B46" s="322"/>
      <c r="C46" s="324"/>
      <c r="D46" s="400"/>
      <c r="E46" s="524"/>
      <c r="F46" s="400"/>
      <c r="G46" s="320"/>
      <c r="H46" s="403">
        <f t="shared" si="6"/>
        <v>790939.67999999982</v>
      </c>
      <c r="I46" s="196">
        <f t="shared" si="7"/>
        <v>9193079854.3000011</v>
      </c>
      <c r="J46" s="321"/>
      <c r="K46" s="423"/>
      <c r="L46" s="423"/>
      <c r="M46" s="425"/>
    </row>
    <row r="47" spans="2:13">
      <c r="B47" s="322"/>
      <c r="C47" s="324"/>
      <c r="D47" s="400"/>
      <c r="E47" s="524"/>
      <c r="F47" s="400"/>
      <c r="G47" s="320"/>
      <c r="H47" s="403">
        <f t="shared" si="6"/>
        <v>790939.67999999982</v>
      </c>
      <c r="I47" s="196">
        <f t="shared" si="7"/>
        <v>9193079854.3000011</v>
      </c>
      <c r="J47" s="321"/>
      <c r="K47" s="423"/>
      <c r="L47" s="423"/>
      <c r="M47" s="425"/>
    </row>
    <row r="48" spans="2:13">
      <c r="B48" s="322"/>
      <c r="C48" s="324"/>
      <c r="D48" s="400"/>
      <c r="E48" s="524"/>
      <c r="F48" s="400"/>
      <c r="G48" s="320"/>
      <c r="H48" s="403">
        <f t="shared" si="6"/>
        <v>790939.67999999982</v>
      </c>
      <c r="I48" s="196">
        <f t="shared" si="7"/>
        <v>9193079854.3000011</v>
      </c>
      <c r="J48" s="321"/>
      <c r="K48" s="423"/>
      <c r="L48" s="423"/>
      <c r="M48" s="425"/>
    </row>
    <row r="49" spans="2:13">
      <c r="B49" s="322"/>
      <c r="C49" s="324"/>
      <c r="D49" s="400"/>
      <c r="E49" s="524"/>
      <c r="F49" s="400"/>
      <c r="G49" s="320"/>
      <c r="H49" s="403">
        <f t="shared" si="6"/>
        <v>790939.67999999982</v>
      </c>
      <c r="I49" s="196">
        <f t="shared" si="7"/>
        <v>9193079854.3000011</v>
      </c>
      <c r="J49" s="321"/>
      <c r="K49" s="423"/>
      <c r="L49" s="423"/>
      <c r="M49" s="425"/>
    </row>
    <row r="50" spans="2:13">
      <c r="B50" s="322"/>
      <c r="C50" s="324"/>
      <c r="D50" s="400"/>
      <c r="E50" s="524"/>
      <c r="F50" s="400"/>
      <c r="G50" s="320"/>
      <c r="H50" s="525"/>
      <c r="I50" s="196"/>
      <c r="J50" s="321"/>
      <c r="K50" s="423"/>
      <c r="L50" s="423"/>
      <c r="M50" s="425"/>
    </row>
    <row r="51" spans="2:13">
      <c r="B51" s="322"/>
      <c r="C51" s="324"/>
      <c r="D51" s="400"/>
      <c r="E51" s="524"/>
      <c r="F51" s="400"/>
      <c r="G51" s="320"/>
      <c r="H51" s="525"/>
      <c r="I51" s="196"/>
      <c r="J51" s="321"/>
      <c r="K51" s="423"/>
      <c r="L51" s="423"/>
      <c r="M51" s="425"/>
    </row>
    <row r="52" spans="2:13">
      <c r="B52" s="322"/>
      <c r="C52" s="324"/>
      <c r="D52" s="400"/>
      <c r="E52" s="524"/>
      <c r="F52" s="400"/>
      <c r="G52" s="320"/>
      <c r="H52" s="525"/>
      <c r="I52" s="196"/>
      <c r="J52" s="321"/>
      <c r="K52" s="423"/>
      <c r="L52" s="423"/>
      <c r="M52" s="425"/>
    </row>
    <row r="53" spans="2:13">
      <c r="B53" s="322"/>
      <c r="C53" s="324"/>
      <c r="D53" s="400"/>
      <c r="E53" s="524"/>
      <c r="F53" s="400"/>
      <c r="G53" s="320"/>
      <c r="H53" s="525"/>
      <c r="I53" s="196"/>
      <c r="J53" s="321"/>
      <c r="K53" s="423"/>
      <c r="L53" s="423"/>
      <c r="M53" s="425"/>
    </row>
    <row r="54" spans="2:13">
      <c r="B54" s="322"/>
      <c r="C54" s="324"/>
      <c r="D54" s="400"/>
      <c r="E54" s="524"/>
      <c r="F54" s="400"/>
      <c r="G54" s="320"/>
      <c r="H54" s="525"/>
      <c r="I54" s="196"/>
      <c r="J54" s="321"/>
      <c r="K54" s="423"/>
      <c r="L54" s="423"/>
      <c r="M54" s="425"/>
    </row>
    <row r="55" spans="2:13">
      <c r="B55" s="322"/>
      <c r="C55" s="324"/>
      <c r="D55" s="400"/>
      <c r="E55" s="524"/>
      <c r="F55" s="400"/>
      <c r="G55" s="320"/>
      <c r="H55" s="525"/>
      <c r="I55" s="196"/>
      <c r="J55" s="321"/>
      <c r="K55" s="423"/>
      <c r="L55" s="423"/>
      <c r="M55" s="425"/>
    </row>
    <row r="56" spans="2:13">
      <c r="B56" s="322"/>
      <c r="C56" s="324"/>
      <c r="D56" s="400"/>
      <c r="E56" s="524"/>
      <c r="F56" s="400"/>
      <c r="G56" s="320"/>
      <c r="H56" s="525"/>
      <c r="I56" s="196"/>
      <c r="J56" s="321"/>
      <c r="K56" s="423"/>
      <c r="L56" s="423"/>
      <c r="M56" s="425"/>
    </row>
    <row r="57" spans="2:13">
      <c r="B57" s="322"/>
      <c r="C57" s="324"/>
      <c r="D57" s="400"/>
      <c r="E57" s="524"/>
      <c r="F57" s="400"/>
      <c r="G57" s="320"/>
      <c r="H57" s="525"/>
      <c r="I57" s="196"/>
      <c r="J57" s="321"/>
      <c r="K57" s="423"/>
      <c r="L57" s="423"/>
      <c r="M57" s="425"/>
    </row>
    <row r="58" spans="2:13">
      <c r="B58" s="322"/>
      <c r="C58" s="324"/>
      <c r="D58" s="400"/>
      <c r="E58" s="524"/>
      <c r="F58" s="400"/>
      <c r="G58" s="320"/>
      <c r="H58" s="525"/>
      <c r="I58" s="196"/>
      <c r="J58" s="321"/>
      <c r="K58" s="423"/>
      <c r="L58" s="423"/>
      <c r="M58" s="425"/>
    </row>
    <row r="59" spans="2:13">
      <c r="B59" s="322"/>
      <c r="C59" s="324"/>
      <c r="D59" s="400"/>
      <c r="E59" s="524"/>
      <c r="F59" s="400"/>
      <c r="G59" s="320"/>
      <c r="H59" s="525"/>
      <c r="I59" s="196"/>
      <c r="J59" s="321"/>
      <c r="K59" s="423"/>
      <c r="L59" s="423"/>
      <c r="M59" s="425"/>
    </row>
    <row r="60" spans="2:13">
      <c r="B60" s="322"/>
      <c r="C60" s="324"/>
      <c r="D60" s="400"/>
      <c r="E60" s="524"/>
      <c r="F60" s="400"/>
      <c r="G60" s="320"/>
      <c r="H60" s="525"/>
      <c r="I60" s="196"/>
      <c r="J60" s="321"/>
      <c r="K60" s="423"/>
      <c r="L60" s="423"/>
      <c r="M60" s="425"/>
    </row>
    <row r="61" spans="2:13">
      <c r="B61" s="322"/>
      <c r="C61" s="324"/>
      <c r="D61" s="400"/>
      <c r="E61" s="524"/>
      <c r="F61" s="400"/>
      <c r="G61" s="320"/>
      <c r="H61" s="525"/>
      <c r="I61" s="196"/>
      <c r="J61" s="321"/>
      <c r="K61" s="423"/>
      <c r="L61" s="423"/>
      <c r="M61" s="425"/>
    </row>
    <row r="62" spans="2:13">
      <c r="B62" s="322"/>
      <c r="C62" s="324"/>
      <c r="D62" s="400"/>
      <c r="E62" s="524"/>
      <c r="F62" s="400"/>
      <c r="G62" s="320"/>
      <c r="H62" s="525"/>
      <c r="I62" s="196"/>
      <c r="J62" s="321"/>
      <c r="K62" s="423"/>
      <c r="L62" s="423"/>
      <c r="M62" s="425"/>
    </row>
    <row r="63" spans="2:13">
      <c r="B63" s="322"/>
      <c r="C63" s="324"/>
      <c r="D63" s="400"/>
      <c r="E63" s="524"/>
      <c r="F63" s="400"/>
      <c r="G63" s="320"/>
      <c r="H63" s="525"/>
      <c r="I63" s="196"/>
      <c r="J63" s="321"/>
      <c r="K63" s="423"/>
      <c r="L63" s="423"/>
      <c r="M63" s="425"/>
    </row>
    <row r="64" spans="2:13">
      <c r="B64" s="322"/>
      <c r="C64" s="324"/>
      <c r="D64" s="400"/>
      <c r="E64" s="524"/>
      <c r="F64" s="400"/>
      <c r="G64" s="320"/>
      <c r="H64" s="525"/>
      <c r="I64" s="196"/>
      <c r="J64" s="321"/>
      <c r="K64" s="423"/>
      <c r="L64" s="423"/>
      <c r="M64" s="425"/>
    </row>
    <row r="65" spans="2:13">
      <c r="B65" s="322"/>
      <c r="C65" s="324"/>
      <c r="D65" s="400"/>
      <c r="E65" s="524"/>
      <c r="F65" s="400"/>
      <c r="G65" s="320"/>
      <c r="H65" s="525"/>
      <c r="I65" s="196"/>
      <c r="J65" s="321"/>
      <c r="K65" s="423"/>
      <c r="L65" s="423"/>
      <c r="M65" s="425"/>
    </row>
    <row r="66" spans="2:13">
      <c r="B66" s="322"/>
      <c r="C66" s="324"/>
      <c r="D66" s="400"/>
      <c r="E66" s="524"/>
      <c r="F66" s="400"/>
      <c r="G66" s="320"/>
      <c r="H66" s="525"/>
      <c r="I66" s="196"/>
      <c r="J66" s="321"/>
      <c r="K66" s="423"/>
      <c r="L66" s="423"/>
      <c r="M66" s="425"/>
    </row>
    <row r="67" spans="2:13">
      <c r="B67" s="322"/>
      <c r="C67" s="324"/>
      <c r="D67" s="400"/>
      <c r="E67" s="524"/>
      <c r="F67" s="400"/>
      <c r="G67" s="320"/>
      <c r="H67" s="525"/>
      <c r="I67" s="196"/>
      <c r="J67" s="321"/>
      <c r="K67" s="423"/>
      <c r="L67" s="423"/>
      <c r="M67" s="425"/>
    </row>
    <row r="68" spans="2:13">
      <c r="B68" s="322"/>
      <c r="C68" s="324"/>
      <c r="D68" s="400"/>
      <c r="E68" s="524"/>
      <c r="F68" s="400"/>
      <c r="G68" s="320"/>
      <c r="H68" s="525"/>
      <c r="I68" s="196"/>
      <c r="J68" s="321"/>
      <c r="K68" s="423"/>
      <c r="L68" s="423"/>
      <c r="M68" s="425"/>
    </row>
    <row r="69" spans="2:13">
      <c r="B69" s="322"/>
      <c r="C69" s="324"/>
      <c r="D69" s="400"/>
      <c r="E69" s="524"/>
      <c r="F69" s="400"/>
      <c r="G69" s="320"/>
      <c r="H69" s="525"/>
      <c r="I69" s="196"/>
      <c r="J69" s="321"/>
      <c r="K69" s="423"/>
      <c r="L69" s="423"/>
      <c r="M69" s="425"/>
    </row>
    <row r="70" spans="2:13">
      <c r="B70" s="322"/>
      <c r="C70" s="324"/>
      <c r="D70" s="400"/>
      <c r="E70" s="524"/>
      <c r="F70" s="400"/>
      <c r="G70" s="320"/>
      <c r="H70" s="525"/>
      <c r="I70" s="196"/>
      <c r="J70" s="321"/>
      <c r="K70" s="423"/>
      <c r="L70" s="423"/>
      <c r="M70" s="425"/>
    </row>
    <row r="71" spans="2:13">
      <c r="B71" s="322"/>
      <c r="C71" s="324"/>
      <c r="D71" s="400"/>
      <c r="E71" s="524"/>
      <c r="F71" s="400"/>
      <c r="G71" s="320"/>
      <c r="H71" s="525"/>
      <c r="I71" s="196"/>
      <c r="J71" s="321"/>
      <c r="K71" s="423"/>
      <c r="L71" s="423"/>
      <c r="M71" s="425"/>
    </row>
    <row r="72" spans="2:13">
      <c r="B72" s="322"/>
      <c r="C72" s="324"/>
      <c r="D72" s="400"/>
      <c r="E72" s="524"/>
      <c r="F72" s="400"/>
      <c r="G72" s="320"/>
      <c r="H72" s="525"/>
      <c r="I72" s="196"/>
      <c r="J72" s="321"/>
      <c r="K72" s="423"/>
      <c r="L72" s="423"/>
      <c r="M72" s="425"/>
    </row>
    <row r="73" spans="2:13">
      <c r="B73" s="322"/>
      <c r="C73" s="324"/>
      <c r="D73" s="400"/>
      <c r="E73" s="524"/>
      <c r="F73" s="400"/>
      <c r="G73" s="320"/>
      <c r="H73" s="525"/>
      <c r="I73" s="196"/>
      <c r="J73" s="321"/>
      <c r="K73" s="423"/>
      <c r="L73" s="423"/>
      <c r="M73" s="425"/>
    </row>
    <row r="74" spans="2:13">
      <c r="B74" s="322"/>
      <c r="C74" s="324"/>
      <c r="D74" s="400"/>
      <c r="E74" s="524"/>
      <c r="F74" s="400"/>
      <c r="G74" s="320"/>
      <c r="H74" s="525"/>
      <c r="I74" s="196"/>
      <c r="J74" s="321"/>
      <c r="K74" s="423"/>
      <c r="L74" s="423"/>
      <c r="M74" s="425"/>
    </row>
    <row r="75" spans="2:13">
      <c r="B75" s="322"/>
      <c r="C75" s="324"/>
      <c r="D75" s="400"/>
      <c r="E75" s="524"/>
      <c r="F75" s="400"/>
      <c r="G75" s="320"/>
      <c r="H75" s="525"/>
      <c r="I75" s="196"/>
      <c r="J75" s="321"/>
      <c r="K75" s="423"/>
      <c r="L75" s="423"/>
      <c r="M75" s="425"/>
    </row>
    <row r="76" spans="2:13">
      <c r="B76" s="322"/>
      <c r="C76" s="324"/>
      <c r="D76" s="400"/>
      <c r="E76" s="524"/>
      <c r="F76" s="400"/>
      <c r="G76" s="320"/>
      <c r="H76" s="525"/>
      <c r="I76" s="196"/>
      <c r="J76" s="321"/>
      <c r="K76" s="423"/>
      <c r="L76" s="423"/>
      <c r="M76" s="425"/>
    </row>
    <row r="77" spans="2:13">
      <c r="B77" s="322"/>
      <c r="C77" s="324"/>
      <c r="D77" s="400"/>
      <c r="E77" s="524"/>
      <c r="F77" s="400"/>
      <c r="G77" s="320"/>
      <c r="H77" s="525"/>
      <c r="I77" s="196"/>
      <c r="J77" s="321"/>
      <c r="K77" s="423"/>
      <c r="L77" s="423"/>
      <c r="M77" s="425"/>
    </row>
    <row r="78" spans="2:13">
      <c r="B78" s="322"/>
      <c r="C78" s="324"/>
      <c r="D78" s="400"/>
      <c r="E78" s="524"/>
      <c r="F78" s="400"/>
      <c r="G78" s="320"/>
      <c r="H78" s="525"/>
      <c r="I78" s="196"/>
      <c r="J78" s="321"/>
      <c r="K78" s="423"/>
      <c r="L78" s="423"/>
      <c r="M78" s="425"/>
    </row>
    <row r="79" spans="2:13">
      <c r="B79" s="322"/>
      <c r="C79" s="324"/>
      <c r="D79" s="400"/>
      <c r="E79" s="524"/>
      <c r="F79" s="400"/>
      <c r="G79" s="320"/>
      <c r="H79" s="525"/>
      <c r="I79" s="196"/>
      <c r="J79" s="321"/>
      <c r="K79" s="423"/>
      <c r="L79" s="423"/>
      <c r="M79" s="425"/>
    </row>
    <row r="80" spans="2:13">
      <c r="B80" s="322"/>
      <c r="C80" s="324"/>
      <c r="D80" s="400"/>
      <c r="E80" s="524"/>
      <c r="F80" s="400"/>
      <c r="G80" s="320"/>
      <c r="H80" s="525"/>
      <c r="I80" s="196"/>
      <c r="J80" s="321"/>
      <c r="K80" s="423"/>
      <c r="L80" s="423"/>
      <c r="M80" s="425"/>
    </row>
    <row r="81" spans="2:13">
      <c r="B81" s="322"/>
      <c r="C81" s="324"/>
      <c r="D81" s="400"/>
      <c r="E81" s="524"/>
      <c r="F81" s="400"/>
      <c r="G81" s="320"/>
      <c r="H81" s="525"/>
      <c r="I81" s="196"/>
      <c r="J81" s="321"/>
      <c r="K81" s="423"/>
      <c r="L81" s="423"/>
      <c r="M81" s="425"/>
    </row>
    <row r="82" spans="2:13">
      <c r="B82" s="322"/>
      <c r="C82" s="324"/>
      <c r="D82" s="400"/>
      <c r="E82" s="524"/>
      <c r="F82" s="400"/>
      <c r="G82" s="320"/>
      <c r="H82" s="525"/>
      <c r="I82" s="196"/>
      <c r="J82" s="321"/>
      <c r="K82" s="423"/>
      <c r="L82" s="423"/>
      <c r="M82" s="425"/>
    </row>
    <row r="83" spans="2:13">
      <c r="B83" s="322"/>
      <c r="C83" s="324"/>
      <c r="D83" s="400"/>
      <c r="E83" s="524"/>
      <c r="F83" s="400"/>
      <c r="G83" s="320"/>
      <c r="H83" s="525"/>
      <c r="I83" s="196"/>
      <c r="J83" s="321"/>
      <c r="K83" s="423"/>
      <c r="L83" s="423"/>
      <c r="M83" s="425"/>
    </row>
    <row r="84" spans="2:13">
      <c r="B84" s="322"/>
      <c r="C84" s="324"/>
      <c r="D84" s="400"/>
      <c r="E84" s="524"/>
      <c r="F84" s="400"/>
      <c r="G84" s="320"/>
      <c r="H84" s="525"/>
      <c r="I84" s="196"/>
      <c r="J84" s="321"/>
      <c r="K84" s="423"/>
      <c r="L84" s="423"/>
      <c r="M84" s="425"/>
    </row>
    <row r="85" spans="2:13">
      <c r="B85" s="322"/>
      <c r="C85" s="324"/>
      <c r="D85" s="400"/>
      <c r="E85" s="524"/>
      <c r="F85" s="400"/>
      <c r="G85" s="320"/>
      <c r="H85" s="525"/>
      <c r="I85" s="196"/>
      <c r="J85" s="321"/>
      <c r="K85" s="423"/>
      <c r="L85" s="423"/>
      <c r="M85" s="425"/>
    </row>
    <row r="86" spans="2:13">
      <c r="B86" s="322"/>
      <c r="C86" s="324"/>
      <c r="D86" s="400"/>
      <c r="E86" s="524"/>
      <c r="F86" s="400"/>
      <c r="G86" s="320"/>
      <c r="H86" s="525"/>
      <c r="I86" s="196"/>
      <c r="J86" s="321"/>
      <c r="K86" s="423"/>
      <c r="L86" s="423"/>
      <c r="M86" s="425"/>
    </row>
    <row r="87" spans="2:13">
      <c r="B87" s="322"/>
      <c r="C87" s="324"/>
      <c r="D87" s="400"/>
      <c r="E87" s="524"/>
      <c r="F87" s="400"/>
      <c r="G87" s="320"/>
      <c r="H87" s="525"/>
      <c r="I87" s="196"/>
      <c r="J87" s="321"/>
      <c r="K87" s="423"/>
      <c r="L87" s="423"/>
      <c r="M87" s="425"/>
    </row>
    <row r="88" spans="2:13">
      <c r="B88" s="322"/>
      <c r="C88" s="324"/>
      <c r="D88" s="400"/>
      <c r="E88" s="524"/>
      <c r="F88" s="400"/>
      <c r="G88" s="320"/>
      <c r="H88" s="525"/>
      <c r="I88" s="196"/>
      <c r="J88" s="321"/>
      <c r="K88" s="423"/>
      <c r="L88" s="423"/>
      <c r="M88" s="425"/>
    </row>
    <row r="89" spans="2:13">
      <c r="B89" s="322"/>
      <c r="C89" s="324"/>
      <c r="D89" s="400"/>
      <c r="E89" s="524"/>
      <c r="F89" s="400"/>
      <c r="G89" s="320"/>
      <c r="H89" s="525"/>
      <c r="I89" s="196"/>
      <c r="J89" s="321"/>
      <c r="K89" s="423"/>
      <c r="L89" s="423"/>
      <c r="M89" s="425"/>
    </row>
    <row r="90" spans="2:13">
      <c r="B90" s="322"/>
      <c r="C90" s="324"/>
      <c r="D90" s="400"/>
      <c r="E90" s="524"/>
      <c r="F90" s="400"/>
      <c r="G90" s="320"/>
      <c r="H90" s="525"/>
      <c r="I90" s="196"/>
      <c r="J90" s="321"/>
      <c r="K90" s="423"/>
      <c r="L90" s="423"/>
      <c r="M90" s="425"/>
    </row>
    <row r="91" spans="2:13">
      <c r="B91" s="322"/>
      <c r="C91" s="324"/>
      <c r="D91" s="400"/>
      <c r="E91" s="524"/>
      <c r="F91" s="400"/>
      <c r="G91" s="320"/>
      <c r="H91" s="525"/>
      <c r="I91" s="196"/>
      <c r="J91" s="321"/>
      <c r="K91" s="423"/>
      <c r="L91" s="423"/>
      <c r="M91" s="425"/>
    </row>
    <row r="92" spans="2:13" ht="15.75" thickBot="1">
      <c r="B92" s="303"/>
      <c r="C92" s="304"/>
      <c r="D92" s="431"/>
      <c r="E92" s="64"/>
      <c r="F92" s="483"/>
      <c r="G92" s="483"/>
      <c r="H92" s="401"/>
      <c r="I92" s="484"/>
      <c r="J92" s="321"/>
      <c r="K92" s="423"/>
      <c r="L92" s="423"/>
      <c r="M92" s="425"/>
    </row>
    <row r="93" spans="2:13" ht="15.75" thickTop="1"/>
  </sheetData>
  <mergeCells count="7">
    <mergeCell ref="M4:M5"/>
    <mergeCell ref="B1:I1"/>
    <mergeCell ref="B2:I2"/>
    <mergeCell ref="D4:E4"/>
    <mergeCell ref="F4:G4"/>
    <mergeCell ref="H4:I4"/>
    <mergeCell ref="K4:K5"/>
  </mergeCells>
  <pageMargins left="0.32" right="0.16" top="0.39370078740157483" bottom="0.62992125984251968" header="0.31496062992125984" footer="0.51181102362204722"/>
  <pageSetup paperSize="9" scale="90" orientation="portrait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B1:J297"/>
  <sheetViews>
    <sheetView tabSelected="1" zoomScale="90" zoomScaleNormal="90" workbookViewId="0">
      <pane xSplit="2" ySplit="5" topLeftCell="C146" activePane="bottomRight" state="frozen"/>
      <selection pane="topRight" activeCell="C1" sqref="C1"/>
      <selection pane="bottomLeft" activeCell="A6" sqref="A6"/>
      <selection pane="bottomRight" activeCell="E157" sqref="E157"/>
    </sheetView>
  </sheetViews>
  <sheetFormatPr defaultRowHeight="12.75"/>
  <cols>
    <col min="1" max="1" width="3.7109375" style="9" customWidth="1"/>
    <col min="2" max="2" width="11.140625" style="157" customWidth="1"/>
    <col min="3" max="3" width="15.5703125" style="11" bestFit="1" customWidth="1"/>
    <col min="4" max="4" width="26" style="11" customWidth="1"/>
    <col min="5" max="5" width="15.5703125" style="75" customWidth="1"/>
    <col min="6" max="6" width="14.42578125" style="31" customWidth="1"/>
    <col min="7" max="7" width="15.5703125" style="21" customWidth="1"/>
    <col min="8" max="8" width="5.85546875" style="9" customWidth="1"/>
    <col min="9" max="9" width="17.140625" style="190" customWidth="1"/>
    <col min="10" max="10" width="16.140625" style="190" customWidth="1"/>
    <col min="11" max="16384" width="9.140625" style="9"/>
  </cols>
  <sheetData>
    <row r="1" spans="2:10" ht="18.75">
      <c r="B1" s="682" t="s">
        <v>24</v>
      </c>
      <c r="C1" s="682"/>
      <c r="D1" s="682"/>
      <c r="E1" s="682"/>
      <c r="F1" s="682"/>
      <c r="G1" s="682"/>
    </row>
    <row r="2" spans="2:10" ht="18.75">
      <c r="B2" s="682" t="s">
        <v>46</v>
      </c>
      <c r="C2" s="682"/>
      <c r="D2" s="682"/>
      <c r="E2" s="682"/>
      <c r="F2" s="682"/>
      <c r="G2" s="682"/>
    </row>
    <row r="3" spans="2:10" ht="13.5" thickBot="1">
      <c r="B3" s="153"/>
      <c r="C3" s="10"/>
      <c r="D3" s="10"/>
      <c r="E3" s="72"/>
      <c r="F3" s="30"/>
      <c r="G3" s="20"/>
    </row>
    <row r="4" spans="2:10" ht="17.25" customHeight="1" thickTop="1">
      <c r="B4" s="154" t="s">
        <v>10</v>
      </c>
      <c r="C4" s="33" t="s">
        <v>11</v>
      </c>
      <c r="D4" s="669" t="s">
        <v>12</v>
      </c>
      <c r="E4" s="73" t="s">
        <v>9</v>
      </c>
      <c r="F4" s="32" t="s">
        <v>13</v>
      </c>
      <c r="G4" s="33" t="s">
        <v>8</v>
      </c>
      <c r="I4" s="671" t="s">
        <v>22</v>
      </c>
      <c r="J4" s="671" t="s">
        <v>23</v>
      </c>
    </row>
    <row r="5" spans="2:10" ht="17.25" customHeight="1" thickBot="1">
      <c r="B5" s="155" t="s">
        <v>14</v>
      </c>
      <c r="C5" s="35" t="s">
        <v>15</v>
      </c>
      <c r="D5" s="670"/>
      <c r="E5" s="74" t="s">
        <v>16</v>
      </c>
      <c r="F5" s="36" t="s">
        <v>16</v>
      </c>
      <c r="G5" s="34" t="s">
        <v>17</v>
      </c>
      <c r="I5" s="671"/>
      <c r="J5" s="671"/>
    </row>
    <row r="6" spans="2:10" ht="17.25" customHeight="1" thickTop="1">
      <c r="B6" s="557"/>
      <c r="C6" s="115"/>
      <c r="D6" s="551"/>
      <c r="E6" s="552"/>
      <c r="F6" s="115"/>
      <c r="G6" s="553"/>
      <c r="I6" s="548"/>
      <c r="J6" s="548"/>
    </row>
    <row r="7" spans="2:10" ht="15" customHeight="1">
      <c r="B7" s="215">
        <v>41639</v>
      </c>
      <c r="C7" s="206" t="s">
        <v>25</v>
      </c>
      <c r="D7" s="213"/>
      <c r="E7" s="217"/>
      <c r="F7" s="282">
        <v>25101545229.199997</v>
      </c>
      <c r="G7" s="226">
        <f>+F7</f>
        <v>25101545229.199997</v>
      </c>
    </row>
    <row r="8" spans="2:10" ht="15" customHeight="1">
      <c r="B8" s="203">
        <v>41670</v>
      </c>
      <c r="C8" s="206" t="s">
        <v>28</v>
      </c>
      <c r="D8" s="224"/>
      <c r="E8" s="225"/>
      <c r="F8" s="204">
        <v>19154562793</v>
      </c>
      <c r="G8" s="283">
        <f>G7+F8-E8</f>
        <v>44256108022.199997</v>
      </c>
    </row>
    <row r="9" spans="2:10" ht="15" customHeight="1">
      <c r="B9" s="277">
        <v>41641</v>
      </c>
      <c r="C9" s="379" t="s">
        <v>47</v>
      </c>
      <c r="D9" s="299" t="s">
        <v>48</v>
      </c>
      <c r="E9" s="300">
        <v>4769474542</v>
      </c>
      <c r="F9" s="204"/>
      <c r="G9" s="283">
        <f t="shared" ref="G9:G24" si="0">G8+F9-E9</f>
        <v>39486633480.199997</v>
      </c>
    </row>
    <row r="10" spans="2:10" ht="15" customHeight="1">
      <c r="B10" s="277">
        <v>41648</v>
      </c>
      <c r="C10" s="379" t="s">
        <v>57</v>
      </c>
      <c r="D10" s="299" t="s">
        <v>58</v>
      </c>
      <c r="E10" s="300">
        <v>2046195558</v>
      </c>
      <c r="F10" s="204"/>
      <c r="G10" s="283">
        <f t="shared" si="0"/>
        <v>37440437922.199997</v>
      </c>
    </row>
    <row r="11" spans="2:10" ht="15" customHeight="1">
      <c r="B11" s="380">
        <v>41649</v>
      </c>
      <c r="C11" s="379" t="s">
        <v>59</v>
      </c>
      <c r="D11" s="299" t="s">
        <v>60</v>
      </c>
      <c r="E11" s="300">
        <v>2626853407</v>
      </c>
      <c r="F11" s="283"/>
      <c r="G11" s="283">
        <f t="shared" si="0"/>
        <v>34813584515.199997</v>
      </c>
    </row>
    <row r="12" spans="2:10" ht="15" customHeight="1">
      <c r="B12" s="277">
        <v>41649</v>
      </c>
      <c r="C12" s="379" t="s">
        <v>85</v>
      </c>
      <c r="D12" s="299" t="s">
        <v>86</v>
      </c>
      <c r="E12" s="300">
        <v>572707817</v>
      </c>
      <c r="F12" s="208"/>
      <c r="G12" s="283">
        <f t="shared" si="0"/>
        <v>34240876698.199997</v>
      </c>
    </row>
    <row r="13" spans="2:10" ht="15" customHeight="1">
      <c r="B13" s="381">
        <v>41655</v>
      </c>
      <c r="C13" s="379" t="s">
        <v>61</v>
      </c>
      <c r="D13" s="382" t="s">
        <v>62</v>
      </c>
      <c r="E13" s="383">
        <v>1523774857</v>
      </c>
      <c r="F13" s="202"/>
      <c r="G13" s="283">
        <f t="shared" si="0"/>
        <v>32717101841.199997</v>
      </c>
    </row>
    <row r="14" spans="2:10" ht="18" customHeight="1">
      <c r="B14" s="381">
        <v>41656</v>
      </c>
      <c r="C14" s="379" t="s">
        <v>87</v>
      </c>
      <c r="D14" s="385" t="s">
        <v>88</v>
      </c>
      <c r="E14" s="386">
        <f>1003551120+1032922796</f>
        <v>2036473916</v>
      </c>
      <c r="F14" s="202"/>
      <c r="G14" s="283">
        <f t="shared" si="0"/>
        <v>30680627925.199997</v>
      </c>
    </row>
    <row r="15" spans="2:10" ht="15" customHeight="1">
      <c r="B15" s="381">
        <v>41656</v>
      </c>
      <c r="C15" s="379" t="s">
        <v>87</v>
      </c>
      <c r="D15" s="388" t="s">
        <v>89</v>
      </c>
      <c r="E15" s="389">
        <v>448721592</v>
      </c>
      <c r="F15" s="202"/>
      <c r="G15" s="283">
        <f t="shared" si="0"/>
        <v>30231906333.199997</v>
      </c>
    </row>
    <row r="16" spans="2:10" ht="15" customHeight="1">
      <c r="B16" s="381">
        <v>41656</v>
      </c>
      <c r="C16" s="379" t="s">
        <v>92</v>
      </c>
      <c r="D16" s="388" t="s">
        <v>93</v>
      </c>
      <c r="E16" s="389">
        <v>57131204</v>
      </c>
      <c r="F16" s="202"/>
      <c r="G16" s="283">
        <f t="shared" si="0"/>
        <v>30174775129.199997</v>
      </c>
    </row>
    <row r="17" spans="2:10" ht="15" customHeight="1">
      <c r="B17" s="381">
        <v>41656</v>
      </c>
      <c r="C17" s="379" t="s">
        <v>92</v>
      </c>
      <c r="D17" s="388" t="s">
        <v>94</v>
      </c>
      <c r="E17" s="389">
        <v>290736842</v>
      </c>
      <c r="F17" s="202"/>
      <c r="G17" s="283">
        <f t="shared" si="0"/>
        <v>29884038287.199997</v>
      </c>
    </row>
    <row r="18" spans="2:10" ht="15" customHeight="1">
      <c r="B18" s="381">
        <v>41656</v>
      </c>
      <c r="C18" s="379" t="s">
        <v>92</v>
      </c>
      <c r="D18" s="388" t="s">
        <v>95</v>
      </c>
      <c r="E18" s="389">
        <v>76576954</v>
      </c>
      <c r="F18" s="202"/>
      <c r="G18" s="283">
        <f t="shared" si="0"/>
        <v>29807461333.199997</v>
      </c>
    </row>
    <row r="19" spans="2:10" ht="15" customHeight="1">
      <c r="B19" s="381">
        <v>41656</v>
      </c>
      <c r="C19" s="379" t="s">
        <v>109</v>
      </c>
      <c r="D19" s="388" t="s">
        <v>110</v>
      </c>
      <c r="E19" s="389">
        <f>85879596+52426946</f>
        <v>138306542</v>
      </c>
      <c r="F19" s="202"/>
      <c r="G19" s="283">
        <f t="shared" si="0"/>
        <v>29669154791.199997</v>
      </c>
    </row>
    <row r="20" spans="2:10" ht="15" customHeight="1">
      <c r="B20" s="381">
        <v>41656</v>
      </c>
      <c r="C20" s="379" t="s">
        <v>109</v>
      </c>
      <c r="D20" s="379" t="s">
        <v>111</v>
      </c>
      <c r="E20" s="386">
        <v>43598458</v>
      </c>
      <c r="F20" s="202"/>
      <c r="G20" s="283">
        <f t="shared" si="0"/>
        <v>29625556333.199997</v>
      </c>
    </row>
    <row r="21" spans="2:10" ht="15" customHeight="1">
      <c r="B21" s="381">
        <v>41659</v>
      </c>
      <c r="C21" s="379" t="s">
        <v>63</v>
      </c>
      <c r="D21" s="382" t="s">
        <v>64</v>
      </c>
      <c r="E21" s="383">
        <v>278552384</v>
      </c>
      <c r="F21" s="204"/>
      <c r="G21" s="283">
        <f t="shared" si="0"/>
        <v>29347003949.199997</v>
      </c>
    </row>
    <row r="22" spans="2:10" ht="15" customHeight="1">
      <c r="B22" s="381">
        <v>41666</v>
      </c>
      <c r="C22" s="379" t="s">
        <v>70</v>
      </c>
      <c r="D22" s="382" t="s">
        <v>71</v>
      </c>
      <c r="E22" s="383">
        <v>44568422</v>
      </c>
      <c r="F22" s="284"/>
      <c r="G22" s="283">
        <f t="shared" si="0"/>
        <v>29302435527.199997</v>
      </c>
    </row>
    <row r="23" spans="2:10" ht="15.75" customHeight="1">
      <c r="B23" s="381">
        <v>41666</v>
      </c>
      <c r="C23" s="379" t="s">
        <v>70</v>
      </c>
      <c r="D23" s="382" t="s">
        <v>72</v>
      </c>
      <c r="E23" s="383">
        <v>684063248</v>
      </c>
      <c r="F23" s="204"/>
      <c r="G23" s="283">
        <f t="shared" si="0"/>
        <v>28618372279.199997</v>
      </c>
    </row>
    <row r="24" spans="2:10" ht="15.75" customHeight="1">
      <c r="B24" s="381">
        <v>41667</v>
      </c>
      <c r="C24" s="379" t="s">
        <v>90</v>
      </c>
      <c r="D24" s="388" t="s">
        <v>91</v>
      </c>
      <c r="E24" s="389">
        <v>4338553013</v>
      </c>
      <c r="F24" s="284"/>
      <c r="G24" s="283">
        <f t="shared" si="0"/>
        <v>24279819266.199997</v>
      </c>
      <c r="J24" s="190">
        <f>SUM(E9:E24)</f>
        <v>19976288756</v>
      </c>
    </row>
    <row r="25" spans="2:10" ht="15" customHeight="1">
      <c r="B25" s="277">
        <v>41670</v>
      </c>
      <c r="C25" s="379"/>
      <c r="D25" s="418" t="s">
        <v>114</v>
      </c>
      <c r="E25" s="391">
        <v>2525160</v>
      </c>
      <c r="F25" s="204"/>
      <c r="G25" s="372">
        <f>G24+F25-E25</f>
        <v>24277294106.199997</v>
      </c>
      <c r="J25" s="190">
        <f>F7-J24</f>
        <v>5125256473.1999969</v>
      </c>
    </row>
    <row r="26" spans="2:10" ht="15.75" customHeight="1">
      <c r="B26" s="212">
        <v>41698</v>
      </c>
      <c r="C26" s="570" t="s">
        <v>120</v>
      </c>
      <c r="D26" s="206"/>
      <c r="E26" s="533"/>
      <c r="F26" s="283">
        <v>15788845398</v>
      </c>
      <c r="G26" s="283">
        <f t="shared" ref="G26:G72" si="1">G25+F26-E26</f>
        <v>40066139504.199997</v>
      </c>
    </row>
    <row r="27" spans="2:10" ht="16.5" customHeight="1">
      <c r="B27" s="277">
        <v>41673</v>
      </c>
      <c r="C27" s="379" t="s">
        <v>121</v>
      </c>
      <c r="D27" s="230" t="s">
        <v>122</v>
      </c>
      <c r="E27" s="427">
        <f>1225122503+992549118</f>
        <v>2217671621</v>
      </c>
      <c r="F27" s="208"/>
      <c r="G27" s="283">
        <f t="shared" si="1"/>
        <v>37848467883.199997</v>
      </c>
    </row>
    <row r="28" spans="2:10" ht="35.25" customHeight="1">
      <c r="B28" s="277">
        <v>41673</v>
      </c>
      <c r="C28" s="379" t="s">
        <v>121</v>
      </c>
      <c r="D28" s="382" t="s">
        <v>123</v>
      </c>
      <c r="E28" s="419">
        <v>1272728145</v>
      </c>
      <c r="F28" s="202"/>
      <c r="G28" s="283">
        <f t="shared" si="1"/>
        <v>36575739738.199997</v>
      </c>
    </row>
    <row r="29" spans="2:10" ht="33" customHeight="1">
      <c r="B29" s="277">
        <v>41673</v>
      </c>
      <c r="C29" s="379" t="s">
        <v>121</v>
      </c>
      <c r="D29" s="382" t="s">
        <v>124</v>
      </c>
      <c r="E29" s="419">
        <v>309518442</v>
      </c>
      <c r="F29" s="202"/>
      <c r="G29" s="283">
        <f t="shared" si="1"/>
        <v>36266221296.199997</v>
      </c>
    </row>
    <row r="30" spans="2:10" ht="15" customHeight="1">
      <c r="B30" s="381">
        <v>41684</v>
      </c>
      <c r="C30" s="379" t="s">
        <v>128</v>
      </c>
      <c r="D30" s="387" t="s">
        <v>129</v>
      </c>
      <c r="E30" s="389">
        <v>2691396510</v>
      </c>
      <c r="F30" s="202"/>
      <c r="G30" s="283">
        <f t="shared" si="1"/>
        <v>33574824786.199997</v>
      </c>
    </row>
    <row r="31" spans="2:10" ht="15" customHeight="1">
      <c r="B31" s="381">
        <v>41687</v>
      </c>
      <c r="C31" s="379" t="s">
        <v>130</v>
      </c>
      <c r="D31" s="388" t="s">
        <v>131</v>
      </c>
      <c r="E31" s="389">
        <v>1925204</v>
      </c>
      <c r="F31" s="202"/>
      <c r="G31" s="283">
        <f t="shared" si="1"/>
        <v>33572899582.199997</v>
      </c>
    </row>
    <row r="32" spans="2:10" ht="15" customHeight="1">
      <c r="B32" s="381">
        <v>41687</v>
      </c>
      <c r="C32" s="379" t="s">
        <v>130</v>
      </c>
      <c r="D32" s="388" t="s">
        <v>132</v>
      </c>
      <c r="E32" s="217">
        <f>215286258+101586210</f>
        <v>316872468</v>
      </c>
      <c r="F32" s="202"/>
      <c r="G32" s="283">
        <f t="shared" si="1"/>
        <v>33256027114.199997</v>
      </c>
    </row>
    <row r="33" spans="2:10" ht="15" customHeight="1">
      <c r="B33" s="381">
        <v>41687</v>
      </c>
      <c r="C33" s="379" t="s">
        <v>130</v>
      </c>
      <c r="D33" s="216" t="s">
        <v>133</v>
      </c>
      <c r="E33" s="217">
        <v>21202328</v>
      </c>
      <c r="F33" s="211"/>
      <c r="G33" s="283">
        <f t="shared" si="1"/>
        <v>33234824786.199997</v>
      </c>
    </row>
    <row r="34" spans="2:10" ht="15" customHeight="1">
      <c r="B34" s="381">
        <v>41688</v>
      </c>
      <c r="C34" s="379" t="s">
        <v>134</v>
      </c>
      <c r="D34" s="216" t="s">
        <v>135</v>
      </c>
      <c r="E34" s="217">
        <v>22630966</v>
      </c>
      <c r="F34" s="202"/>
      <c r="G34" s="283">
        <f t="shared" si="1"/>
        <v>33212193820.199997</v>
      </c>
    </row>
    <row r="35" spans="2:10" ht="15" customHeight="1">
      <c r="B35" s="381">
        <v>41688</v>
      </c>
      <c r="C35" s="379" t="s">
        <v>134</v>
      </c>
      <c r="D35" s="390" t="s">
        <v>136</v>
      </c>
      <c r="E35" s="391">
        <f>274282360+32846396</f>
        <v>307128756</v>
      </c>
      <c r="F35" s="202"/>
      <c r="G35" s="283">
        <f t="shared" si="1"/>
        <v>32905065064.199997</v>
      </c>
      <c r="J35" s="190">
        <f>SUM(E18:E38)</f>
        <v>13733424889</v>
      </c>
    </row>
    <row r="36" spans="2:10" ht="15" customHeight="1">
      <c r="B36" s="381">
        <v>41688</v>
      </c>
      <c r="C36" s="379" t="s">
        <v>134</v>
      </c>
      <c r="D36" s="385" t="s">
        <v>137</v>
      </c>
      <c r="E36" s="386">
        <v>4172168</v>
      </c>
      <c r="F36" s="202"/>
      <c r="G36" s="283">
        <f t="shared" si="1"/>
        <v>32900892896.199997</v>
      </c>
      <c r="J36" s="190">
        <f>G38-F17</f>
        <v>31939458796.199997</v>
      </c>
    </row>
    <row r="37" spans="2:10" ht="15" customHeight="1">
      <c r="B37" s="381">
        <v>41688</v>
      </c>
      <c r="C37" s="379" t="s">
        <v>134</v>
      </c>
      <c r="D37" s="388" t="s">
        <v>138</v>
      </c>
      <c r="E37" s="389">
        <v>66068110</v>
      </c>
      <c r="F37" s="202"/>
      <c r="G37" s="283">
        <f t="shared" si="1"/>
        <v>32834824786.199997</v>
      </c>
    </row>
    <row r="38" spans="2:10" ht="15" customHeight="1">
      <c r="B38" s="381">
        <v>41695</v>
      </c>
      <c r="C38" s="379" t="s">
        <v>142</v>
      </c>
      <c r="D38" s="388" t="s">
        <v>138</v>
      </c>
      <c r="E38" s="389">
        <v>895365990</v>
      </c>
      <c r="F38" s="202"/>
      <c r="G38" s="283">
        <f t="shared" si="1"/>
        <v>31939458796.199997</v>
      </c>
    </row>
    <row r="39" spans="2:10" ht="15" customHeight="1">
      <c r="B39" s="381">
        <v>41695</v>
      </c>
      <c r="C39" s="379" t="s">
        <v>142</v>
      </c>
      <c r="D39" s="385" t="s">
        <v>143</v>
      </c>
      <c r="E39" s="386">
        <f>1235126024+396770770</f>
        <v>1631896794</v>
      </c>
      <c r="F39" s="202"/>
      <c r="G39" s="283">
        <f t="shared" si="1"/>
        <v>30307562002.199997</v>
      </c>
    </row>
    <row r="40" spans="2:10" ht="15" customHeight="1">
      <c r="B40" s="281">
        <v>41696</v>
      </c>
      <c r="C40" s="379" t="s">
        <v>144</v>
      </c>
      <c r="D40" s="388" t="s">
        <v>145</v>
      </c>
      <c r="E40" s="389">
        <v>764760845</v>
      </c>
      <c r="F40" s="202"/>
      <c r="G40" s="283">
        <f t="shared" si="1"/>
        <v>29542801157.199997</v>
      </c>
    </row>
    <row r="41" spans="2:10" ht="15" customHeight="1">
      <c r="B41" s="281">
        <v>41674</v>
      </c>
      <c r="C41" s="379" t="s">
        <v>152</v>
      </c>
      <c r="D41" s="388" t="s">
        <v>153</v>
      </c>
      <c r="E41" s="389">
        <v>1400820377</v>
      </c>
      <c r="F41" s="202"/>
      <c r="G41" s="283">
        <f t="shared" si="1"/>
        <v>28141980780.199997</v>
      </c>
    </row>
    <row r="42" spans="2:10" ht="15" customHeight="1">
      <c r="B42" s="281">
        <v>41688</v>
      </c>
      <c r="C42" s="379" t="s">
        <v>154</v>
      </c>
      <c r="D42" s="388" t="s">
        <v>155</v>
      </c>
      <c r="E42" s="389">
        <v>4111312</v>
      </c>
      <c r="F42" s="202"/>
      <c r="G42" s="283">
        <f t="shared" si="1"/>
        <v>28137869468.199997</v>
      </c>
    </row>
    <row r="43" spans="2:10" ht="15" customHeight="1">
      <c r="B43" s="281">
        <v>41688</v>
      </c>
      <c r="C43" s="379" t="s">
        <v>154</v>
      </c>
      <c r="D43" s="388" t="s">
        <v>156</v>
      </c>
      <c r="E43" s="389">
        <f>29763712+252919942</f>
        <v>282683654</v>
      </c>
      <c r="F43" s="202"/>
      <c r="G43" s="283">
        <f t="shared" si="1"/>
        <v>27855185814.199997</v>
      </c>
    </row>
    <row r="44" spans="2:10" ht="15" customHeight="1">
      <c r="B44" s="281">
        <v>41688</v>
      </c>
      <c r="C44" s="379" t="s">
        <v>154</v>
      </c>
      <c r="D44" s="388" t="s">
        <v>135</v>
      </c>
      <c r="E44" s="389">
        <v>33205034</v>
      </c>
      <c r="F44" s="202"/>
      <c r="G44" s="283">
        <f t="shared" si="1"/>
        <v>27821980780.199997</v>
      </c>
    </row>
    <row r="45" spans="2:10" ht="15" customHeight="1">
      <c r="B45" s="432">
        <v>41697</v>
      </c>
      <c r="C45" s="379" t="s">
        <v>160</v>
      </c>
      <c r="D45" s="216" t="s">
        <v>157</v>
      </c>
      <c r="E45" s="217">
        <f>1769490118+919584908</f>
        <v>2689075026</v>
      </c>
      <c r="F45" s="211"/>
      <c r="G45" s="283">
        <f t="shared" si="1"/>
        <v>25132905754.199997</v>
      </c>
    </row>
    <row r="46" spans="2:10" ht="15" customHeight="1">
      <c r="B46" s="432">
        <v>41697</v>
      </c>
      <c r="C46" s="379" t="s">
        <v>160</v>
      </c>
      <c r="D46" s="216" t="s">
        <v>158</v>
      </c>
      <c r="E46" s="217">
        <v>329071292</v>
      </c>
      <c r="F46" s="211"/>
      <c r="G46" s="283">
        <f t="shared" si="1"/>
        <v>24803834462.199997</v>
      </c>
    </row>
    <row r="47" spans="2:10" ht="15" customHeight="1">
      <c r="B47" s="277">
        <v>41684</v>
      </c>
      <c r="C47" s="379" t="s">
        <v>159</v>
      </c>
      <c r="D47" s="388" t="s">
        <v>161</v>
      </c>
      <c r="E47" s="389">
        <f>252584354+275905850</f>
        <v>528490204</v>
      </c>
      <c r="F47" s="202"/>
      <c r="G47" s="283">
        <f t="shared" si="1"/>
        <v>24275344258.199997</v>
      </c>
    </row>
    <row r="48" spans="2:10" ht="15" customHeight="1">
      <c r="B48" s="277">
        <v>41684</v>
      </c>
      <c r="C48" s="379" t="s">
        <v>159</v>
      </c>
      <c r="D48" s="388" t="s">
        <v>131</v>
      </c>
      <c r="E48" s="389">
        <v>6379796</v>
      </c>
      <c r="F48" s="202"/>
      <c r="G48" s="372">
        <f t="shared" si="1"/>
        <v>24268964462.199997</v>
      </c>
      <c r="I48" s="190">
        <f>G48-F26</f>
        <v>8480119064.1999969</v>
      </c>
      <c r="J48" s="190">
        <f>SUM(E27:E48)</f>
        <v>15797175042</v>
      </c>
    </row>
    <row r="49" spans="2:10" ht="15" customHeight="1">
      <c r="B49" s="203">
        <v>41729</v>
      </c>
      <c r="C49" s="570" t="s">
        <v>201</v>
      </c>
      <c r="D49" s="209"/>
      <c r="E49" s="210"/>
      <c r="F49" s="202">
        <v>15698658407</v>
      </c>
      <c r="G49" s="283">
        <f t="shared" si="1"/>
        <v>39967622869.199997</v>
      </c>
    </row>
    <row r="50" spans="2:10" ht="15" customHeight="1">
      <c r="B50" s="433">
        <v>41701</v>
      </c>
      <c r="C50" s="379" t="s">
        <v>202</v>
      </c>
      <c r="D50" s="388" t="s">
        <v>203</v>
      </c>
      <c r="E50" s="383">
        <v>424622220</v>
      </c>
      <c r="F50" s="202"/>
      <c r="G50" s="283">
        <f t="shared" si="1"/>
        <v>39543000649.199997</v>
      </c>
    </row>
    <row r="51" spans="2:10" ht="15" customHeight="1">
      <c r="B51" s="281">
        <v>41701</v>
      </c>
      <c r="C51" s="379" t="s">
        <v>202</v>
      </c>
      <c r="D51" s="388" t="s">
        <v>204</v>
      </c>
      <c r="E51" s="389">
        <f>433109270+2099787206</f>
        <v>2532896476</v>
      </c>
      <c r="F51" s="202"/>
      <c r="G51" s="283">
        <f t="shared" si="1"/>
        <v>37010104173.199997</v>
      </c>
    </row>
    <row r="52" spans="2:10" ht="15" customHeight="1">
      <c r="B52" s="381">
        <v>41702</v>
      </c>
      <c r="C52" s="379" t="s">
        <v>235</v>
      </c>
      <c r="D52" s="388" t="s">
        <v>236</v>
      </c>
      <c r="E52" s="389">
        <v>1046367181</v>
      </c>
      <c r="F52" s="202"/>
      <c r="G52" s="283">
        <f t="shared" si="1"/>
        <v>35963736992.199997</v>
      </c>
    </row>
    <row r="53" spans="2:10" ht="15" customHeight="1">
      <c r="B53" s="381">
        <v>41702</v>
      </c>
      <c r="C53" s="379" t="s">
        <v>235</v>
      </c>
      <c r="D53" s="388" t="s">
        <v>237</v>
      </c>
      <c r="E53" s="389">
        <f>458116670+17128320</f>
        <v>475244990</v>
      </c>
      <c r="F53" s="202"/>
      <c r="G53" s="283">
        <f t="shared" si="1"/>
        <v>35488492002.199997</v>
      </c>
      <c r="J53" s="190">
        <f>SUM(E40:E53)</f>
        <v>10517728407</v>
      </c>
    </row>
    <row r="54" spans="2:10" ht="15" customHeight="1">
      <c r="B54" s="281">
        <v>41704</v>
      </c>
      <c r="C54" s="379" t="s">
        <v>205</v>
      </c>
      <c r="D54" s="388" t="s">
        <v>206</v>
      </c>
      <c r="E54" s="389">
        <v>330398354</v>
      </c>
      <c r="F54" s="202"/>
      <c r="G54" s="283">
        <f t="shared" si="1"/>
        <v>35158093648.199997</v>
      </c>
    </row>
    <row r="55" spans="2:10" ht="15" customHeight="1">
      <c r="B55" s="281">
        <v>41705</v>
      </c>
      <c r="C55" s="379" t="s">
        <v>207</v>
      </c>
      <c r="D55" s="388" t="s">
        <v>208</v>
      </c>
      <c r="E55" s="389">
        <f>261090368+385864798</f>
        <v>646955166</v>
      </c>
      <c r="F55" s="211"/>
      <c r="G55" s="283">
        <f t="shared" si="1"/>
        <v>34511138482.199997</v>
      </c>
    </row>
    <row r="56" spans="2:10" ht="15" customHeight="1">
      <c r="B56" s="281">
        <v>41705</v>
      </c>
      <c r="C56" s="379" t="s">
        <v>207</v>
      </c>
      <c r="D56" s="385" t="s">
        <v>209</v>
      </c>
      <c r="E56" s="386">
        <v>222710197</v>
      </c>
      <c r="F56" s="211"/>
      <c r="G56" s="283">
        <f t="shared" si="1"/>
        <v>34288428285.199997</v>
      </c>
    </row>
    <row r="57" spans="2:10" ht="15" customHeight="1">
      <c r="B57" s="281">
        <v>41710</v>
      </c>
      <c r="C57" s="379" t="s">
        <v>210</v>
      </c>
      <c r="D57" s="216" t="s">
        <v>211</v>
      </c>
      <c r="E57" s="217">
        <v>301768588</v>
      </c>
      <c r="F57" s="211"/>
      <c r="G57" s="283">
        <f t="shared" si="1"/>
        <v>33986659697.199997</v>
      </c>
    </row>
    <row r="58" spans="2:10" ht="15" customHeight="1">
      <c r="B58" s="281">
        <v>41710</v>
      </c>
      <c r="C58" s="379" t="s">
        <v>210</v>
      </c>
      <c r="D58" s="388" t="s">
        <v>212</v>
      </c>
      <c r="E58" s="389">
        <f>194147976+361875932+314005582+147430580</f>
        <v>1017460070</v>
      </c>
      <c r="F58" s="211"/>
      <c r="G58" s="283">
        <f t="shared" si="1"/>
        <v>32969199627.199997</v>
      </c>
    </row>
    <row r="59" spans="2:10" ht="15" customHeight="1">
      <c r="B59" s="381">
        <v>41712</v>
      </c>
      <c r="C59" s="379" t="s">
        <v>238</v>
      </c>
      <c r="D59" s="388" t="s">
        <v>239</v>
      </c>
      <c r="E59" s="389">
        <f>271864340+166447270</f>
        <v>438311610</v>
      </c>
      <c r="F59" s="211"/>
      <c r="G59" s="283">
        <f t="shared" si="1"/>
        <v>32530888017.199997</v>
      </c>
    </row>
    <row r="60" spans="2:10" ht="15" customHeight="1">
      <c r="B60" s="381">
        <v>41712</v>
      </c>
      <c r="C60" s="379" t="s">
        <v>238</v>
      </c>
      <c r="D60" s="588" t="s">
        <v>240</v>
      </c>
      <c r="E60" s="389">
        <v>18717600</v>
      </c>
      <c r="F60" s="202"/>
      <c r="G60" s="283">
        <f t="shared" si="1"/>
        <v>32512170417.199997</v>
      </c>
    </row>
    <row r="61" spans="2:10" ht="15" customHeight="1">
      <c r="B61" s="281">
        <v>41715</v>
      </c>
      <c r="C61" s="379" t="s">
        <v>213</v>
      </c>
      <c r="D61" s="388" t="s">
        <v>214</v>
      </c>
      <c r="E61" s="389">
        <f>88171820+1014502064</f>
        <v>1102673884</v>
      </c>
      <c r="F61" s="202"/>
      <c r="G61" s="283">
        <f t="shared" si="1"/>
        <v>31409496533.199997</v>
      </c>
    </row>
    <row r="62" spans="2:10" ht="15" customHeight="1">
      <c r="B62" s="432">
        <v>41715</v>
      </c>
      <c r="C62" s="379" t="s">
        <v>213</v>
      </c>
      <c r="D62" s="216" t="s">
        <v>216</v>
      </c>
      <c r="E62" s="217">
        <v>200021118</v>
      </c>
      <c r="F62" s="202"/>
      <c r="G62" s="283">
        <f t="shared" si="1"/>
        <v>31209475415.199997</v>
      </c>
    </row>
    <row r="63" spans="2:10" ht="15" customHeight="1">
      <c r="B63" s="432">
        <v>41715</v>
      </c>
      <c r="C63" s="379" t="s">
        <v>213</v>
      </c>
      <c r="D63" s="388" t="s">
        <v>215</v>
      </c>
      <c r="E63" s="389">
        <v>136446222</v>
      </c>
      <c r="F63" s="202"/>
      <c r="G63" s="283">
        <f t="shared" si="1"/>
        <v>31073029193.199997</v>
      </c>
    </row>
    <row r="64" spans="2:10" ht="15" customHeight="1">
      <c r="B64" s="281">
        <v>41716</v>
      </c>
      <c r="C64" s="379" t="s">
        <v>217</v>
      </c>
      <c r="D64" s="388" t="s">
        <v>218</v>
      </c>
      <c r="E64" s="389">
        <v>237175400</v>
      </c>
      <c r="F64" s="211"/>
      <c r="G64" s="283">
        <f t="shared" si="1"/>
        <v>30835853793.199997</v>
      </c>
    </row>
    <row r="65" spans="2:10" ht="15" customHeight="1">
      <c r="B65" s="432">
        <v>41716</v>
      </c>
      <c r="C65" s="379" t="s">
        <v>217</v>
      </c>
      <c r="D65" s="216" t="s">
        <v>219</v>
      </c>
      <c r="E65" s="217">
        <v>144709109</v>
      </c>
      <c r="F65" s="211"/>
      <c r="G65" s="283">
        <f t="shared" si="1"/>
        <v>30691144684.199997</v>
      </c>
    </row>
    <row r="66" spans="2:10" ht="15" customHeight="1">
      <c r="B66" s="277">
        <v>41723</v>
      </c>
      <c r="C66" s="379" t="s">
        <v>222</v>
      </c>
      <c r="D66" s="216" t="s">
        <v>223</v>
      </c>
      <c r="E66" s="217">
        <v>243508892</v>
      </c>
      <c r="F66" s="211"/>
      <c r="G66" s="283">
        <f t="shared" si="1"/>
        <v>30447635792.199997</v>
      </c>
    </row>
    <row r="67" spans="2:10" ht="15" customHeight="1">
      <c r="B67" s="277">
        <v>41723</v>
      </c>
      <c r="C67" s="379" t="s">
        <v>222</v>
      </c>
      <c r="D67" s="587" t="s">
        <v>224</v>
      </c>
      <c r="E67" s="217">
        <f>1478137029+841973154</f>
        <v>2320110183</v>
      </c>
      <c r="F67" s="211"/>
      <c r="G67" s="283">
        <f t="shared" si="1"/>
        <v>28127525609.199997</v>
      </c>
    </row>
    <row r="68" spans="2:10" ht="15" customHeight="1">
      <c r="B68" s="277">
        <v>41725</v>
      </c>
      <c r="C68" s="379" t="s">
        <v>241</v>
      </c>
      <c r="D68" s="216" t="s">
        <v>242</v>
      </c>
      <c r="E68" s="217">
        <v>2525617589</v>
      </c>
      <c r="F68" s="211"/>
      <c r="G68" s="283">
        <f t="shared" si="1"/>
        <v>25601908020.199997</v>
      </c>
    </row>
    <row r="69" spans="2:10" ht="15" customHeight="1">
      <c r="B69" s="277">
        <v>41725</v>
      </c>
      <c r="C69" s="379" t="s">
        <v>235</v>
      </c>
      <c r="D69" s="216" t="s">
        <v>243</v>
      </c>
      <c r="E69" s="217">
        <f>1418600018+772093784</f>
        <v>2190693802</v>
      </c>
      <c r="F69" s="211"/>
      <c r="G69" s="283">
        <f t="shared" si="1"/>
        <v>23411214218.199997</v>
      </c>
    </row>
    <row r="70" spans="2:10" ht="15" customHeight="1">
      <c r="B70" s="432">
        <v>41726</v>
      </c>
      <c r="C70" s="379" t="s">
        <v>225</v>
      </c>
      <c r="D70" s="216" t="s">
        <v>226</v>
      </c>
      <c r="E70" s="217">
        <v>2476870334</v>
      </c>
      <c r="F70" s="211"/>
      <c r="G70" s="283">
        <f t="shared" si="1"/>
        <v>20934343884.199997</v>
      </c>
      <c r="J70" s="190">
        <f>SUM(E50:E70)</f>
        <v>19033278985</v>
      </c>
    </row>
    <row r="71" spans="2:10" ht="15" customHeight="1">
      <c r="B71" s="277">
        <v>41726</v>
      </c>
      <c r="C71" s="379"/>
      <c r="D71" s="418" t="s">
        <v>345</v>
      </c>
      <c r="E71" s="386">
        <v>874500</v>
      </c>
      <c r="F71" s="202"/>
      <c r="G71" s="372">
        <f t="shared" si="1"/>
        <v>20933469384.199997</v>
      </c>
      <c r="J71" s="190">
        <f>G70-F49</f>
        <v>5235685477.1999969</v>
      </c>
    </row>
    <row r="72" spans="2:10" ht="15" customHeight="1">
      <c r="B72" s="203">
        <v>41759</v>
      </c>
      <c r="C72" s="570" t="s">
        <v>296</v>
      </c>
      <c r="D72" s="209"/>
      <c r="E72" s="210"/>
      <c r="F72" s="211">
        <v>18682073418</v>
      </c>
      <c r="G72" s="283">
        <f t="shared" si="1"/>
        <v>39615542802.199997</v>
      </c>
    </row>
    <row r="73" spans="2:10" ht="15" customHeight="1">
      <c r="B73" s="381">
        <v>41731</v>
      </c>
      <c r="C73" s="379" t="s">
        <v>297</v>
      </c>
      <c r="D73" s="388" t="s">
        <v>298</v>
      </c>
      <c r="E73" s="389">
        <v>1537048003</v>
      </c>
      <c r="F73" s="211"/>
      <c r="G73" s="283">
        <f t="shared" ref="G73:G145" si="2">G72+F73-E73</f>
        <v>38078494799.199997</v>
      </c>
    </row>
    <row r="74" spans="2:10" ht="15" customHeight="1">
      <c r="B74" s="381">
        <v>41731</v>
      </c>
      <c r="C74" s="379" t="s">
        <v>255</v>
      </c>
      <c r="D74" s="388" t="s">
        <v>256</v>
      </c>
      <c r="E74" s="389">
        <f>986299589+116571774</f>
        <v>1102871363</v>
      </c>
      <c r="F74" s="211"/>
      <c r="G74" s="283">
        <f t="shared" si="2"/>
        <v>36975623436.199997</v>
      </c>
    </row>
    <row r="75" spans="2:10" ht="15" customHeight="1">
      <c r="B75" s="288">
        <v>41731</v>
      </c>
      <c r="C75" s="379" t="s">
        <v>255</v>
      </c>
      <c r="D75" s="216" t="s">
        <v>329</v>
      </c>
      <c r="E75" s="217">
        <v>29128637</v>
      </c>
      <c r="F75" s="211"/>
      <c r="G75" s="283">
        <f t="shared" si="2"/>
        <v>36946494799.199997</v>
      </c>
    </row>
    <row r="76" spans="2:10" ht="15" customHeight="1">
      <c r="B76" s="277">
        <v>41732</v>
      </c>
      <c r="C76" s="379" t="s">
        <v>250</v>
      </c>
      <c r="D76" s="216" t="s">
        <v>251</v>
      </c>
      <c r="E76" s="217">
        <v>5066623</v>
      </c>
      <c r="F76" s="211"/>
      <c r="G76" s="283">
        <f t="shared" si="2"/>
        <v>36941428176.199997</v>
      </c>
    </row>
    <row r="77" spans="2:10" ht="15" customHeight="1">
      <c r="B77" s="277">
        <v>41732</v>
      </c>
      <c r="C77" s="379" t="s">
        <v>250</v>
      </c>
      <c r="D77" s="216" t="s">
        <v>252</v>
      </c>
      <c r="E77" s="217">
        <v>897156451</v>
      </c>
      <c r="F77" s="211"/>
      <c r="G77" s="283">
        <f t="shared" si="2"/>
        <v>36044271725.199997</v>
      </c>
    </row>
    <row r="78" spans="2:10" ht="15" customHeight="1">
      <c r="B78" s="277">
        <v>41732</v>
      </c>
      <c r="C78" s="379" t="s">
        <v>250</v>
      </c>
      <c r="D78" s="216" t="s">
        <v>253</v>
      </c>
      <c r="E78" s="217">
        <v>4576926</v>
      </c>
      <c r="F78" s="211"/>
      <c r="G78" s="283">
        <f t="shared" si="2"/>
        <v>36039694799.199997</v>
      </c>
    </row>
    <row r="79" spans="2:10" ht="15" customHeight="1">
      <c r="B79" s="277">
        <v>41736</v>
      </c>
      <c r="C79" s="379" t="s">
        <v>303</v>
      </c>
      <c r="D79" s="216" t="s">
        <v>304</v>
      </c>
      <c r="E79" s="217">
        <v>3148374</v>
      </c>
      <c r="F79" s="211"/>
      <c r="G79" s="283">
        <f t="shared" si="2"/>
        <v>36036546425.199997</v>
      </c>
    </row>
    <row r="80" spans="2:10" ht="15" customHeight="1">
      <c r="B80" s="277">
        <v>41736</v>
      </c>
      <c r="C80" s="379" t="s">
        <v>303</v>
      </c>
      <c r="D80" s="216" t="s">
        <v>305</v>
      </c>
      <c r="E80" s="217">
        <f>79859736+956755773</f>
        <v>1036615509</v>
      </c>
      <c r="F80" s="211"/>
      <c r="G80" s="283">
        <f t="shared" si="2"/>
        <v>34999930916.199997</v>
      </c>
    </row>
    <row r="81" spans="2:7" ht="15" customHeight="1">
      <c r="B81" s="288">
        <v>41736</v>
      </c>
      <c r="C81" s="379" t="s">
        <v>335</v>
      </c>
      <c r="D81" s="476" t="s">
        <v>336</v>
      </c>
      <c r="E81" s="217">
        <v>698080863</v>
      </c>
      <c r="F81" s="211"/>
      <c r="G81" s="283">
        <f t="shared" si="2"/>
        <v>34301850053.199997</v>
      </c>
    </row>
    <row r="82" spans="2:7" ht="15" customHeight="1">
      <c r="B82" s="277">
        <v>41740</v>
      </c>
      <c r="C82" s="379" t="s">
        <v>306</v>
      </c>
      <c r="D82" s="216" t="s">
        <v>307</v>
      </c>
      <c r="E82" s="217">
        <v>2946297093</v>
      </c>
      <c r="F82" s="211"/>
      <c r="G82" s="283">
        <f t="shared" si="2"/>
        <v>31355552960.199997</v>
      </c>
    </row>
    <row r="83" spans="2:7" ht="15" customHeight="1">
      <c r="B83" s="277">
        <v>41745</v>
      </c>
      <c r="C83" s="379" t="s">
        <v>309</v>
      </c>
      <c r="D83" s="216" t="s">
        <v>310</v>
      </c>
      <c r="E83" s="217">
        <v>697489518</v>
      </c>
      <c r="F83" s="211"/>
      <c r="G83" s="283">
        <f t="shared" si="2"/>
        <v>30658063442.199997</v>
      </c>
    </row>
    <row r="84" spans="2:7" ht="15" customHeight="1">
      <c r="B84" s="277">
        <v>41746</v>
      </c>
      <c r="C84" s="379" t="s">
        <v>311</v>
      </c>
      <c r="D84" s="216" t="s">
        <v>312</v>
      </c>
      <c r="E84" s="217">
        <v>316515122</v>
      </c>
      <c r="F84" s="211"/>
      <c r="G84" s="283">
        <f t="shared" si="2"/>
        <v>30341548320.199997</v>
      </c>
    </row>
    <row r="85" spans="2:7" ht="15" customHeight="1">
      <c r="B85" s="277">
        <v>41752</v>
      </c>
      <c r="C85" s="379" t="s">
        <v>313</v>
      </c>
      <c r="D85" s="464" t="s">
        <v>314</v>
      </c>
      <c r="E85" s="217">
        <v>305044986</v>
      </c>
      <c r="F85" s="211"/>
      <c r="G85" s="283">
        <f t="shared" si="2"/>
        <v>30036503334.199997</v>
      </c>
    </row>
    <row r="86" spans="2:7" ht="15" customHeight="1">
      <c r="B86" s="277">
        <v>41752</v>
      </c>
      <c r="C86" s="379" t="s">
        <v>315</v>
      </c>
      <c r="D86" s="464" t="s">
        <v>316</v>
      </c>
      <c r="E86" s="217">
        <v>138783128</v>
      </c>
      <c r="F86" s="211"/>
      <c r="G86" s="283">
        <f t="shared" si="2"/>
        <v>29897720206.199997</v>
      </c>
    </row>
    <row r="87" spans="2:7" ht="15" customHeight="1">
      <c r="B87" s="277">
        <v>41754</v>
      </c>
      <c r="C87" s="379" t="s">
        <v>394</v>
      </c>
      <c r="D87" s="216" t="s">
        <v>395</v>
      </c>
      <c r="E87" s="217">
        <v>242702482</v>
      </c>
      <c r="F87" s="211"/>
      <c r="G87" s="283">
        <f t="shared" si="2"/>
        <v>29655017724.199997</v>
      </c>
    </row>
    <row r="88" spans="2:7" ht="15" customHeight="1">
      <c r="B88" s="277">
        <v>41754</v>
      </c>
      <c r="C88" s="379" t="s">
        <v>394</v>
      </c>
      <c r="D88" s="216" t="s">
        <v>396</v>
      </c>
      <c r="E88" s="217">
        <v>252666854</v>
      </c>
      <c r="F88" s="211"/>
      <c r="G88" s="283">
        <f t="shared" si="2"/>
        <v>29402350870.199997</v>
      </c>
    </row>
    <row r="89" spans="2:7" ht="15" customHeight="1">
      <c r="B89" s="277">
        <v>41758</v>
      </c>
      <c r="C89" s="379" t="s">
        <v>319</v>
      </c>
      <c r="D89" s="216" t="s">
        <v>320</v>
      </c>
      <c r="E89" s="217">
        <v>284108803</v>
      </c>
      <c r="F89" s="211"/>
      <c r="G89" s="283">
        <f t="shared" si="2"/>
        <v>29118242067.199997</v>
      </c>
    </row>
    <row r="90" spans="2:7" ht="15" customHeight="1">
      <c r="B90" s="277">
        <v>41758</v>
      </c>
      <c r="C90" s="379" t="s">
        <v>319</v>
      </c>
      <c r="D90" s="216" t="s">
        <v>321</v>
      </c>
      <c r="E90" s="217">
        <f>153075231+212596538</f>
        <v>365671769</v>
      </c>
      <c r="F90" s="211"/>
      <c r="G90" s="283">
        <f t="shared" si="2"/>
        <v>28752570298.199997</v>
      </c>
    </row>
    <row r="91" spans="2:7" ht="15" customHeight="1">
      <c r="B91" s="277">
        <v>41758</v>
      </c>
      <c r="C91" s="379" t="s">
        <v>319</v>
      </c>
      <c r="D91" s="216" t="s">
        <v>322</v>
      </c>
      <c r="E91" s="217">
        <v>275408144</v>
      </c>
      <c r="F91" s="211"/>
      <c r="G91" s="283">
        <f t="shared" si="2"/>
        <v>28477162154.199997</v>
      </c>
    </row>
    <row r="92" spans="2:7" ht="15" customHeight="1">
      <c r="B92" s="277">
        <v>41758</v>
      </c>
      <c r="C92" s="379" t="s">
        <v>323</v>
      </c>
      <c r="D92" s="216" t="s">
        <v>324</v>
      </c>
      <c r="E92" s="217">
        <v>260711440</v>
      </c>
      <c r="F92" s="211"/>
      <c r="G92" s="283">
        <f t="shared" si="2"/>
        <v>28216450714.199997</v>
      </c>
    </row>
    <row r="93" spans="2:7" ht="15" customHeight="1">
      <c r="B93" s="277">
        <v>41758</v>
      </c>
      <c r="C93" s="379" t="s">
        <v>323</v>
      </c>
      <c r="D93" s="388" t="s">
        <v>325</v>
      </c>
      <c r="E93" s="389">
        <f>103762329+1344391367+360152210</f>
        <v>1808305906</v>
      </c>
      <c r="F93" s="228"/>
      <c r="G93" s="283">
        <f t="shared" si="2"/>
        <v>26408144808.199997</v>
      </c>
    </row>
    <row r="94" spans="2:7" ht="15" customHeight="1">
      <c r="B94" s="632">
        <v>41758</v>
      </c>
      <c r="C94" s="631" t="s">
        <v>337</v>
      </c>
      <c r="D94" s="216" t="s">
        <v>338</v>
      </c>
      <c r="E94" s="217">
        <v>4554279178</v>
      </c>
      <c r="F94" s="228"/>
      <c r="G94" s="283">
        <f t="shared" si="2"/>
        <v>21853865630.199997</v>
      </c>
    </row>
    <row r="95" spans="2:7" ht="15" customHeight="1">
      <c r="B95" s="288">
        <v>41758</v>
      </c>
      <c r="C95" s="631" t="s">
        <v>339</v>
      </c>
      <c r="D95" s="216" t="s">
        <v>340</v>
      </c>
      <c r="E95" s="217">
        <v>317094052</v>
      </c>
      <c r="F95" s="228"/>
      <c r="G95" s="283">
        <f t="shared" si="2"/>
        <v>21536771578.199997</v>
      </c>
    </row>
    <row r="96" spans="2:7" ht="15" customHeight="1">
      <c r="B96" s="288">
        <v>41758</v>
      </c>
      <c r="C96" s="631" t="s">
        <v>339</v>
      </c>
      <c r="D96" s="216" t="s">
        <v>341</v>
      </c>
      <c r="E96" s="217">
        <v>398387616</v>
      </c>
      <c r="F96" s="228"/>
      <c r="G96" s="283">
        <f t="shared" si="2"/>
        <v>21138383962.199997</v>
      </c>
    </row>
    <row r="97" spans="2:10" ht="15" customHeight="1">
      <c r="B97" s="288">
        <v>41758</v>
      </c>
      <c r="C97" s="460" t="s">
        <v>339</v>
      </c>
      <c r="D97" s="468" t="s">
        <v>342</v>
      </c>
      <c r="E97" s="469">
        <v>312119885</v>
      </c>
      <c r="F97" s="228"/>
      <c r="G97" s="283">
        <f t="shared" si="2"/>
        <v>20826264077.199997</v>
      </c>
      <c r="J97" s="202"/>
    </row>
    <row r="98" spans="2:10" ht="15" customHeight="1">
      <c r="B98" s="288">
        <v>41758</v>
      </c>
      <c r="C98" s="460" t="s">
        <v>344</v>
      </c>
      <c r="D98" s="216" t="s">
        <v>343</v>
      </c>
      <c r="E98" s="217">
        <v>1610678579</v>
      </c>
      <c r="F98" s="211"/>
      <c r="G98" s="283">
        <f t="shared" si="2"/>
        <v>19215585498.199997</v>
      </c>
    </row>
    <row r="99" spans="2:10" ht="15" customHeight="1">
      <c r="B99" s="277">
        <v>41759</v>
      </c>
      <c r="C99" s="390"/>
      <c r="D99" s="216" t="s">
        <v>384</v>
      </c>
      <c r="E99" s="217">
        <v>71221385</v>
      </c>
      <c r="F99" s="228"/>
      <c r="G99" s="283">
        <f t="shared" si="2"/>
        <v>19144364113.199997</v>
      </c>
      <c r="J99" s="190">
        <f>SUM(E73:E98)</f>
        <v>20399957304</v>
      </c>
    </row>
    <row r="100" spans="2:10" ht="15" customHeight="1">
      <c r="B100" s="638">
        <v>41789</v>
      </c>
      <c r="C100" s="639" t="s">
        <v>435</v>
      </c>
      <c r="D100" s="640" t="s">
        <v>434</v>
      </c>
      <c r="E100" s="641"/>
      <c r="F100" s="642">
        <v>38537036</v>
      </c>
      <c r="G100" s="283">
        <f t="shared" si="2"/>
        <v>19182901149.199997</v>
      </c>
    </row>
    <row r="101" spans="2:10" ht="15" customHeight="1">
      <c r="B101" s="643">
        <v>41642</v>
      </c>
      <c r="C101" s="639" t="s">
        <v>436</v>
      </c>
      <c r="D101" s="642" t="s">
        <v>437</v>
      </c>
      <c r="E101" s="644"/>
      <c r="F101" s="642">
        <v>974436</v>
      </c>
      <c r="G101" s="283">
        <f t="shared" si="2"/>
        <v>19183875585.199997</v>
      </c>
    </row>
    <row r="102" spans="2:10" ht="15" customHeight="1">
      <c r="B102" s="645">
        <v>41528</v>
      </c>
      <c r="C102" s="639" t="s">
        <v>439</v>
      </c>
      <c r="D102" s="642" t="s">
        <v>440</v>
      </c>
      <c r="E102" s="644"/>
      <c r="F102" s="642">
        <v>30186596</v>
      </c>
      <c r="G102" s="283">
        <f t="shared" si="2"/>
        <v>19214062181.199997</v>
      </c>
    </row>
    <row r="103" spans="2:10" ht="15" customHeight="1">
      <c r="B103" s="645">
        <v>41458</v>
      </c>
      <c r="C103" s="639" t="s">
        <v>441</v>
      </c>
      <c r="D103" s="642" t="s">
        <v>442</v>
      </c>
      <c r="E103" s="644"/>
      <c r="F103" s="646">
        <v>1272480</v>
      </c>
      <c r="G103" s="283">
        <f t="shared" si="2"/>
        <v>19215334661.199997</v>
      </c>
    </row>
    <row r="104" spans="2:10" ht="15" customHeight="1">
      <c r="B104" s="645">
        <v>41759</v>
      </c>
      <c r="C104" s="639"/>
      <c r="D104" s="642" t="s">
        <v>443</v>
      </c>
      <c r="E104" s="644"/>
      <c r="F104" s="646">
        <v>10100</v>
      </c>
      <c r="G104" s="372">
        <f t="shared" si="2"/>
        <v>19215344761.199997</v>
      </c>
    </row>
    <row r="105" spans="2:10" ht="15" customHeight="1">
      <c r="B105" s="212">
        <v>41789</v>
      </c>
      <c r="C105" s="647" t="s">
        <v>448</v>
      </c>
      <c r="D105" s="213"/>
      <c r="E105" s="214"/>
      <c r="F105" s="228">
        <v>13636408539</v>
      </c>
      <c r="G105" s="283">
        <f>G104+F105-E105</f>
        <v>32851753300.199997</v>
      </c>
      <c r="I105" s="190">
        <v>18682073418</v>
      </c>
    </row>
    <row r="106" spans="2:10" ht="15" customHeight="1">
      <c r="B106" s="277">
        <v>41765</v>
      </c>
      <c r="C106" s="390" t="s">
        <v>397</v>
      </c>
      <c r="D106" s="216" t="s">
        <v>398</v>
      </c>
      <c r="E106" s="217">
        <v>612393852</v>
      </c>
      <c r="F106" s="228"/>
      <c r="G106" s="283">
        <f>G105+F106-E106</f>
        <v>32239359448.199997</v>
      </c>
      <c r="I106" s="190">
        <f>G99-I105</f>
        <v>462290695.19999695</v>
      </c>
    </row>
    <row r="107" spans="2:10" ht="15" customHeight="1">
      <c r="B107" s="277">
        <v>41766</v>
      </c>
      <c r="C107" s="390" t="s">
        <v>494</v>
      </c>
      <c r="D107" s="216" t="s">
        <v>495</v>
      </c>
      <c r="E107" s="217">
        <f>669141066+299989910+176629178</f>
        <v>1145760154</v>
      </c>
      <c r="F107" s="228"/>
      <c r="G107" s="283">
        <f t="shared" si="2"/>
        <v>31093599294.199997</v>
      </c>
    </row>
    <row r="108" spans="2:10" ht="15" customHeight="1">
      <c r="B108" s="277">
        <v>41766</v>
      </c>
      <c r="C108" s="390" t="s">
        <v>494</v>
      </c>
      <c r="D108" s="216" t="s">
        <v>496</v>
      </c>
      <c r="E108" s="217">
        <v>8239846</v>
      </c>
      <c r="F108" s="228"/>
      <c r="G108" s="283">
        <f t="shared" si="2"/>
        <v>31085359448.199997</v>
      </c>
      <c r="I108" s="190">
        <v>19215344761</v>
      </c>
    </row>
    <row r="109" spans="2:10" ht="15" customHeight="1">
      <c r="B109" s="277">
        <v>41768</v>
      </c>
      <c r="C109" s="390" t="s">
        <v>399</v>
      </c>
      <c r="D109" s="216" t="s">
        <v>400</v>
      </c>
      <c r="E109" s="217">
        <v>59354934</v>
      </c>
      <c r="F109" s="228"/>
      <c r="G109" s="283">
        <f t="shared" si="2"/>
        <v>31026004514.199997</v>
      </c>
      <c r="I109" s="190">
        <f>I108-G99</f>
        <v>70980647.800003052</v>
      </c>
    </row>
    <row r="110" spans="2:10" ht="15" customHeight="1">
      <c r="B110" s="277">
        <v>41768</v>
      </c>
      <c r="C110" s="390" t="s">
        <v>399</v>
      </c>
      <c r="D110" s="216" t="s">
        <v>401</v>
      </c>
      <c r="E110" s="217">
        <f>173639400+354949694</f>
        <v>528589094</v>
      </c>
      <c r="F110" s="228"/>
      <c r="G110" s="283">
        <f t="shared" si="2"/>
        <v>30497415420.199997</v>
      </c>
    </row>
    <row r="111" spans="2:10" ht="15" customHeight="1">
      <c r="B111" s="288">
        <v>41771</v>
      </c>
      <c r="C111" s="390" t="s">
        <v>410</v>
      </c>
      <c r="D111" s="216" t="s">
        <v>411</v>
      </c>
      <c r="E111" s="217">
        <v>556682544</v>
      </c>
      <c r="F111" s="228"/>
      <c r="G111" s="283">
        <f t="shared" si="2"/>
        <v>29940732876.199997</v>
      </c>
    </row>
    <row r="112" spans="2:10" ht="15" customHeight="1">
      <c r="B112" s="288">
        <v>41772</v>
      </c>
      <c r="C112" s="390" t="s">
        <v>412</v>
      </c>
      <c r="D112" s="216" t="s">
        <v>413</v>
      </c>
      <c r="E112" s="217">
        <v>1040885931</v>
      </c>
      <c r="F112" s="228"/>
      <c r="G112" s="283">
        <f t="shared" si="2"/>
        <v>28899846945.199997</v>
      </c>
    </row>
    <row r="113" spans="2:9" ht="15" customHeight="1">
      <c r="B113" s="288">
        <v>41775</v>
      </c>
      <c r="C113" s="390" t="s">
        <v>414</v>
      </c>
      <c r="D113" s="216" t="s">
        <v>415</v>
      </c>
      <c r="E113" s="217">
        <v>1291043853</v>
      </c>
      <c r="F113" s="211"/>
      <c r="G113" s="283">
        <f t="shared" si="2"/>
        <v>27608803092.199997</v>
      </c>
    </row>
    <row r="114" spans="2:9" ht="15" customHeight="1">
      <c r="B114" s="288">
        <v>41782</v>
      </c>
      <c r="C114" s="390" t="s">
        <v>416</v>
      </c>
      <c r="D114" s="216" t="s">
        <v>417</v>
      </c>
      <c r="E114" s="217">
        <v>1185563244</v>
      </c>
      <c r="F114" s="228"/>
      <c r="G114" s="283">
        <f t="shared" si="2"/>
        <v>26423239848.199997</v>
      </c>
    </row>
    <row r="115" spans="2:9" ht="15" customHeight="1">
      <c r="B115" s="288">
        <v>41782</v>
      </c>
      <c r="C115" s="390" t="s">
        <v>416</v>
      </c>
      <c r="D115" s="216" t="s">
        <v>418</v>
      </c>
      <c r="E115" s="217">
        <v>317540762</v>
      </c>
      <c r="F115" s="228"/>
      <c r="G115" s="283">
        <f t="shared" si="2"/>
        <v>26105699086.199997</v>
      </c>
    </row>
    <row r="116" spans="2:9" ht="15" customHeight="1">
      <c r="B116" s="288">
        <v>41785</v>
      </c>
      <c r="C116" s="390" t="s">
        <v>420</v>
      </c>
      <c r="D116" s="468" t="s">
        <v>419</v>
      </c>
      <c r="E116" s="469">
        <v>410754641</v>
      </c>
      <c r="F116" s="211"/>
      <c r="G116" s="283">
        <f t="shared" si="2"/>
        <v>25694944445.199997</v>
      </c>
    </row>
    <row r="117" spans="2:9" ht="15" customHeight="1">
      <c r="B117" s="288">
        <v>41785</v>
      </c>
      <c r="C117" s="390" t="s">
        <v>420</v>
      </c>
      <c r="D117" s="216" t="s">
        <v>421</v>
      </c>
      <c r="E117" s="217">
        <v>715663212</v>
      </c>
      <c r="F117" s="211"/>
      <c r="G117" s="283">
        <f t="shared" si="2"/>
        <v>24979281233.199997</v>
      </c>
    </row>
    <row r="118" spans="2:9" ht="15" customHeight="1">
      <c r="B118" s="288">
        <v>41787</v>
      </c>
      <c r="C118" s="390" t="s">
        <v>422</v>
      </c>
      <c r="D118" s="216" t="s">
        <v>423</v>
      </c>
      <c r="E118" s="217">
        <f>231787061+977786634+135108296+173143520</f>
        <v>1517825511</v>
      </c>
      <c r="F118" s="211"/>
      <c r="G118" s="283">
        <f t="shared" si="2"/>
        <v>23461455722.199997</v>
      </c>
    </row>
    <row r="119" spans="2:9" ht="15" customHeight="1">
      <c r="B119" s="288">
        <v>41787</v>
      </c>
      <c r="C119" s="390" t="s">
        <v>422</v>
      </c>
      <c r="D119" s="464" t="s">
        <v>424</v>
      </c>
      <c r="E119" s="217">
        <v>4714448</v>
      </c>
      <c r="F119" s="211"/>
      <c r="G119" s="283">
        <f t="shared" si="2"/>
        <v>23456741274.199997</v>
      </c>
    </row>
    <row r="120" spans="2:9" ht="15" customHeight="1">
      <c r="B120" s="288">
        <v>41789</v>
      </c>
      <c r="C120" s="390" t="s">
        <v>429</v>
      </c>
      <c r="D120" s="216" t="s">
        <v>430</v>
      </c>
      <c r="E120" s="217">
        <v>1290752898</v>
      </c>
      <c r="F120" s="228"/>
      <c r="G120" s="283">
        <f t="shared" si="2"/>
        <v>22165988376.199997</v>
      </c>
      <c r="I120" s="190">
        <f>G123-F105</f>
        <v>2721167891.1999969</v>
      </c>
    </row>
    <row r="121" spans="2:9" ht="15" customHeight="1">
      <c r="B121" s="288">
        <v>41775</v>
      </c>
      <c r="C121" s="460" t="s">
        <v>457</v>
      </c>
      <c r="D121" s="468" t="s">
        <v>458</v>
      </c>
      <c r="E121" s="217">
        <v>1427448443</v>
      </c>
      <c r="F121" s="228"/>
      <c r="G121" s="283">
        <f t="shared" si="2"/>
        <v>20738539933.199997</v>
      </c>
      <c r="I121" s="190">
        <f>SUM(E106:E122)</f>
        <v>16484286286</v>
      </c>
    </row>
    <row r="122" spans="2:9" ht="15" customHeight="1">
      <c r="B122" s="288">
        <v>41778</v>
      </c>
      <c r="C122" s="460" t="s">
        <v>459</v>
      </c>
      <c r="D122" s="216" t="s">
        <v>460</v>
      </c>
      <c r="E122" s="217">
        <v>4371072919</v>
      </c>
      <c r="F122" s="228"/>
      <c r="G122" s="283">
        <f t="shared" si="2"/>
        <v>16367467014.199997</v>
      </c>
    </row>
    <row r="123" spans="2:9" ht="15" customHeight="1">
      <c r="B123" s="288">
        <v>41789</v>
      </c>
      <c r="C123" s="460"/>
      <c r="D123" s="468" t="s">
        <v>733</v>
      </c>
      <c r="E123" s="469">
        <v>9890584</v>
      </c>
      <c r="F123" s="228"/>
      <c r="G123" s="372">
        <f t="shared" si="2"/>
        <v>16357576430.199997</v>
      </c>
    </row>
    <row r="124" spans="2:9" ht="15" customHeight="1">
      <c r="B124" s="227">
        <v>41820</v>
      </c>
      <c r="C124" s="326" t="s">
        <v>499</v>
      </c>
      <c r="D124" s="213"/>
      <c r="E124" s="214"/>
      <c r="F124" s="228">
        <v>17705594733</v>
      </c>
      <c r="G124" s="283">
        <f>G123+F124-E124</f>
        <v>34063171163.199997</v>
      </c>
    </row>
    <row r="125" spans="2:9" ht="15" customHeight="1">
      <c r="B125" s="288">
        <v>41795</v>
      </c>
      <c r="C125" s="460" t="s">
        <v>506</v>
      </c>
      <c r="D125" s="655" t="s">
        <v>507</v>
      </c>
      <c r="E125" s="217">
        <v>7192065</v>
      </c>
      <c r="F125" s="228"/>
      <c r="G125" s="283">
        <f t="shared" si="2"/>
        <v>34055979098.199997</v>
      </c>
    </row>
    <row r="126" spans="2:9" ht="15" customHeight="1">
      <c r="B126" s="288">
        <v>41795</v>
      </c>
      <c r="C126" s="460" t="s">
        <v>506</v>
      </c>
      <c r="D126" s="468" t="s">
        <v>508</v>
      </c>
      <c r="E126" s="475">
        <f>61405476+1552083443-71221385</f>
        <v>1542267534</v>
      </c>
      <c r="F126" s="642"/>
      <c r="G126" s="283">
        <f t="shared" si="2"/>
        <v>32513711564.199997</v>
      </c>
    </row>
    <row r="127" spans="2:9" ht="15" customHeight="1">
      <c r="B127" s="277">
        <v>41795</v>
      </c>
      <c r="C127" s="460" t="s">
        <v>509</v>
      </c>
      <c r="D127" s="464" t="s">
        <v>510</v>
      </c>
      <c r="E127" s="217">
        <v>1204026991</v>
      </c>
      <c r="F127" s="642"/>
      <c r="G127" s="283">
        <f t="shared" si="2"/>
        <v>31309684573.199997</v>
      </c>
    </row>
    <row r="128" spans="2:9" ht="15" customHeight="1">
      <c r="B128" s="467">
        <v>41795</v>
      </c>
      <c r="C128" s="460" t="s">
        <v>523</v>
      </c>
      <c r="D128" s="468" t="s">
        <v>524</v>
      </c>
      <c r="E128" s="469">
        <v>47810552</v>
      </c>
      <c r="F128" s="642"/>
      <c r="G128" s="283">
        <f t="shared" si="2"/>
        <v>31261874021.199997</v>
      </c>
    </row>
    <row r="129" spans="2:9" ht="15" customHeight="1">
      <c r="B129" s="467">
        <v>41795</v>
      </c>
      <c r="C129" s="460" t="s">
        <v>523</v>
      </c>
      <c r="D129" s="468" t="s">
        <v>525</v>
      </c>
      <c r="E129" s="469">
        <f>988524998+143647427</f>
        <v>1132172425</v>
      </c>
      <c r="F129" s="646"/>
      <c r="G129" s="283">
        <f t="shared" si="2"/>
        <v>30129701596.199997</v>
      </c>
    </row>
    <row r="130" spans="2:9" ht="15" customHeight="1">
      <c r="B130" s="467">
        <v>41795</v>
      </c>
      <c r="C130" s="460" t="s">
        <v>523</v>
      </c>
      <c r="D130" s="468" t="s">
        <v>526</v>
      </c>
      <c r="E130" s="475">
        <v>9517023</v>
      </c>
      <c r="F130" s="329"/>
      <c r="G130" s="283">
        <f t="shared" si="2"/>
        <v>30120184573.199997</v>
      </c>
    </row>
    <row r="131" spans="2:9" ht="15" customHeight="1">
      <c r="B131" s="288">
        <v>41801</v>
      </c>
      <c r="C131" s="460" t="s">
        <v>500</v>
      </c>
      <c r="D131" s="655" t="s">
        <v>501</v>
      </c>
      <c r="E131" s="217">
        <v>1818133845</v>
      </c>
      <c r="F131" s="329"/>
      <c r="G131" s="283">
        <f t="shared" si="2"/>
        <v>28302050728.199997</v>
      </c>
    </row>
    <row r="132" spans="2:9" ht="15" customHeight="1">
      <c r="B132" s="288">
        <v>41802</v>
      </c>
      <c r="C132" s="460" t="s">
        <v>511</v>
      </c>
      <c r="D132" s="464" t="s">
        <v>512</v>
      </c>
      <c r="E132" s="217">
        <v>1054155256</v>
      </c>
      <c r="F132" s="329"/>
      <c r="G132" s="283">
        <f t="shared" si="2"/>
        <v>27247895472.199997</v>
      </c>
    </row>
    <row r="133" spans="2:9" ht="15" customHeight="1">
      <c r="B133" s="288">
        <v>41802</v>
      </c>
      <c r="C133" s="460" t="s">
        <v>511</v>
      </c>
      <c r="D133" s="216" t="s">
        <v>513</v>
      </c>
      <c r="E133" s="469">
        <v>465002452</v>
      </c>
      <c r="F133" s="211"/>
      <c r="G133" s="283">
        <f t="shared" si="2"/>
        <v>26782893020.199997</v>
      </c>
    </row>
    <row r="134" spans="2:9" ht="15" customHeight="1">
      <c r="B134" s="467">
        <v>41808</v>
      </c>
      <c r="C134" s="460" t="s">
        <v>531</v>
      </c>
      <c r="D134" s="468" t="s">
        <v>532</v>
      </c>
      <c r="E134" s="475">
        <v>166805122</v>
      </c>
      <c r="F134" s="329"/>
      <c r="G134" s="283">
        <f t="shared" si="2"/>
        <v>26616087898.199997</v>
      </c>
    </row>
    <row r="135" spans="2:9" ht="15" customHeight="1">
      <c r="B135" s="467">
        <v>41808</v>
      </c>
      <c r="C135" s="460" t="s">
        <v>531</v>
      </c>
      <c r="D135" s="468" t="s">
        <v>533</v>
      </c>
      <c r="E135" s="475">
        <f>585871149+2651196575+2386013762</f>
        <v>5623081486</v>
      </c>
      <c r="F135" s="329"/>
      <c r="G135" s="283">
        <f t="shared" si="2"/>
        <v>20993006412.199997</v>
      </c>
    </row>
    <row r="136" spans="2:9" ht="15" customHeight="1">
      <c r="B136" s="467">
        <v>41808</v>
      </c>
      <c r="C136" s="460" t="s">
        <v>531</v>
      </c>
      <c r="D136" s="216" t="s">
        <v>534</v>
      </c>
      <c r="E136" s="217">
        <v>1040079906</v>
      </c>
      <c r="F136" s="329"/>
      <c r="G136" s="283">
        <f t="shared" si="2"/>
        <v>19952926506.199997</v>
      </c>
    </row>
    <row r="137" spans="2:9" ht="15" customHeight="1">
      <c r="B137" s="467">
        <v>41809</v>
      </c>
      <c r="C137" s="460" t="s">
        <v>592</v>
      </c>
      <c r="D137" s="216" t="s">
        <v>593</v>
      </c>
      <c r="E137" s="217">
        <v>498667312</v>
      </c>
      <c r="F137" s="329"/>
      <c r="G137" s="283">
        <f t="shared" si="2"/>
        <v>19454259194.199997</v>
      </c>
    </row>
    <row r="138" spans="2:9" ht="15" customHeight="1">
      <c r="B138" s="467">
        <v>41814</v>
      </c>
      <c r="C138" s="460" t="s">
        <v>590</v>
      </c>
      <c r="D138" s="216" t="s">
        <v>591</v>
      </c>
      <c r="E138" s="217">
        <v>240557746</v>
      </c>
      <c r="F138" s="329"/>
      <c r="G138" s="283">
        <f t="shared" si="2"/>
        <v>19213701448.199997</v>
      </c>
    </row>
    <row r="139" spans="2:9" ht="15" customHeight="1">
      <c r="B139" s="288">
        <v>41816</v>
      </c>
      <c r="C139" s="460" t="s">
        <v>516</v>
      </c>
      <c r="D139" s="216" t="s">
        <v>517</v>
      </c>
      <c r="E139" s="475">
        <v>1512608179</v>
      </c>
      <c r="F139" s="329"/>
      <c r="G139" s="283">
        <f t="shared" si="2"/>
        <v>17701093269.199997</v>
      </c>
    </row>
    <row r="140" spans="2:9" ht="15" customHeight="1">
      <c r="B140" s="288">
        <v>41817</v>
      </c>
      <c r="C140" s="460" t="s">
        <v>518</v>
      </c>
      <c r="D140" s="655" t="s">
        <v>519</v>
      </c>
      <c r="E140" s="217">
        <v>2003285240</v>
      </c>
      <c r="F140" s="329"/>
      <c r="G140" s="283">
        <f t="shared" si="2"/>
        <v>15697808029.199997</v>
      </c>
    </row>
    <row r="141" spans="2:9" ht="15" customHeight="1">
      <c r="B141" s="467">
        <v>41820</v>
      </c>
      <c r="C141" s="460" t="s">
        <v>520</v>
      </c>
      <c r="D141" s="468" t="s">
        <v>521</v>
      </c>
      <c r="E141" s="475">
        <f>384982624+203470091+1672281820</f>
        <v>2260734535</v>
      </c>
      <c r="F141" s="329"/>
      <c r="G141" s="283">
        <f t="shared" si="2"/>
        <v>13437073494.199997</v>
      </c>
    </row>
    <row r="142" spans="2:9" ht="15" customHeight="1">
      <c r="B142" s="467">
        <v>41820</v>
      </c>
      <c r="C142" s="460" t="s">
        <v>520</v>
      </c>
      <c r="D142" s="468" t="s">
        <v>522</v>
      </c>
      <c r="E142" s="475">
        <v>773978678</v>
      </c>
      <c r="F142" s="329"/>
      <c r="G142" s="372">
        <f t="shared" si="2"/>
        <v>12663094816.199997</v>
      </c>
      <c r="I142" s="190">
        <f>SUM(E125:E142)</f>
        <v>21400076347</v>
      </c>
    </row>
    <row r="143" spans="2:9" ht="15" customHeight="1">
      <c r="B143" s="227">
        <v>41844</v>
      </c>
      <c r="C143" s="326" t="s">
        <v>578</v>
      </c>
      <c r="D143" s="328"/>
      <c r="E143" s="329"/>
      <c r="F143" s="329">
        <v>15412418952</v>
      </c>
      <c r="G143" s="283">
        <f t="shared" si="2"/>
        <v>28075513768.199997</v>
      </c>
      <c r="I143" s="190">
        <v>21400076347</v>
      </c>
    </row>
    <row r="144" spans="2:9" ht="15" customHeight="1">
      <c r="B144" s="467">
        <v>41822</v>
      </c>
      <c r="C144" s="467" t="s">
        <v>616</v>
      </c>
      <c r="D144" s="468" t="s">
        <v>612</v>
      </c>
      <c r="E144" s="475">
        <v>2123590305</v>
      </c>
      <c r="F144" s="329"/>
      <c r="G144" s="283">
        <f t="shared" si="2"/>
        <v>25951923463.199997</v>
      </c>
      <c r="I144" s="190">
        <f>I143-I142</f>
        <v>0</v>
      </c>
    </row>
    <row r="145" spans="2:10" ht="15" customHeight="1">
      <c r="B145" s="467">
        <v>41823</v>
      </c>
      <c r="C145" s="460" t="s">
        <v>579</v>
      </c>
      <c r="D145" s="468" t="s">
        <v>580</v>
      </c>
      <c r="E145" s="475">
        <v>3007839813</v>
      </c>
      <c r="F145" s="329"/>
      <c r="G145" s="283">
        <f t="shared" si="2"/>
        <v>22944083650.199997</v>
      </c>
    </row>
    <row r="146" spans="2:10" ht="15" customHeight="1">
      <c r="B146" s="467">
        <v>41831</v>
      </c>
      <c r="C146" s="467" t="s">
        <v>617</v>
      </c>
      <c r="D146" s="468" t="s">
        <v>614</v>
      </c>
      <c r="E146" s="475">
        <v>3098928525</v>
      </c>
      <c r="F146" s="469"/>
      <c r="G146" s="283">
        <f t="shared" ref="G146:G208" si="3">G145+F146-E146</f>
        <v>19845155125.199997</v>
      </c>
    </row>
    <row r="147" spans="2:10" ht="15" customHeight="1">
      <c r="B147" s="467">
        <v>41836</v>
      </c>
      <c r="C147" s="460" t="s">
        <v>618</v>
      </c>
      <c r="D147" s="468" t="s">
        <v>581</v>
      </c>
      <c r="E147" s="475">
        <v>636031616</v>
      </c>
      <c r="F147" s="329"/>
      <c r="G147" s="283">
        <f t="shared" si="3"/>
        <v>19209123509.199997</v>
      </c>
    </row>
    <row r="148" spans="2:10" ht="15" customHeight="1">
      <c r="B148" s="467">
        <v>41836</v>
      </c>
      <c r="C148" s="460" t="s">
        <v>618</v>
      </c>
      <c r="D148" s="468" t="s">
        <v>582</v>
      </c>
      <c r="E148" s="475">
        <v>3801206021</v>
      </c>
      <c r="F148" s="329"/>
      <c r="G148" s="283">
        <f t="shared" si="3"/>
        <v>15407917488.199997</v>
      </c>
    </row>
    <row r="149" spans="2:10" ht="15" customHeight="1">
      <c r="B149" s="467">
        <v>41836</v>
      </c>
      <c r="C149" s="460" t="s">
        <v>618</v>
      </c>
      <c r="D149" s="476" t="s">
        <v>583</v>
      </c>
      <c r="E149" s="475">
        <v>1998142369</v>
      </c>
      <c r="F149" s="329"/>
      <c r="G149" s="283">
        <f t="shared" si="3"/>
        <v>13409775119.199997</v>
      </c>
    </row>
    <row r="150" spans="2:10" ht="15" customHeight="1">
      <c r="B150" s="288">
        <v>41842</v>
      </c>
      <c r="C150" s="460" t="s">
        <v>619</v>
      </c>
      <c r="D150" s="216" t="s">
        <v>584</v>
      </c>
      <c r="E150" s="217">
        <v>2163187807</v>
      </c>
      <c r="F150" s="329"/>
      <c r="G150" s="283">
        <f t="shared" si="3"/>
        <v>11246587312.199997</v>
      </c>
    </row>
    <row r="151" spans="2:10" ht="15" customHeight="1">
      <c r="B151" s="288">
        <v>41843</v>
      </c>
      <c r="C151" s="460" t="s">
        <v>620</v>
      </c>
      <c r="D151" s="468" t="s">
        <v>585</v>
      </c>
      <c r="E151" s="469">
        <f>430722124+278765366</f>
        <v>709487490</v>
      </c>
      <c r="F151" s="329"/>
      <c r="G151" s="283">
        <f t="shared" si="3"/>
        <v>10537099822.199997</v>
      </c>
    </row>
    <row r="152" spans="2:10" ht="15" customHeight="1">
      <c r="B152" s="288">
        <v>41843</v>
      </c>
      <c r="C152" s="460" t="s">
        <v>620</v>
      </c>
      <c r="D152" s="468" t="s">
        <v>586</v>
      </c>
      <c r="E152" s="475">
        <f>99151932+254638433</f>
        <v>353790365</v>
      </c>
      <c r="F152" s="329"/>
      <c r="G152" s="283">
        <f t="shared" si="3"/>
        <v>10183309457.199997</v>
      </c>
    </row>
    <row r="153" spans="2:10" ht="15" customHeight="1">
      <c r="B153" s="467">
        <v>41843</v>
      </c>
      <c r="C153" s="467" t="s">
        <v>621</v>
      </c>
      <c r="D153" s="479" t="s">
        <v>599</v>
      </c>
      <c r="E153" s="475">
        <v>309241658</v>
      </c>
      <c r="F153" s="329"/>
      <c r="G153" s="283">
        <f t="shared" si="3"/>
        <v>9874067799.1999969</v>
      </c>
    </row>
    <row r="154" spans="2:10" ht="15" customHeight="1">
      <c r="B154" s="467">
        <v>41844</v>
      </c>
      <c r="C154" s="467" t="s">
        <v>621</v>
      </c>
      <c r="D154" s="468" t="s">
        <v>598</v>
      </c>
      <c r="E154" s="475">
        <f>1058595719-4501464</f>
        <v>1054094255</v>
      </c>
      <c r="F154" s="329"/>
      <c r="G154" s="283">
        <f t="shared" ref="G154:G182" si="4">G153+F154-E154</f>
        <v>8819973544.1999969</v>
      </c>
    </row>
    <row r="155" spans="2:10" ht="15" customHeight="1">
      <c r="B155" s="467">
        <v>41844</v>
      </c>
      <c r="C155" s="467"/>
      <c r="D155" s="468" t="s">
        <v>732</v>
      </c>
      <c r="E155" s="475">
        <v>49111172</v>
      </c>
      <c r="F155" s="329"/>
      <c r="G155" s="372">
        <f t="shared" si="4"/>
        <v>8770862372.1999969</v>
      </c>
      <c r="I155" s="190">
        <f>SUM(F143)</f>
        <v>15412418952</v>
      </c>
      <c r="J155" s="190">
        <f>SUM(E144:E154)</f>
        <v>19255540224</v>
      </c>
    </row>
    <row r="156" spans="2:10" ht="15" customHeight="1">
      <c r="B156" s="327">
        <v>41880</v>
      </c>
      <c r="C156" s="327" t="s">
        <v>730</v>
      </c>
      <c r="D156" s="328"/>
      <c r="E156" s="331"/>
      <c r="F156" s="329">
        <v>18381771474</v>
      </c>
      <c r="G156" s="283">
        <f>G155+F156</f>
        <v>27152633846.199997</v>
      </c>
    </row>
    <row r="157" spans="2:10" ht="15" customHeight="1">
      <c r="B157" s="467">
        <v>41857</v>
      </c>
      <c r="C157" s="467" t="s">
        <v>622</v>
      </c>
      <c r="D157" s="468" t="s">
        <v>623</v>
      </c>
      <c r="E157" s="475">
        <v>3600116509</v>
      </c>
      <c r="F157" s="329"/>
      <c r="G157" s="283">
        <f>G156+F157-E157</f>
        <v>23552517337.199997</v>
      </c>
    </row>
    <row r="158" spans="2:10" ht="15" customHeight="1">
      <c r="B158" s="467">
        <v>41856</v>
      </c>
      <c r="C158" s="467" t="s">
        <v>652</v>
      </c>
      <c r="D158" s="460" t="s">
        <v>653</v>
      </c>
      <c r="E158" s="475">
        <f>2957727+191400+40999090</f>
        <v>44148217</v>
      </c>
      <c r="F158" s="329"/>
      <c r="G158" s="283">
        <f t="shared" ref="G158:G175" si="5">G157+F158-E158</f>
        <v>23508369120.199997</v>
      </c>
    </row>
    <row r="159" spans="2:10" ht="15" customHeight="1">
      <c r="B159" s="467">
        <v>41856</v>
      </c>
      <c r="C159" s="467" t="s">
        <v>652</v>
      </c>
      <c r="D159" s="479" t="s">
        <v>654</v>
      </c>
      <c r="E159" s="475">
        <v>159717184</v>
      </c>
      <c r="F159" s="329"/>
      <c r="G159" s="283">
        <f t="shared" si="5"/>
        <v>23348651936.199997</v>
      </c>
    </row>
    <row r="160" spans="2:10" ht="15" customHeight="1">
      <c r="B160" s="467">
        <v>41856</v>
      </c>
      <c r="C160" s="467" t="s">
        <v>652</v>
      </c>
      <c r="D160" s="479" t="s">
        <v>655</v>
      </c>
      <c r="E160" s="475">
        <v>2519585</v>
      </c>
      <c r="F160" s="329"/>
      <c r="G160" s="283">
        <f t="shared" si="5"/>
        <v>23346132351.199997</v>
      </c>
    </row>
    <row r="161" spans="2:10" ht="15" customHeight="1">
      <c r="B161" s="467">
        <v>41859</v>
      </c>
      <c r="C161" s="467" t="s">
        <v>656</v>
      </c>
      <c r="D161" s="468" t="s">
        <v>657</v>
      </c>
      <c r="E161" s="475">
        <v>2531561274</v>
      </c>
      <c r="F161" s="329"/>
      <c r="G161" s="283">
        <f t="shared" si="5"/>
        <v>20814571077.199997</v>
      </c>
    </row>
    <row r="162" spans="2:10" ht="15" customHeight="1">
      <c r="B162" s="467">
        <v>41863</v>
      </c>
      <c r="C162" s="467" t="s">
        <v>661</v>
      </c>
      <c r="D162" s="468" t="s">
        <v>662</v>
      </c>
      <c r="E162" s="475">
        <v>24666915</v>
      </c>
      <c r="F162" s="329"/>
      <c r="G162" s="283">
        <f t="shared" si="5"/>
        <v>20789904162.199997</v>
      </c>
    </row>
    <row r="163" spans="2:10" ht="15" customHeight="1">
      <c r="B163" s="467">
        <v>41863</v>
      </c>
      <c r="C163" s="467" t="s">
        <v>661</v>
      </c>
      <c r="D163" s="479" t="s">
        <v>663</v>
      </c>
      <c r="E163" s="475">
        <v>151569660</v>
      </c>
      <c r="F163" s="329"/>
      <c r="G163" s="283">
        <f t="shared" si="5"/>
        <v>20638334502.199997</v>
      </c>
    </row>
    <row r="164" spans="2:10" ht="15" customHeight="1">
      <c r="B164" s="467">
        <v>41863</v>
      </c>
      <c r="C164" s="467" t="s">
        <v>661</v>
      </c>
      <c r="D164" s="479" t="s">
        <v>664</v>
      </c>
      <c r="E164" s="475">
        <v>27628826</v>
      </c>
      <c r="F164" s="329"/>
      <c r="G164" s="283">
        <f t="shared" si="5"/>
        <v>20610705676.199997</v>
      </c>
    </row>
    <row r="165" spans="2:10" ht="15" customHeight="1">
      <c r="B165" s="467">
        <v>41863</v>
      </c>
      <c r="C165" s="467" t="s">
        <v>665</v>
      </c>
      <c r="D165" s="468" t="s">
        <v>666</v>
      </c>
      <c r="E165" s="475">
        <v>14448000</v>
      </c>
      <c r="F165" s="329"/>
      <c r="G165" s="283">
        <f t="shared" si="5"/>
        <v>20596257676.199997</v>
      </c>
    </row>
    <row r="166" spans="2:10" ht="15" customHeight="1">
      <c r="B166" s="467">
        <v>41863</v>
      </c>
      <c r="C166" s="467" t="s">
        <v>665</v>
      </c>
      <c r="D166" s="468" t="s">
        <v>667</v>
      </c>
      <c r="E166" s="475">
        <v>1032546570</v>
      </c>
      <c r="F166" s="329"/>
      <c r="G166" s="283">
        <f t="shared" si="5"/>
        <v>19563711106.199997</v>
      </c>
    </row>
    <row r="167" spans="2:10" ht="15" customHeight="1">
      <c r="B167" s="467">
        <v>41865</v>
      </c>
      <c r="C167" s="467" t="s">
        <v>670</v>
      </c>
      <c r="D167" s="468" t="s">
        <v>671</v>
      </c>
      <c r="E167" s="475">
        <v>1231050754</v>
      </c>
      <c r="F167" s="329"/>
      <c r="G167" s="283">
        <f t="shared" si="5"/>
        <v>18332660352.199997</v>
      </c>
    </row>
    <row r="168" spans="2:10" ht="15" customHeight="1">
      <c r="B168" s="467">
        <v>41870</v>
      </c>
      <c r="C168" s="467" t="s">
        <v>672</v>
      </c>
      <c r="D168" s="460" t="s">
        <v>673</v>
      </c>
      <c r="E168" s="475">
        <v>1434591219</v>
      </c>
      <c r="F168" s="329"/>
      <c r="G168" s="283">
        <f t="shared" si="5"/>
        <v>16898069133.199997</v>
      </c>
    </row>
    <row r="169" spans="2:10" ht="15" customHeight="1">
      <c r="B169" s="467">
        <v>41879</v>
      </c>
      <c r="C169" s="467" t="s">
        <v>679</v>
      </c>
      <c r="D169" s="460" t="s">
        <v>680</v>
      </c>
      <c r="E169" s="475">
        <v>1230685423</v>
      </c>
      <c r="F169" s="329"/>
      <c r="G169" s="283">
        <f t="shared" si="5"/>
        <v>15667383710.199997</v>
      </c>
    </row>
    <row r="170" spans="2:10" ht="15" customHeight="1">
      <c r="B170" s="467">
        <v>41857</v>
      </c>
      <c r="C170" s="467" t="s">
        <v>622</v>
      </c>
      <c r="D170" s="468" t="s">
        <v>623</v>
      </c>
      <c r="E170" s="475">
        <v>3600116509</v>
      </c>
      <c r="F170" s="329"/>
      <c r="G170" s="283">
        <f t="shared" si="5"/>
        <v>12067267201.199997</v>
      </c>
    </row>
    <row r="171" spans="2:10" ht="15" customHeight="1">
      <c r="B171" s="467">
        <v>41870</v>
      </c>
      <c r="C171" s="467" t="s">
        <v>693</v>
      </c>
      <c r="D171" s="468" t="s">
        <v>694</v>
      </c>
      <c r="E171" s="475">
        <v>2713092972</v>
      </c>
      <c r="F171" s="329"/>
      <c r="G171" s="283">
        <f t="shared" si="5"/>
        <v>9354174229.1999969</v>
      </c>
    </row>
    <row r="172" spans="2:10" ht="15" customHeight="1">
      <c r="B172" s="467">
        <v>41870</v>
      </c>
      <c r="C172" s="467" t="s">
        <v>693</v>
      </c>
      <c r="D172" s="664" t="s">
        <v>695</v>
      </c>
      <c r="E172" s="475">
        <v>616000</v>
      </c>
      <c r="F172" s="329"/>
      <c r="G172" s="283">
        <f t="shared" si="5"/>
        <v>9353558229.1999969</v>
      </c>
    </row>
    <row r="173" spans="2:10" ht="15" customHeight="1">
      <c r="B173" s="467">
        <v>41878</v>
      </c>
      <c r="C173" s="467" t="s">
        <v>696</v>
      </c>
      <c r="D173" s="468" t="s">
        <v>697</v>
      </c>
      <c r="E173" s="475">
        <v>2125627244</v>
      </c>
      <c r="F173" s="329"/>
      <c r="G173" s="283">
        <f t="shared" si="5"/>
        <v>7227930985.1999969</v>
      </c>
    </row>
    <row r="174" spans="2:10" ht="15" customHeight="1">
      <c r="B174" s="467">
        <v>41878</v>
      </c>
      <c r="C174" s="467" t="s">
        <v>698</v>
      </c>
      <c r="D174" s="468" t="s">
        <v>699</v>
      </c>
      <c r="E174" s="475">
        <v>292517852</v>
      </c>
      <c r="F174" s="329"/>
      <c r="G174" s="283">
        <f t="shared" si="5"/>
        <v>6935413133.1999969</v>
      </c>
    </row>
    <row r="175" spans="2:10" ht="15" customHeight="1">
      <c r="B175" s="467">
        <v>41880</v>
      </c>
      <c r="C175" s="467"/>
      <c r="D175" s="468" t="s">
        <v>731</v>
      </c>
      <c r="E175" s="475">
        <v>1808268</v>
      </c>
      <c r="F175" s="329"/>
      <c r="G175" s="372">
        <f t="shared" si="5"/>
        <v>6933604865.1999969</v>
      </c>
      <c r="I175" s="190">
        <v>6931796597</v>
      </c>
      <c r="J175" s="190">
        <f>SUM(E157:E174)</f>
        <v>20217220713</v>
      </c>
    </row>
    <row r="176" spans="2:10" ht="15" customHeight="1">
      <c r="B176" s="467"/>
      <c r="C176" s="460"/>
      <c r="D176" s="468"/>
      <c r="E176" s="475"/>
      <c r="F176" s="329"/>
      <c r="G176" s="283">
        <f t="shared" si="4"/>
        <v>6933604865.1999969</v>
      </c>
      <c r="I176" s="190">
        <f>G175-I175</f>
        <v>1808268.1999969482</v>
      </c>
    </row>
    <row r="177" spans="2:10" ht="15" customHeight="1">
      <c r="B177" s="327"/>
      <c r="C177" s="326"/>
      <c r="D177" s="332"/>
      <c r="E177" s="331"/>
      <c r="F177" s="329"/>
      <c r="G177" s="283">
        <f t="shared" si="4"/>
        <v>6933604865.1999969</v>
      </c>
      <c r="J177" s="228"/>
    </row>
    <row r="178" spans="2:10" ht="15" customHeight="1">
      <c r="B178" s="467"/>
      <c r="C178" s="460"/>
      <c r="D178" s="479"/>
      <c r="E178" s="475"/>
      <c r="F178" s="329"/>
      <c r="G178" s="283">
        <f t="shared" si="4"/>
        <v>6933604865.1999969</v>
      </c>
    </row>
    <row r="179" spans="2:10" ht="15" customHeight="1">
      <c r="B179" s="467"/>
      <c r="C179" s="460"/>
      <c r="D179" s="479"/>
      <c r="E179" s="475"/>
      <c r="F179" s="329"/>
      <c r="G179" s="283">
        <f t="shared" si="4"/>
        <v>6933604865.1999969</v>
      </c>
    </row>
    <row r="180" spans="2:10" ht="15" customHeight="1">
      <c r="B180" s="467"/>
      <c r="C180" s="460"/>
      <c r="D180" s="460"/>
      <c r="E180" s="475"/>
      <c r="F180" s="329"/>
      <c r="G180" s="283">
        <f t="shared" si="4"/>
        <v>6933604865.1999969</v>
      </c>
    </row>
    <row r="181" spans="2:10" ht="15" customHeight="1">
      <c r="B181" s="467"/>
      <c r="C181" s="460"/>
      <c r="D181" s="460"/>
      <c r="E181" s="475"/>
      <c r="F181" s="329"/>
      <c r="G181" s="283">
        <f t="shared" si="4"/>
        <v>6933604865.1999969</v>
      </c>
    </row>
    <row r="182" spans="2:10" ht="15" customHeight="1">
      <c r="B182" s="467"/>
      <c r="C182" s="460"/>
      <c r="D182" s="479"/>
      <c r="E182" s="475"/>
      <c r="F182" s="329"/>
      <c r="G182" s="283">
        <f t="shared" si="4"/>
        <v>6933604865.1999969</v>
      </c>
    </row>
    <row r="183" spans="2:10" ht="15" customHeight="1">
      <c r="B183" s="467"/>
      <c r="C183" s="460"/>
      <c r="D183" s="479"/>
      <c r="E183" s="475"/>
      <c r="F183" s="329"/>
      <c r="G183" s="283">
        <f t="shared" si="3"/>
        <v>6933604865.1999969</v>
      </c>
    </row>
    <row r="184" spans="2:10" ht="15" customHeight="1">
      <c r="B184" s="467"/>
      <c r="C184" s="460"/>
      <c r="D184" s="479"/>
      <c r="E184" s="475"/>
      <c r="F184" s="329"/>
      <c r="G184" s="283">
        <f t="shared" si="3"/>
        <v>6933604865.1999969</v>
      </c>
    </row>
    <row r="185" spans="2:10" ht="15" customHeight="1">
      <c r="B185" s="467"/>
      <c r="C185" s="460"/>
      <c r="D185" s="479"/>
      <c r="E185" s="475"/>
      <c r="F185" s="329"/>
      <c r="G185" s="283">
        <f t="shared" si="3"/>
        <v>6933604865.1999969</v>
      </c>
    </row>
    <row r="186" spans="2:10" ht="15" customHeight="1">
      <c r="B186" s="467"/>
      <c r="C186" s="460"/>
      <c r="D186" s="479"/>
      <c r="E186" s="475"/>
      <c r="F186" s="329"/>
      <c r="G186" s="283">
        <f t="shared" si="3"/>
        <v>6933604865.1999969</v>
      </c>
    </row>
    <row r="187" spans="2:10" ht="15" customHeight="1">
      <c r="B187" s="467"/>
      <c r="C187" s="460"/>
      <c r="D187" s="468"/>
      <c r="E187" s="475"/>
      <c r="F187" s="329"/>
      <c r="G187" s="283">
        <f t="shared" si="3"/>
        <v>6933604865.1999969</v>
      </c>
    </row>
    <row r="188" spans="2:10" ht="15" customHeight="1">
      <c r="B188" s="467"/>
      <c r="C188" s="460"/>
      <c r="D188" s="460"/>
      <c r="E188" s="475"/>
      <c r="F188" s="329"/>
      <c r="G188" s="283">
        <f t="shared" si="3"/>
        <v>6933604865.1999969</v>
      </c>
    </row>
    <row r="189" spans="2:10" ht="15" customHeight="1">
      <c r="B189" s="467"/>
      <c r="C189" s="460"/>
      <c r="D189" s="479"/>
      <c r="E189" s="475"/>
      <c r="F189" s="329"/>
      <c r="G189" s="283">
        <f t="shared" si="3"/>
        <v>6933604865.1999969</v>
      </c>
    </row>
    <row r="190" spans="2:10" ht="15" customHeight="1">
      <c r="B190" s="467"/>
      <c r="C190" s="460"/>
      <c r="D190" s="479"/>
      <c r="E190" s="475"/>
      <c r="F190" s="329"/>
      <c r="G190" s="283">
        <f t="shared" si="3"/>
        <v>6933604865.1999969</v>
      </c>
    </row>
    <row r="191" spans="2:10" ht="15" customHeight="1">
      <c r="B191" s="467"/>
      <c r="C191" s="460"/>
      <c r="D191" s="479"/>
      <c r="E191" s="475"/>
      <c r="F191" s="329"/>
      <c r="G191" s="283">
        <f t="shared" si="3"/>
        <v>6933604865.1999969</v>
      </c>
    </row>
    <row r="192" spans="2:10" ht="15" customHeight="1">
      <c r="B192" s="467"/>
      <c r="C192" s="460"/>
      <c r="D192" s="460"/>
      <c r="E192" s="475"/>
      <c r="F192" s="329"/>
      <c r="G192" s="283">
        <f t="shared" si="3"/>
        <v>6933604865.1999969</v>
      </c>
    </row>
    <row r="193" spans="2:10" ht="15" customHeight="1">
      <c r="B193" s="467"/>
      <c r="C193" s="460"/>
      <c r="D193" s="460"/>
      <c r="E193" s="475"/>
      <c r="F193" s="329"/>
      <c r="G193" s="283">
        <f t="shared" si="3"/>
        <v>6933604865.1999969</v>
      </c>
    </row>
    <row r="194" spans="2:10" ht="15" customHeight="1">
      <c r="B194" s="467"/>
      <c r="C194" s="460"/>
      <c r="D194" s="460"/>
      <c r="E194" s="475"/>
      <c r="F194" s="329"/>
      <c r="G194" s="283">
        <f t="shared" si="3"/>
        <v>6933604865.1999969</v>
      </c>
    </row>
    <row r="195" spans="2:10" ht="15" customHeight="1">
      <c r="B195" s="467"/>
      <c r="C195" s="460"/>
      <c r="D195" s="479"/>
      <c r="E195" s="475"/>
      <c r="F195" s="329"/>
      <c r="G195" s="283">
        <f t="shared" si="3"/>
        <v>6933604865.1999969</v>
      </c>
    </row>
    <row r="196" spans="2:10" ht="15" customHeight="1">
      <c r="B196" s="467"/>
      <c r="C196" s="460"/>
      <c r="D196" s="479"/>
      <c r="E196" s="475"/>
      <c r="F196" s="329"/>
      <c r="G196" s="283">
        <f t="shared" si="3"/>
        <v>6933604865.1999969</v>
      </c>
      <c r="J196" s="190">
        <f>SUM(E178:E197)</f>
        <v>0</v>
      </c>
    </row>
    <row r="197" spans="2:10" ht="15" customHeight="1">
      <c r="B197" s="467"/>
      <c r="C197" s="460"/>
      <c r="D197" s="479"/>
      <c r="E197" s="475"/>
      <c r="F197" s="329"/>
      <c r="G197" s="372">
        <f t="shared" si="3"/>
        <v>6933604865.1999969</v>
      </c>
      <c r="I197" s="190">
        <f>G196-F177</f>
        <v>6933604865.1999969</v>
      </c>
      <c r="J197" s="190">
        <v>13684731622</v>
      </c>
    </row>
    <row r="198" spans="2:10" ht="15" customHeight="1">
      <c r="B198" s="327"/>
      <c r="C198" s="326"/>
      <c r="D198" s="328"/>
      <c r="E198" s="331"/>
      <c r="F198" s="329"/>
      <c r="G198" s="283">
        <f t="shared" si="3"/>
        <v>6933604865.1999969</v>
      </c>
      <c r="J198" s="190">
        <f>J197-J196</f>
        <v>13684731622</v>
      </c>
    </row>
    <row r="199" spans="2:10" ht="15" customHeight="1">
      <c r="B199" s="467"/>
      <c r="C199" s="480"/>
      <c r="D199" s="480"/>
      <c r="E199" s="481"/>
      <c r="F199" s="329"/>
      <c r="G199" s="283">
        <f>G198+F199-E199</f>
        <v>6933604865.1999969</v>
      </c>
    </row>
    <row r="200" spans="2:10" ht="15" customHeight="1">
      <c r="B200" s="467"/>
      <c r="C200" s="480"/>
      <c r="D200" s="480"/>
      <c r="E200" s="481"/>
      <c r="F200" s="329"/>
      <c r="G200" s="283">
        <f t="shared" si="3"/>
        <v>6933604865.1999969</v>
      </c>
    </row>
    <row r="201" spans="2:10" ht="15" customHeight="1">
      <c r="B201" s="467"/>
      <c r="C201" s="480"/>
      <c r="D201" s="480"/>
      <c r="E201" s="481"/>
      <c r="F201" s="329"/>
      <c r="G201" s="283">
        <f t="shared" si="3"/>
        <v>6933604865.1999969</v>
      </c>
    </row>
    <row r="202" spans="2:10" ht="15" customHeight="1">
      <c r="B202" s="467"/>
      <c r="C202" s="480"/>
      <c r="D202" s="480"/>
      <c r="E202" s="481"/>
      <c r="F202" s="329"/>
      <c r="G202" s="283">
        <f t="shared" si="3"/>
        <v>6933604865.1999969</v>
      </c>
    </row>
    <row r="203" spans="2:10" ht="15" customHeight="1">
      <c r="B203" s="467"/>
      <c r="C203" s="480"/>
      <c r="D203" s="480"/>
      <c r="E203" s="481"/>
      <c r="F203" s="329"/>
      <c r="G203" s="283">
        <f t="shared" si="3"/>
        <v>6933604865.1999969</v>
      </c>
    </row>
    <row r="204" spans="2:10" ht="15" customHeight="1">
      <c r="B204" s="467"/>
      <c r="C204" s="480"/>
      <c r="D204" s="480"/>
      <c r="E204" s="481"/>
      <c r="F204" s="329"/>
      <c r="G204" s="283">
        <f t="shared" si="3"/>
        <v>6933604865.1999969</v>
      </c>
    </row>
    <row r="205" spans="2:10" ht="15" customHeight="1">
      <c r="B205" s="467"/>
      <c r="C205" s="480"/>
      <c r="D205" s="480"/>
      <c r="E205" s="481"/>
      <c r="F205" s="329"/>
      <c r="G205" s="283">
        <f t="shared" si="3"/>
        <v>6933604865.1999969</v>
      </c>
    </row>
    <row r="206" spans="2:10" ht="15" customHeight="1">
      <c r="B206" s="467"/>
      <c r="C206" s="480"/>
      <c r="D206" s="480"/>
      <c r="E206" s="481"/>
      <c r="F206" s="329"/>
      <c r="G206" s="283">
        <f t="shared" si="3"/>
        <v>6933604865.1999969</v>
      </c>
    </row>
    <row r="207" spans="2:10" ht="15" customHeight="1">
      <c r="B207" s="467"/>
      <c r="C207" s="480"/>
      <c r="D207" s="480"/>
      <c r="E207" s="481"/>
      <c r="F207" s="329"/>
      <c r="G207" s="283">
        <f t="shared" si="3"/>
        <v>6933604865.1999969</v>
      </c>
    </row>
    <row r="208" spans="2:10" ht="15" customHeight="1">
      <c r="B208" s="467"/>
      <c r="C208" s="480"/>
      <c r="D208" s="480"/>
      <c r="E208" s="481"/>
      <c r="F208" s="329"/>
      <c r="G208" s="283">
        <f t="shared" si="3"/>
        <v>6933604865.1999969</v>
      </c>
    </row>
    <row r="209" spans="2:7" ht="15" customHeight="1">
      <c r="B209" s="467"/>
      <c r="C209" s="480"/>
      <c r="D209" s="480"/>
      <c r="E209" s="481"/>
      <c r="F209" s="329"/>
      <c r="G209" s="283">
        <f t="shared" ref="G209:G272" si="6">G208+F209-E209</f>
        <v>6933604865.1999969</v>
      </c>
    </row>
    <row r="210" spans="2:7" ht="15" customHeight="1">
      <c r="B210" s="467"/>
      <c r="C210" s="480"/>
      <c r="D210" s="480"/>
      <c r="E210" s="481"/>
      <c r="F210" s="329"/>
      <c r="G210" s="283">
        <f t="shared" si="6"/>
        <v>6933604865.1999969</v>
      </c>
    </row>
    <row r="211" spans="2:7" ht="15" customHeight="1">
      <c r="B211" s="467"/>
      <c r="C211" s="480"/>
      <c r="D211" s="480"/>
      <c r="E211" s="481"/>
      <c r="F211" s="329"/>
      <c r="G211" s="283">
        <f t="shared" si="6"/>
        <v>6933604865.1999969</v>
      </c>
    </row>
    <row r="212" spans="2:7" ht="15" customHeight="1">
      <c r="B212" s="467"/>
      <c r="C212" s="480"/>
      <c r="D212" s="480"/>
      <c r="E212" s="481"/>
      <c r="F212" s="329"/>
      <c r="G212" s="283">
        <f t="shared" si="6"/>
        <v>6933604865.1999969</v>
      </c>
    </row>
    <row r="213" spans="2:7" ht="15" customHeight="1">
      <c r="B213" s="467"/>
      <c r="C213" s="480"/>
      <c r="D213" s="480"/>
      <c r="E213" s="481"/>
      <c r="F213" s="329"/>
      <c r="G213" s="283">
        <f t="shared" si="6"/>
        <v>6933604865.1999969</v>
      </c>
    </row>
    <row r="214" spans="2:7" ht="15" customHeight="1">
      <c r="B214" s="467"/>
      <c r="C214" s="480"/>
      <c r="D214" s="480"/>
      <c r="E214" s="481"/>
      <c r="F214" s="329"/>
      <c r="G214" s="283">
        <f t="shared" si="6"/>
        <v>6933604865.1999969</v>
      </c>
    </row>
    <row r="215" spans="2:7" ht="15" customHeight="1">
      <c r="B215" s="467"/>
      <c r="C215" s="480"/>
      <c r="D215" s="480"/>
      <c r="E215" s="481"/>
      <c r="F215" s="329"/>
      <c r="G215" s="283">
        <f t="shared" si="6"/>
        <v>6933604865.1999969</v>
      </c>
    </row>
    <row r="216" spans="2:7" ht="15" customHeight="1">
      <c r="B216" s="467"/>
      <c r="C216" s="480"/>
      <c r="D216" s="480"/>
      <c r="E216" s="481"/>
      <c r="F216" s="329"/>
      <c r="G216" s="283">
        <f t="shared" si="6"/>
        <v>6933604865.1999969</v>
      </c>
    </row>
    <row r="217" spans="2:7" ht="15" customHeight="1">
      <c r="B217" s="467"/>
      <c r="C217" s="480"/>
      <c r="D217" s="480"/>
      <c r="E217" s="481"/>
      <c r="F217" s="329"/>
      <c r="G217" s="283">
        <f t="shared" si="6"/>
        <v>6933604865.1999969</v>
      </c>
    </row>
    <row r="218" spans="2:7" ht="15" customHeight="1">
      <c r="B218" s="467"/>
      <c r="C218" s="480"/>
      <c r="D218" s="480"/>
      <c r="E218" s="481"/>
      <c r="F218" s="329"/>
      <c r="G218" s="283">
        <f t="shared" si="6"/>
        <v>6933604865.1999969</v>
      </c>
    </row>
    <row r="219" spans="2:7" ht="15" customHeight="1">
      <c r="B219" s="467"/>
      <c r="C219" s="480"/>
      <c r="D219" s="480"/>
      <c r="E219" s="481"/>
      <c r="F219" s="329"/>
      <c r="G219" s="283">
        <f t="shared" si="6"/>
        <v>6933604865.1999969</v>
      </c>
    </row>
    <row r="220" spans="2:7" ht="15" customHeight="1">
      <c r="B220" s="467"/>
      <c r="C220" s="480"/>
      <c r="D220" s="480"/>
      <c r="E220" s="481"/>
      <c r="F220" s="329"/>
      <c r="G220" s="283">
        <f t="shared" si="6"/>
        <v>6933604865.1999969</v>
      </c>
    </row>
    <row r="221" spans="2:7" ht="15" customHeight="1">
      <c r="B221" s="467"/>
      <c r="C221" s="480"/>
      <c r="D221" s="480"/>
      <c r="E221" s="481"/>
      <c r="F221" s="329"/>
      <c r="G221" s="283">
        <f t="shared" si="6"/>
        <v>6933604865.1999969</v>
      </c>
    </row>
    <row r="222" spans="2:7" ht="15" customHeight="1">
      <c r="B222" s="467"/>
      <c r="C222" s="480"/>
      <c r="D222" s="480"/>
      <c r="E222" s="481"/>
      <c r="F222" s="329"/>
      <c r="G222" s="283">
        <f t="shared" si="6"/>
        <v>6933604865.1999969</v>
      </c>
    </row>
    <row r="223" spans="2:7" ht="15" customHeight="1">
      <c r="B223" s="467"/>
      <c r="C223" s="480"/>
      <c r="D223" s="480"/>
      <c r="E223" s="481"/>
      <c r="F223" s="329"/>
      <c r="G223" s="283">
        <f t="shared" si="6"/>
        <v>6933604865.1999969</v>
      </c>
    </row>
    <row r="224" spans="2:7" ht="15" customHeight="1">
      <c r="B224" s="467"/>
      <c r="C224" s="480"/>
      <c r="D224" s="480"/>
      <c r="E224" s="481"/>
      <c r="F224" s="329"/>
      <c r="G224" s="283">
        <f t="shared" si="6"/>
        <v>6933604865.1999969</v>
      </c>
    </row>
    <row r="225" spans="2:7" ht="15" customHeight="1">
      <c r="B225" s="467"/>
      <c r="C225" s="460"/>
      <c r="D225" s="480"/>
      <c r="E225" s="481"/>
      <c r="F225" s="329"/>
      <c r="G225" s="283">
        <f t="shared" si="6"/>
        <v>6933604865.1999969</v>
      </c>
    </row>
    <row r="226" spans="2:7" ht="15" customHeight="1">
      <c r="B226" s="467"/>
      <c r="C226" s="460"/>
      <c r="D226" s="480"/>
      <c r="E226" s="481"/>
      <c r="F226" s="329"/>
      <c r="G226" s="283">
        <f t="shared" si="6"/>
        <v>6933604865.1999969</v>
      </c>
    </row>
    <row r="227" spans="2:7" ht="15" customHeight="1">
      <c r="B227" s="467"/>
      <c r="C227" s="460"/>
      <c r="D227" s="480"/>
      <c r="E227" s="481"/>
      <c r="F227" s="329"/>
      <c r="G227" s="283">
        <f t="shared" si="6"/>
        <v>6933604865.1999969</v>
      </c>
    </row>
    <row r="228" spans="2:7" ht="15" customHeight="1">
      <c r="B228" s="467"/>
      <c r="C228" s="480"/>
      <c r="D228" s="480"/>
      <c r="E228" s="481"/>
      <c r="F228" s="329"/>
      <c r="G228" s="283">
        <f t="shared" si="6"/>
        <v>6933604865.1999969</v>
      </c>
    </row>
    <row r="229" spans="2:7" ht="15" customHeight="1">
      <c r="B229" s="467"/>
      <c r="C229" s="480"/>
      <c r="D229" s="480"/>
      <c r="E229" s="481"/>
      <c r="F229" s="329"/>
      <c r="G229" s="283">
        <f t="shared" si="6"/>
        <v>6933604865.1999969</v>
      </c>
    </row>
    <row r="230" spans="2:7" ht="15" customHeight="1">
      <c r="B230" s="467"/>
      <c r="C230" s="480"/>
      <c r="D230" s="480"/>
      <c r="E230" s="481"/>
      <c r="F230" s="329"/>
      <c r="G230" s="283">
        <f t="shared" si="6"/>
        <v>6933604865.1999969</v>
      </c>
    </row>
    <row r="231" spans="2:7" ht="15" customHeight="1">
      <c r="B231" s="467"/>
      <c r="C231" s="460"/>
      <c r="D231" s="480"/>
      <c r="E231" s="481"/>
      <c r="F231" s="329"/>
      <c r="G231" s="283">
        <f t="shared" si="6"/>
        <v>6933604865.1999969</v>
      </c>
    </row>
    <row r="232" spans="2:7" ht="15" customHeight="1">
      <c r="B232" s="467"/>
      <c r="C232" s="460"/>
      <c r="D232" s="480"/>
      <c r="E232" s="481"/>
      <c r="F232" s="329"/>
      <c r="G232" s="283">
        <f t="shared" si="6"/>
        <v>6933604865.1999969</v>
      </c>
    </row>
    <row r="233" spans="2:7" ht="15" customHeight="1">
      <c r="B233" s="467"/>
      <c r="C233" s="460"/>
      <c r="D233" s="480"/>
      <c r="E233" s="481"/>
      <c r="F233" s="329"/>
      <c r="G233" s="283">
        <f t="shared" si="6"/>
        <v>6933604865.1999969</v>
      </c>
    </row>
    <row r="234" spans="2:7" ht="15" customHeight="1">
      <c r="B234" s="467"/>
      <c r="C234" s="460"/>
      <c r="D234" s="480"/>
      <c r="E234" s="481"/>
      <c r="F234" s="329"/>
      <c r="G234" s="283">
        <f t="shared" si="6"/>
        <v>6933604865.1999969</v>
      </c>
    </row>
    <row r="235" spans="2:7" ht="15" customHeight="1">
      <c r="B235" s="467"/>
      <c r="C235" s="460"/>
      <c r="D235" s="480"/>
      <c r="E235" s="481"/>
      <c r="F235" s="329"/>
      <c r="G235" s="283">
        <f t="shared" si="6"/>
        <v>6933604865.1999969</v>
      </c>
    </row>
    <row r="236" spans="2:7" ht="15" customHeight="1">
      <c r="B236" s="467"/>
      <c r="C236" s="460"/>
      <c r="D236" s="468"/>
      <c r="E236" s="475"/>
      <c r="F236" s="329"/>
      <c r="G236" s="372">
        <f t="shared" si="6"/>
        <v>6933604865.1999969</v>
      </c>
    </row>
    <row r="237" spans="2:7" ht="15" customHeight="1">
      <c r="B237" s="327"/>
      <c r="C237" s="326"/>
      <c r="D237" s="328"/>
      <c r="E237" s="331"/>
      <c r="F237" s="329"/>
      <c r="G237" s="301">
        <f t="shared" si="6"/>
        <v>6933604865.1999969</v>
      </c>
    </row>
    <row r="238" spans="2:7" ht="15" customHeight="1">
      <c r="B238" s="467"/>
      <c r="C238" s="326"/>
      <c r="D238" s="485"/>
      <c r="E238" s="475"/>
      <c r="F238" s="329"/>
      <c r="G238" s="301">
        <f t="shared" si="6"/>
        <v>6933604865.1999969</v>
      </c>
    </row>
    <row r="239" spans="2:7" ht="15" customHeight="1">
      <c r="B239" s="467"/>
      <c r="C239" s="326"/>
      <c r="D239" s="485"/>
      <c r="E239" s="475"/>
      <c r="F239" s="329"/>
      <c r="G239" s="301">
        <f t="shared" si="6"/>
        <v>6933604865.1999969</v>
      </c>
    </row>
    <row r="240" spans="2:7" ht="27" customHeight="1">
      <c r="B240" s="467"/>
      <c r="C240" s="326"/>
      <c r="D240" s="490"/>
      <c r="E240" s="475"/>
      <c r="F240" s="329"/>
      <c r="G240" s="301">
        <f t="shared" si="6"/>
        <v>6933604865.1999969</v>
      </c>
    </row>
    <row r="241" spans="2:7" ht="15" customHeight="1">
      <c r="B241" s="467"/>
      <c r="C241" s="326"/>
      <c r="D241" s="485"/>
      <c r="E241" s="475"/>
      <c r="F241" s="329"/>
      <c r="G241" s="301">
        <f t="shared" si="6"/>
        <v>6933604865.1999969</v>
      </c>
    </row>
    <row r="242" spans="2:7" ht="15" customHeight="1">
      <c r="B242" s="467"/>
      <c r="C242" s="326"/>
      <c r="D242" s="486"/>
      <c r="E242" s="475"/>
      <c r="F242" s="329"/>
      <c r="G242" s="301">
        <f t="shared" si="6"/>
        <v>6933604865.1999969</v>
      </c>
    </row>
    <row r="243" spans="2:7" ht="15" customHeight="1">
      <c r="B243" s="467"/>
      <c r="C243" s="326"/>
      <c r="D243" s="485"/>
      <c r="E243" s="475"/>
      <c r="F243" s="329"/>
      <c r="G243" s="301">
        <f t="shared" si="6"/>
        <v>6933604865.1999969</v>
      </c>
    </row>
    <row r="244" spans="2:7" ht="15.75" customHeight="1">
      <c r="B244" s="467"/>
      <c r="C244" s="326"/>
      <c r="D244" s="485"/>
      <c r="E244" s="475"/>
      <c r="F244" s="329"/>
      <c r="G244" s="301">
        <f t="shared" si="6"/>
        <v>6933604865.1999969</v>
      </c>
    </row>
    <row r="245" spans="2:7" ht="15.75" customHeight="1">
      <c r="B245" s="467"/>
      <c r="C245" s="326"/>
      <c r="D245" s="485"/>
      <c r="E245" s="475"/>
      <c r="F245" s="329"/>
      <c r="G245" s="301">
        <f t="shared" si="6"/>
        <v>6933604865.1999969</v>
      </c>
    </row>
    <row r="246" spans="2:7" ht="15.75" customHeight="1">
      <c r="B246" s="467"/>
      <c r="C246" s="326"/>
      <c r="D246" s="487"/>
      <c r="E246" s="475"/>
      <c r="F246" s="329"/>
      <c r="G246" s="301">
        <f t="shared" si="6"/>
        <v>6933604865.1999969</v>
      </c>
    </row>
    <row r="247" spans="2:7" ht="24" customHeight="1">
      <c r="B247" s="467"/>
      <c r="C247" s="327"/>
      <c r="D247" s="490"/>
      <c r="E247" s="475"/>
      <c r="F247" s="329"/>
      <c r="G247" s="301">
        <f t="shared" si="6"/>
        <v>6933604865.1999969</v>
      </c>
    </row>
    <row r="248" spans="2:7" ht="15.75" customHeight="1">
      <c r="B248" s="467"/>
      <c r="C248" s="327"/>
      <c r="D248" s="485"/>
      <c r="E248" s="475"/>
      <c r="F248" s="329"/>
      <c r="G248" s="301">
        <f t="shared" si="6"/>
        <v>6933604865.1999969</v>
      </c>
    </row>
    <row r="249" spans="2:7" ht="15.75" customHeight="1">
      <c r="B249" s="467"/>
      <c r="C249" s="326"/>
      <c r="D249" s="485"/>
      <c r="E249" s="475"/>
      <c r="F249" s="329"/>
      <c r="G249" s="301">
        <f t="shared" si="6"/>
        <v>6933604865.1999969</v>
      </c>
    </row>
    <row r="250" spans="2:7" ht="25.5" customHeight="1">
      <c r="B250" s="467"/>
      <c r="C250" s="327"/>
      <c r="D250" s="490"/>
      <c r="E250" s="475"/>
      <c r="F250" s="329"/>
      <c r="G250" s="301">
        <f t="shared" si="6"/>
        <v>6933604865.1999969</v>
      </c>
    </row>
    <row r="251" spans="2:7" ht="15.75" customHeight="1">
      <c r="B251" s="467"/>
      <c r="C251" s="327"/>
      <c r="D251" s="485"/>
      <c r="E251" s="475"/>
      <c r="F251" s="329"/>
      <c r="G251" s="301">
        <f t="shared" si="6"/>
        <v>6933604865.1999969</v>
      </c>
    </row>
    <row r="252" spans="2:7" ht="15.75" customHeight="1">
      <c r="B252" s="467"/>
      <c r="C252" s="326"/>
      <c r="D252" s="485"/>
      <c r="E252" s="475"/>
      <c r="F252" s="329"/>
      <c r="G252" s="301">
        <f t="shared" si="6"/>
        <v>6933604865.1999969</v>
      </c>
    </row>
    <row r="253" spans="2:7" ht="15.75" customHeight="1">
      <c r="B253" s="467"/>
      <c r="C253" s="326"/>
      <c r="D253" s="485"/>
      <c r="E253" s="475"/>
      <c r="F253" s="329"/>
      <c r="G253" s="301">
        <f t="shared" si="6"/>
        <v>6933604865.1999969</v>
      </c>
    </row>
    <row r="254" spans="2:7" ht="15.75" customHeight="1">
      <c r="B254" s="467"/>
      <c r="C254" s="326"/>
      <c r="D254" s="485"/>
      <c r="E254" s="475"/>
      <c r="F254" s="329"/>
      <c r="G254" s="301">
        <f t="shared" si="6"/>
        <v>6933604865.1999969</v>
      </c>
    </row>
    <row r="255" spans="2:7" ht="15.75" customHeight="1">
      <c r="B255" s="467"/>
      <c r="C255" s="326"/>
      <c r="D255" s="485"/>
      <c r="E255" s="475"/>
      <c r="F255" s="229"/>
      <c r="G255" s="301">
        <f t="shared" si="6"/>
        <v>6933604865.1999969</v>
      </c>
    </row>
    <row r="256" spans="2:7" ht="15.75" customHeight="1">
      <c r="B256" s="467"/>
      <c r="C256" s="327"/>
      <c r="D256" s="485"/>
      <c r="E256" s="488"/>
      <c r="F256" s="229"/>
      <c r="G256" s="301">
        <f t="shared" si="6"/>
        <v>6933604865.1999969</v>
      </c>
    </row>
    <row r="257" spans="2:7" ht="15.75" customHeight="1">
      <c r="B257" s="489"/>
      <c r="C257" s="334"/>
      <c r="D257" s="490"/>
      <c r="E257" s="488"/>
      <c r="F257" s="329"/>
      <c r="G257" s="301">
        <f t="shared" si="6"/>
        <v>6933604865.1999969</v>
      </c>
    </row>
    <row r="258" spans="2:7" ht="15.75" customHeight="1">
      <c r="B258" s="467"/>
      <c r="C258" s="327"/>
      <c r="D258" s="485"/>
      <c r="E258" s="475"/>
      <c r="F258" s="329"/>
      <c r="G258" s="301">
        <f t="shared" si="6"/>
        <v>6933604865.1999969</v>
      </c>
    </row>
    <row r="259" spans="2:7" ht="15.75" customHeight="1">
      <c r="B259" s="467"/>
      <c r="C259" s="326"/>
      <c r="D259" s="485"/>
      <c r="E259" s="475"/>
      <c r="F259" s="329"/>
      <c r="G259" s="301">
        <f t="shared" si="6"/>
        <v>6933604865.1999969</v>
      </c>
    </row>
    <row r="260" spans="2:7" ht="15.75" customHeight="1">
      <c r="B260" s="467"/>
      <c r="C260" s="326"/>
      <c r="D260" s="485"/>
      <c r="E260" s="475"/>
      <c r="F260" s="329"/>
      <c r="G260" s="301">
        <f t="shared" si="6"/>
        <v>6933604865.1999969</v>
      </c>
    </row>
    <row r="261" spans="2:7" ht="15.75" customHeight="1">
      <c r="B261" s="467"/>
      <c r="C261" s="326"/>
      <c r="D261" s="485"/>
      <c r="E261" s="475"/>
      <c r="F261" s="329"/>
      <c r="G261" s="301">
        <f t="shared" si="6"/>
        <v>6933604865.1999969</v>
      </c>
    </row>
    <row r="262" spans="2:7" ht="15.75" customHeight="1">
      <c r="B262" s="467"/>
      <c r="C262" s="326"/>
      <c r="D262" s="485"/>
      <c r="E262" s="475"/>
      <c r="F262" s="329"/>
      <c r="G262" s="301">
        <f t="shared" si="6"/>
        <v>6933604865.1999969</v>
      </c>
    </row>
    <row r="263" spans="2:7" ht="24.75" customHeight="1">
      <c r="B263" s="467"/>
      <c r="C263" s="326"/>
      <c r="D263" s="490"/>
      <c r="E263" s="475"/>
      <c r="F263" s="329"/>
      <c r="G263" s="301">
        <f t="shared" si="6"/>
        <v>6933604865.1999969</v>
      </c>
    </row>
    <row r="264" spans="2:7" ht="15.75" customHeight="1">
      <c r="B264" s="467"/>
      <c r="C264" s="326"/>
      <c r="D264" s="485"/>
      <c r="E264" s="475"/>
      <c r="F264" s="329"/>
      <c r="G264" s="491">
        <f t="shared" si="6"/>
        <v>6933604865.1999969</v>
      </c>
    </row>
    <row r="265" spans="2:7" ht="15.75" customHeight="1">
      <c r="B265" s="327"/>
      <c r="C265" s="326"/>
      <c r="D265" s="333"/>
      <c r="E265" s="331"/>
      <c r="F265" s="329"/>
      <c r="G265" s="301">
        <f t="shared" si="6"/>
        <v>6933604865.1999969</v>
      </c>
    </row>
    <row r="266" spans="2:7" ht="15.75" customHeight="1">
      <c r="B266" s="467"/>
      <c r="C266" s="460"/>
      <c r="D266" s="468"/>
      <c r="E266" s="475"/>
      <c r="F266" s="329"/>
      <c r="G266" s="301">
        <f t="shared" si="6"/>
        <v>6933604865.1999969</v>
      </c>
    </row>
    <row r="267" spans="2:7" ht="15.75" customHeight="1">
      <c r="B267" s="467"/>
      <c r="C267" s="460"/>
      <c r="D267" s="468"/>
      <c r="E267" s="475"/>
      <c r="F267" s="329"/>
      <c r="G267" s="301">
        <f t="shared" si="6"/>
        <v>6933604865.1999969</v>
      </c>
    </row>
    <row r="268" spans="2:7" ht="15.75" customHeight="1">
      <c r="B268" s="467"/>
      <c r="C268" s="460"/>
      <c r="D268" s="468"/>
      <c r="E268" s="475"/>
      <c r="F268" s="329"/>
      <c r="G268" s="301">
        <f t="shared" si="6"/>
        <v>6933604865.1999969</v>
      </c>
    </row>
    <row r="269" spans="2:7" ht="15.75" customHeight="1">
      <c r="B269" s="467"/>
      <c r="C269" s="460"/>
      <c r="D269" s="468"/>
      <c r="E269" s="475"/>
      <c r="F269" s="329"/>
      <c r="G269" s="301">
        <f t="shared" si="6"/>
        <v>6933604865.1999969</v>
      </c>
    </row>
    <row r="270" spans="2:7" ht="15.75" customHeight="1">
      <c r="B270" s="467"/>
      <c r="C270" s="460"/>
      <c r="D270" s="470"/>
      <c r="E270" s="475"/>
      <c r="F270" s="329"/>
      <c r="G270" s="301">
        <f t="shared" si="6"/>
        <v>6933604865.1999969</v>
      </c>
    </row>
    <row r="271" spans="2:7" ht="15.75" customHeight="1">
      <c r="B271" s="467"/>
      <c r="C271" s="460"/>
      <c r="D271" s="468"/>
      <c r="E271" s="475"/>
      <c r="F271" s="329"/>
      <c r="G271" s="301">
        <f t="shared" si="6"/>
        <v>6933604865.1999969</v>
      </c>
    </row>
    <row r="272" spans="2:7" ht="15.75" customHeight="1">
      <c r="B272" s="467"/>
      <c r="C272" s="460"/>
      <c r="D272" s="468"/>
      <c r="E272" s="475"/>
      <c r="F272" s="329"/>
      <c r="G272" s="301">
        <f t="shared" si="6"/>
        <v>6933604865.1999969</v>
      </c>
    </row>
    <row r="273" spans="2:7" ht="15.75" customHeight="1">
      <c r="B273" s="467"/>
      <c r="C273" s="460"/>
      <c r="D273" s="468"/>
      <c r="E273" s="475"/>
      <c r="F273" s="329"/>
      <c r="G273" s="301">
        <f t="shared" ref="G273:G288" si="7">G272+F273-E273</f>
        <v>6933604865.1999969</v>
      </c>
    </row>
    <row r="274" spans="2:7" ht="15.75" customHeight="1">
      <c r="B274" s="467"/>
      <c r="C274" s="460"/>
      <c r="D274" s="468"/>
      <c r="E274" s="475"/>
      <c r="F274" s="329"/>
      <c r="G274" s="301">
        <f t="shared" si="7"/>
        <v>6933604865.1999969</v>
      </c>
    </row>
    <row r="275" spans="2:7" ht="15.75" customHeight="1">
      <c r="B275" s="467"/>
      <c r="C275" s="460"/>
      <c r="D275" s="468"/>
      <c r="E275" s="475"/>
      <c r="F275" s="329"/>
      <c r="G275" s="301">
        <f t="shared" si="7"/>
        <v>6933604865.1999969</v>
      </c>
    </row>
    <row r="276" spans="2:7" ht="15.75" customHeight="1">
      <c r="B276" s="467"/>
      <c r="C276" s="460"/>
      <c r="D276" s="468"/>
      <c r="E276" s="475"/>
      <c r="F276" s="329"/>
      <c r="G276" s="301">
        <f t="shared" si="7"/>
        <v>6933604865.1999969</v>
      </c>
    </row>
    <row r="277" spans="2:7" ht="15.75" customHeight="1">
      <c r="B277" s="467"/>
      <c r="C277" s="460"/>
      <c r="D277" s="468"/>
      <c r="E277" s="475"/>
      <c r="F277" s="329"/>
      <c r="G277" s="301">
        <f t="shared" si="7"/>
        <v>6933604865.1999969</v>
      </c>
    </row>
    <row r="278" spans="2:7" ht="15.75" customHeight="1">
      <c r="B278" s="467"/>
      <c r="C278" s="460"/>
      <c r="D278" s="468"/>
      <c r="E278" s="475"/>
      <c r="F278" s="329"/>
      <c r="G278" s="301">
        <f t="shared" si="7"/>
        <v>6933604865.1999969</v>
      </c>
    </row>
    <row r="279" spans="2:7" ht="15.75" customHeight="1">
      <c r="B279" s="467"/>
      <c r="C279" s="460"/>
      <c r="D279" s="468"/>
      <c r="E279" s="475"/>
      <c r="F279" s="329"/>
      <c r="G279" s="301">
        <f t="shared" si="7"/>
        <v>6933604865.1999969</v>
      </c>
    </row>
    <row r="280" spans="2:7" ht="15.75" customHeight="1">
      <c r="B280" s="467"/>
      <c r="C280" s="460"/>
      <c r="D280" s="468"/>
      <c r="E280" s="475"/>
      <c r="F280" s="329"/>
      <c r="G280" s="301">
        <f t="shared" si="7"/>
        <v>6933604865.1999969</v>
      </c>
    </row>
    <row r="281" spans="2:7" ht="15.75" customHeight="1">
      <c r="B281" s="467"/>
      <c r="C281" s="460"/>
      <c r="D281" s="470"/>
      <c r="E281" s="475"/>
      <c r="F281" s="329"/>
      <c r="G281" s="301">
        <f t="shared" si="7"/>
        <v>6933604865.1999969</v>
      </c>
    </row>
    <row r="282" spans="2:7" ht="15.75" customHeight="1">
      <c r="B282" s="467"/>
      <c r="C282" s="460"/>
      <c r="D282" s="468"/>
      <c r="E282" s="475"/>
      <c r="F282" s="329"/>
      <c r="G282" s="301">
        <f t="shared" si="7"/>
        <v>6933604865.1999969</v>
      </c>
    </row>
    <row r="283" spans="2:7" ht="15.75" customHeight="1">
      <c r="B283" s="467"/>
      <c r="C283" s="460"/>
      <c r="D283" s="468"/>
      <c r="E283" s="475"/>
      <c r="F283" s="329"/>
      <c r="G283" s="301">
        <f t="shared" si="7"/>
        <v>6933604865.1999969</v>
      </c>
    </row>
    <row r="284" spans="2:7" ht="15.75" customHeight="1">
      <c r="B284" s="467"/>
      <c r="C284" s="460"/>
      <c r="D284" s="468"/>
      <c r="E284" s="475"/>
      <c r="F284" s="329"/>
      <c r="G284" s="301">
        <f t="shared" si="7"/>
        <v>6933604865.1999969</v>
      </c>
    </row>
    <row r="285" spans="2:7" ht="15.75" customHeight="1">
      <c r="B285" s="467"/>
      <c r="C285" s="460"/>
      <c r="D285" s="468"/>
      <c r="E285" s="475"/>
      <c r="F285" s="329"/>
      <c r="G285" s="301">
        <f t="shared" si="7"/>
        <v>6933604865.1999969</v>
      </c>
    </row>
    <row r="286" spans="2:7" ht="15.75" customHeight="1">
      <c r="B286" s="467"/>
      <c r="C286" s="460"/>
      <c r="D286" s="468"/>
      <c r="E286" s="475"/>
      <c r="F286" s="329"/>
      <c r="G286" s="301">
        <f t="shared" si="7"/>
        <v>6933604865.1999969</v>
      </c>
    </row>
    <row r="287" spans="2:7" ht="15.75" customHeight="1">
      <c r="B287" s="467"/>
      <c r="C287" s="460"/>
      <c r="D287" s="470"/>
      <c r="E287" s="475"/>
      <c r="F287" s="329"/>
      <c r="G287" s="301">
        <f t="shared" si="7"/>
        <v>6933604865.1999969</v>
      </c>
    </row>
    <row r="288" spans="2:7" ht="15.75" customHeight="1">
      <c r="B288" s="467"/>
      <c r="C288" s="460"/>
      <c r="D288" s="468"/>
      <c r="E288" s="475"/>
      <c r="F288" s="329"/>
      <c r="G288" s="491">
        <f t="shared" si="7"/>
        <v>6933604865.1999969</v>
      </c>
    </row>
    <row r="289" spans="2:10" ht="15.75" customHeight="1" thickBot="1">
      <c r="B289" s="306"/>
      <c r="C289" s="307"/>
      <c r="D289" s="308"/>
      <c r="E289" s="309"/>
      <c r="F289" s="310"/>
      <c r="G289" s="311"/>
    </row>
    <row r="290" spans="2:10" ht="15.75" customHeight="1" thickTop="1">
      <c r="B290" s="9"/>
      <c r="C290" s="9"/>
      <c r="D290" s="9"/>
      <c r="E290" s="9"/>
      <c r="F290" s="9"/>
      <c r="G290" s="9"/>
      <c r="I290" s="9"/>
      <c r="J290" s="9"/>
    </row>
    <row r="291" spans="2:10" ht="15.75" customHeight="1">
      <c r="B291" s="9"/>
      <c r="C291" s="9"/>
      <c r="D291" s="9"/>
      <c r="E291" s="9"/>
      <c r="F291" s="9"/>
      <c r="G291" s="9"/>
      <c r="I291" s="9"/>
      <c r="J291" s="9"/>
    </row>
    <row r="292" spans="2:10" ht="15.75" customHeight="1">
      <c r="B292" s="9"/>
      <c r="C292" s="9"/>
      <c r="D292" s="9"/>
      <c r="E292" s="9"/>
      <c r="F292" s="9"/>
      <c r="G292" s="9"/>
      <c r="I292" s="9"/>
      <c r="J292" s="9"/>
    </row>
    <row r="293" spans="2:10" ht="15.75" customHeight="1">
      <c r="B293" s="9"/>
      <c r="C293" s="9"/>
      <c r="D293" s="9"/>
      <c r="E293" s="9"/>
      <c r="F293" s="9"/>
      <c r="G293" s="9"/>
      <c r="I293" s="9"/>
      <c r="J293" s="9"/>
    </row>
    <row r="294" spans="2:10" ht="15.75" customHeight="1">
      <c r="B294" s="9"/>
      <c r="C294" s="9"/>
      <c r="D294" s="9"/>
      <c r="E294" s="9"/>
      <c r="F294" s="9"/>
      <c r="G294" s="9"/>
      <c r="I294" s="9"/>
      <c r="J294" s="9"/>
    </row>
    <row r="295" spans="2:10" ht="15.75" customHeight="1">
      <c r="B295" s="9"/>
      <c r="C295" s="9"/>
      <c r="D295" s="9"/>
      <c r="E295" s="9"/>
      <c r="F295" s="9"/>
      <c r="G295" s="9"/>
      <c r="I295" s="9"/>
      <c r="J295" s="9"/>
    </row>
    <row r="296" spans="2:10" ht="15.75" customHeight="1">
      <c r="B296" s="9"/>
      <c r="C296" s="9"/>
      <c r="D296" s="9"/>
      <c r="E296" s="9"/>
      <c r="F296" s="9"/>
      <c r="G296" s="9"/>
      <c r="I296" s="9"/>
      <c r="J296" s="9"/>
    </row>
    <row r="297" spans="2:10" ht="15.75" customHeight="1">
      <c r="B297" s="9"/>
      <c r="C297" s="9"/>
      <c r="D297" s="9"/>
      <c r="E297" s="9"/>
      <c r="F297" s="9"/>
      <c r="G297" s="9"/>
      <c r="I297" s="9"/>
      <c r="J297" s="9"/>
    </row>
  </sheetData>
  <sortState ref="B144:F154">
    <sortCondition ref="B154"/>
  </sortState>
  <mergeCells count="5">
    <mergeCell ref="B1:G1"/>
    <mergeCell ref="B2:G2"/>
    <mergeCell ref="D4:D5"/>
    <mergeCell ref="I4:I5"/>
    <mergeCell ref="J4:J5"/>
  </mergeCells>
  <pageMargins left="0.35433070866141736" right="0.2" top="0.43307086614173229" bottom="0.67" header="0.31496062992125984" footer="0.31496062992125984"/>
  <pageSetup paperSize="9" orientation="portrait" r:id="rId1"/>
  <headerFoot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B1:J150"/>
  <sheetViews>
    <sheetView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I49" sqref="I49"/>
    </sheetView>
  </sheetViews>
  <sheetFormatPr defaultRowHeight="12"/>
  <cols>
    <col min="1" max="1" width="4.42578125" style="238" customWidth="1"/>
    <col min="2" max="2" width="11.85546875" style="252" customWidth="1"/>
    <col min="3" max="3" width="19.140625" style="238" customWidth="1"/>
    <col min="4" max="4" width="24.7109375" style="238" customWidth="1"/>
    <col min="5" max="5" width="12.42578125" style="253" customWidth="1"/>
    <col min="6" max="6" width="12.140625" style="253" customWidth="1"/>
    <col min="7" max="7" width="13.28515625" style="254" customWidth="1"/>
    <col min="8" max="8" width="6" style="238" customWidth="1"/>
    <col min="9" max="9" width="12.85546875" style="238" bestFit="1" customWidth="1"/>
    <col min="10" max="10" width="15.7109375" style="238" customWidth="1"/>
    <col min="11" max="16384" width="9.140625" style="238"/>
  </cols>
  <sheetData>
    <row r="1" spans="2:10" ht="18.75">
      <c r="B1" s="683" t="s">
        <v>1</v>
      </c>
      <c r="C1" s="683"/>
      <c r="D1" s="683"/>
      <c r="E1" s="683"/>
      <c r="F1" s="683"/>
      <c r="G1" s="683"/>
    </row>
    <row r="2" spans="2:10" ht="18.75">
      <c r="B2" s="683" t="s">
        <v>46</v>
      </c>
      <c r="C2" s="683"/>
      <c r="D2" s="683"/>
      <c r="E2" s="683"/>
      <c r="F2" s="683"/>
      <c r="G2" s="683"/>
    </row>
    <row r="3" spans="2:10" ht="12.75" thickBot="1">
      <c r="B3" s="239"/>
      <c r="C3" s="240"/>
      <c r="D3" s="240"/>
      <c r="E3" s="241"/>
      <c r="F3" s="241"/>
      <c r="G3" s="242"/>
    </row>
    <row r="4" spans="2:10" ht="15.75" customHeight="1" thickTop="1">
      <c r="B4" s="243" t="s">
        <v>10</v>
      </c>
      <c r="C4" s="115" t="s">
        <v>11</v>
      </c>
      <c r="D4" s="684" t="s">
        <v>12</v>
      </c>
      <c r="E4" s="367" t="s">
        <v>9</v>
      </c>
      <c r="F4" s="244" t="s">
        <v>13</v>
      </c>
      <c r="G4" s="115" t="s">
        <v>8</v>
      </c>
      <c r="I4" s="671" t="s">
        <v>22</v>
      </c>
      <c r="J4" s="671" t="s">
        <v>23</v>
      </c>
    </row>
    <row r="5" spans="2:10" ht="12.75" thickBot="1">
      <c r="B5" s="166" t="s">
        <v>14</v>
      </c>
      <c r="C5" s="101" t="s">
        <v>15</v>
      </c>
      <c r="D5" s="685"/>
      <c r="E5" s="368" t="s">
        <v>16</v>
      </c>
      <c r="F5" s="102" t="s">
        <v>16</v>
      </c>
      <c r="G5" s="103" t="s">
        <v>17</v>
      </c>
      <c r="I5" s="671"/>
      <c r="J5" s="671"/>
    </row>
    <row r="6" spans="2:10" ht="13.5" thickTop="1">
      <c r="B6" s="557"/>
      <c r="C6" s="115"/>
      <c r="D6" s="551"/>
      <c r="E6" s="552"/>
      <c r="F6" s="115"/>
      <c r="G6" s="553"/>
      <c r="I6" s="548"/>
      <c r="J6" s="548"/>
    </row>
    <row r="7" spans="2:10" ht="15" customHeight="1">
      <c r="B7" s="555">
        <v>41639</v>
      </c>
      <c r="C7" s="556" t="s">
        <v>25</v>
      </c>
      <c r="D7" s="12"/>
      <c r="E7" s="17"/>
      <c r="F7" s="17">
        <v>470884531</v>
      </c>
      <c r="G7" s="336">
        <f>+F7</f>
        <v>470884531</v>
      </c>
      <c r="I7" s="245"/>
    </row>
    <row r="8" spans="2:10" ht="15" customHeight="1">
      <c r="B8" s="378">
        <v>41668</v>
      </c>
      <c r="C8" s="149" t="s">
        <v>292</v>
      </c>
      <c r="D8" s="194" t="s">
        <v>26</v>
      </c>
      <c r="E8" s="415">
        <v>113031351</v>
      </c>
      <c r="F8" s="237"/>
      <c r="G8" s="79">
        <f>G7+F8-E8</f>
        <v>357853180</v>
      </c>
      <c r="H8" s="337"/>
      <c r="I8" s="337"/>
      <c r="J8" s="337"/>
    </row>
    <row r="9" spans="2:10" ht="15" customHeight="1">
      <c r="B9" s="378">
        <v>41668</v>
      </c>
      <c r="C9" s="149" t="s">
        <v>292</v>
      </c>
      <c r="D9" s="194" t="s">
        <v>27</v>
      </c>
      <c r="E9" s="416">
        <v>681559</v>
      </c>
      <c r="F9" s="235"/>
      <c r="G9" s="79">
        <f>G8+F9-E9</f>
        <v>357171621</v>
      </c>
      <c r="H9" s="337"/>
      <c r="I9" s="337"/>
      <c r="J9" s="337"/>
    </row>
    <row r="10" spans="2:10" ht="15" customHeight="1">
      <c r="B10" s="378">
        <v>41668</v>
      </c>
      <c r="C10" s="149" t="s">
        <v>292</v>
      </c>
      <c r="D10" s="194" t="s">
        <v>39</v>
      </c>
      <c r="E10" s="416">
        <v>11239495</v>
      </c>
      <c r="F10" s="235"/>
      <c r="G10" s="79">
        <f>G9+F10-E10</f>
        <v>345932126</v>
      </c>
      <c r="H10" s="337"/>
      <c r="I10" s="337"/>
      <c r="J10" s="337"/>
    </row>
    <row r="11" spans="2:10" ht="15" customHeight="1">
      <c r="B11" s="162">
        <v>41669</v>
      </c>
      <c r="C11" s="145" t="s">
        <v>105</v>
      </c>
      <c r="D11" s="146"/>
      <c r="E11" s="150"/>
      <c r="F11" s="247">
        <v>10146988</v>
      </c>
      <c r="G11" s="79">
        <f>G10+F11-E11</f>
        <v>356079114</v>
      </c>
      <c r="H11" s="337"/>
      <c r="I11" s="337"/>
      <c r="J11" s="337"/>
    </row>
    <row r="12" spans="2:10" ht="15" customHeight="1">
      <c r="B12" s="199">
        <v>41654</v>
      </c>
      <c r="C12" s="145" t="s">
        <v>106</v>
      </c>
      <c r="D12" s="146"/>
      <c r="E12" s="150"/>
      <c r="F12" s="235">
        <v>32591753</v>
      </c>
      <c r="G12" s="79">
        <f>G11+F12-E12</f>
        <v>388670867</v>
      </c>
      <c r="H12" s="337"/>
      <c r="I12" s="337"/>
      <c r="J12" s="337"/>
    </row>
    <row r="13" spans="2:10" ht="15" customHeight="1">
      <c r="B13" s="199">
        <v>41668</v>
      </c>
      <c r="C13" s="145" t="s">
        <v>107</v>
      </c>
      <c r="D13" s="146"/>
      <c r="E13" s="150"/>
      <c r="F13" s="246">
        <v>45992045</v>
      </c>
      <c r="G13" s="373">
        <f t="shared" ref="G13:G66" si="0">G12+F13-E13</f>
        <v>434662912</v>
      </c>
      <c r="H13" s="337"/>
      <c r="I13" s="337">
        <f>SUM(F11:F13)</f>
        <v>88730786</v>
      </c>
      <c r="J13" s="337">
        <f>SUM(E8:E10)</f>
        <v>124952405</v>
      </c>
    </row>
    <row r="14" spans="2:10" ht="15" customHeight="1">
      <c r="B14" s="248">
        <v>41688</v>
      </c>
      <c r="C14" s="145" t="s">
        <v>195</v>
      </c>
      <c r="D14" s="91"/>
      <c r="E14" s="235"/>
      <c r="F14" s="235">
        <v>787886</v>
      </c>
      <c r="G14" s="79">
        <f t="shared" si="0"/>
        <v>435450798</v>
      </c>
      <c r="H14" s="337"/>
      <c r="I14" s="337"/>
      <c r="J14" s="337"/>
    </row>
    <row r="15" spans="2:10" ht="15" customHeight="1">
      <c r="B15" s="249">
        <v>41689</v>
      </c>
      <c r="C15" s="145" t="s">
        <v>196</v>
      </c>
      <c r="D15" s="231"/>
      <c r="E15" s="246"/>
      <c r="F15" s="250">
        <v>65648996</v>
      </c>
      <c r="G15" s="79">
        <f>G14+F15-E15</f>
        <v>501099794</v>
      </c>
      <c r="H15" s="337"/>
      <c r="I15" s="337"/>
      <c r="J15" s="337"/>
    </row>
    <row r="16" spans="2:10" ht="15" customHeight="1">
      <c r="B16" s="199">
        <v>41698</v>
      </c>
      <c r="C16" s="145" t="s">
        <v>197</v>
      </c>
      <c r="D16" s="146"/>
      <c r="E16" s="147"/>
      <c r="F16" s="235">
        <v>44452628</v>
      </c>
      <c r="G16" s="373">
        <f t="shared" si="0"/>
        <v>545552422</v>
      </c>
      <c r="H16" s="337"/>
      <c r="I16" s="337">
        <f>SUM(F14:F16)</f>
        <v>110889510</v>
      </c>
      <c r="J16" s="337"/>
    </row>
    <row r="17" spans="2:10" ht="15" customHeight="1">
      <c r="B17" s="378">
        <v>41701</v>
      </c>
      <c r="C17" s="149" t="s">
        <v>199</v>
      </c>
      <c r="D17" s="194" t="s">
        <v>200</v>
      </c>
      <c r="E17" s="415">
        <v>115358483</v>
      </c>
      <c r="F17" s="235"/>
      <c r="G17" s="79">
        <f>G16+F17-E17</f>
        <v>430193939</v>
      </c>
      <c r="H17" s="337"/>
      <c r="I17" s="337"/>
      <c r="J17" s="337"/>
    </row>
    <row r="18" spans="2:10" ht="15" customHeight="1">
      <c r="B18" s="378">
        <v>41701</v>
      </c>
      <c r="C18" s="149" t="s">
        <v>199</v>
      </c>
      <c r="D18" s="194" t="s">
        <v>27</v>
      </c>
      <c r="E18" s="416">
        <v>632679</v>
      </c>
      <c r="F18" s="246"/>
      <c r="G18" s="79">
        <f t="shared" ref="G18:G27" si="1">G17+F18-E18</f>
        <v>429561260</v>
      </c>
      <c r="H18" s="337"/>
      <c r="I18" s="337"/>
      <c r="J18" s="337"/>
    </row>
    <row r="19" spans="2:10" ht="15" customHeight="1">
      <c r="B19" s="378">
        <v>41726</v>
      </c>
      <c r="C19" s="149" t="s">
        <v>233</v>
      </c>
      <c r="D19" s="194" t="s">
        <v>234</v>
      </c>
      <c r="E19" s="415">
        <v>124612683</v>
      </c>
      <c r="F19" s="246"/>
      <c r="G19" s="79">
        <f t="shared" si="1"/>
        <v>304948577</v>
      </c>
      <c r="H19" s="337"/>
      <c r="I19" s="337"/>
      <c r="J19" s="337"/>
    </row>
    <row r="20" spans="2:10" ht="15" customHeight="1">
      <c r="B20" s="378">
        <v>41726</v>
      </c>
      <c r="C20" s="149" t="s">
        <v>233</v>
      </c>
      <c r="D20" s="194" t="s">
        <v>27</v>
      </c>
      <c r="E20" s="416">
        <v>683433</v>
      </c>
      <c r="F20" s="237"/>
      <c r="G20" s="79">
        <f t="shared" si="1"/>
        <v>304265144</v>
      </c>
      <c r="H20" s="337"/>
      <c r="I20" s="337"/>
      <c r="J20" s="337"/>
    </row>
    <row r="21" spans="2:10" ht="15" customHeight="1">
      <c r="B21" s="251">
        <v>41726</v>
      </c>
      <c r="C21" s="145" t="s">
        <v>289</v>
      </c>
      <c r="D21" s="145"/>
      <c r="E21" s="237"/>
      <c r="F21" s="237">
        <v>17761672</v>
      </c>
      <c r="G21" s="79">
        <f t="shared" si="1"/>
        <v>322026816</v>
      </c>
      <c r="H21" s="337"/>
      <c r="I21" s="337"/>
      <c r="J21" s="337"/>
    </row>
    <row r="22" spans="2:10" ht="15" customHeight="1">
      <c r="B22" s="162">
        <v>41723</v>
      </c>
      <c r="C22" s="145" t="s">
        <v>290</v>
      </c>
      <c r="D22" s="146"/>
      <c r="E22" s="147"/>
      <c r="F22" s="237">
        <v>86628231</v>
      </c>
      <c r="G22" s="79">
        <f t="shared" si="1"/>
        <v>408655047</v>
      </c>
      <c r="H22" s="337"/>
      <c r="I22" s="337"/>
      <c r="J22" s="337"/>
    </row>
    <row r="23" spans="2:10" ht="15" customHeight="1">
      <c r="B23" s="162">
        <v>41726</v>
      </c>
      <c r="C23" s="145" t="s">
        <v>291</v>
      </c>
      <c r="D23" s="146"/>
      <c r="E23" s="147"/>
      <c r="F23" s="235">
        <v>20521545</v>
      </c>
      <c r="G23" s="373">
        <f t="shared" si="1"/>
        <v>429176592</v>
      </c>
      <c r="H23" s="337"/>
      <c r="I23" s="337">
        <f>SUM(F21:F23)</f>
        <v>124911448</v>
      </c>
      <c r="J23" s="337">
        <f>SUM(E17:E20)</f>
        <v>241287278</v>
      </c>
    </row>
    <row r="24" spans="2:10" ht="15" customHeight="1">
      <c r="B24" s="378">
        <v>41759</v>
      </c>
      <c r="C24" s="149" t="s">
        <v>326</v>
      </c>
      <c r="D24" s="194" t="s">
        <v>327</v>
      </c>
      <c r="E24" s="195">
        <v>104074058</v>
      </c>
      <c r="F24" s="246"/>
      <c r="G24" s="79">
        <f t="shared" si="1"/>
        <v>325102534</v>
      </c>
      <c r="H24" s="337"/>
      <c r="I24" s="337"/>
      <c r="J24" s="337"/>
    </row>
    <row r="25" spans="2:10" ht="15" customHeight="1">
      <c r="B25" s="378">
        <v>41759</v>
      </c>
      <c r="C25" s="149" t="s">
        <v>326</v>
      </c>
      <c r="D25" s="194" t="s">
        <v>27</v>
      </c>
      <c r="E25" s="195">
        <f>247019+233199+90572</f>
        <v>570790</v>
      </c>
      <c r="F25" s="247"/>
      <c r="G25" s="79">
        <f t="shared" si="1"/>
        <v>324531744</v>
      </c>
      <c r="H25" s="337"/>
      <c r="I25" s="337"/>
      <c r="J25" s="337"/>
    </row>
    <row r="26" spans="2:10" ht="15" customHeight="1">
      <c r="B26" s="251">
        <v>41740</v>
      </c>
      <c r="C26" s="145" t="s">
        <v>388</v>
      </c>
      <c r="D26" s="231"/>
      <c r="E26" s="246"/>
      <c r="F26" s="246">
        <v>44413501</v>
      </c>
      <c r="G26" s="79">
        <f t="shared" si="1"/>
        <v>368945245</v>
      </c>
      <c r="H26" s="337"/>
      <c r="I26" s="337"/>
      <c r="J26" s="337"/>
    </row>
    <row r="27" spans="2:10" ht="15" customHeight="1">
      <c r="B27" s="251">
        <v>41759</v>
      </c>
      <c r="C27" s="145" t="s">
        <v>390</v>
      </c>
      <c r="D27" s="146"/>
      <c r="E27" s="150"/>
      <c r="F27" s="235">
        <v>14055065</v>
      </c>
      <c r="G27" s="79">
        <f t="shared" si="1"/>
        <v>383000310</v>
      </c>
      <c r="H27" s="337"/>
      <c r="I27" s="337"/>
      <c r="J27" s="337"/>
    </row>
    <row r="28" spans="2:10" ht="15" customHeight="1">
      <c r="B28" s="251">
        <v>41759</v>
      </c>
      <c r="C28" s="145" t="s">
        <v>391</v>
      </c>
      <c r="D28" s="146"/>
      <c r="E28" s="150"/>
      <c r="F28" s="235">
        <v>39109362</v>
      </c>
      <c r="G28" s="373">
        <f t="shared" si="0"/>
        <v>422109672</v>
      </c>
      <c r="H28" s="337"/>
      <c r="I28" s="337">
        <f>SUM(F26:F28)</f>
        <v>97577928</v>
      </c>
      <c r="J28" s="337"/>
    </row>
    <row r="29" spans="2:10" ht="15" customHeight="1">
      <c r="B29" s="162">
        <v>41775</v>
      </c>
      <c r="C29" s="145" t="s">
        <v>444</v>
      </c>
      <c r="D29" s="146"/>
      <c r="E29" s="147"/>
      <c r="F29" s="246">
        <v>59413092</v>
      </c>
      <c r="G29" s="79">
        <f t="shared" si="0"/>
        <v>481522764</v>
      </c>
      <c r="H29" s="337"/>
      <c r="I29" s="337"/>
      <c r="J29" s="337"/>
    </row>
    <row r="30" spans="2:10" ht="15" customHeight="1">
      <c r="B30" s="162">
        <v>41783</v>
      </c>
      <c r="C30" s="145" t="s">
        <v>445</v>
      </c>
      <c r="D30" s="146"/>
      <c r="E30" s="147"/>
      <c r="F30" s="235">
        <v>9650031</v>
      </c>
      <c r="G30" s="79">
        <f t="shared" si="0"/>
        <v>491172795</v>
      </c>
      <c r="H30" s="337"/>
      <c r="I30" s="337"/>
      <c r="J30" s="337"/>
    </row>
    <row r="31" spans="2:10" ht="15" customHeight="1">
      <c r="B31" s="162">
        <v>41789</v>
      </c>
      <c r="C31" s="145" t="s">
        <v>446</v>
      </c>
      <c r="D31" s="146"/>
      <c r="E31" s="147"/>
      <c r="F31" s="235">
        <v>44391546</v>
      </c>
      <c r="G31" s="79">
        <f t="shared" si="0"/>
        <v>535564341</v>
      </c>
      <c r="H31" s="337"/>
      <c r="I31" s="337"/>
      <c r="J31" s="337"/>
    </row>
    <row r="32" spans="2:10" ht="15" customHeight="1">
      <c r="B32" s="378">
        <v>41754</v>
      </c>
      <c r="C32" s="149"/>
      <c r="D32" s="194" t="s">
        <v>447</v>
      </c>
      <c r="E32" s="195">
        <v>664481</v>
      </c>
      <c r="F32" s="246"/>
      <c r="G32" s="79">
        <f t="shared" si="0"/>
        <v>534899860</v>
      </c>
      <c r="H32" s="337"/>
      <c r="I32" s="337"/>
      <c r="J32" s="337"/>
    </row>
    <row r="33" spans="2:10" ht="15" customHeight="1">
      <c r="B33" s="172">
        <v>41789</v>
      </c>
      <c r="C33" s="149" t="s">
        <v>461</v>
      </c>
      <c r="D33" s="194" t="s">
        <v>493</v>
      </c>
      <c r="E33" s="417">
        <v>88246800</v>
      </c>
      <c r="F33" s="246"/>
      <c r="G33" s="79">
        <f t="shared" si="0"/>
        <v>446653060</v>
      </c>
      <c r="H33" s="337"/>
      <c r="I33" s="337"/>
      <c r="J33" s="337"/>
    </row>
    <row r="34" spans="2:10" ht="15" customHeight="1">
      <c r="B34" s="172">
        <v>41789</v>
      </c>
      <c r="C34" s="149" t="s">
        <v>461</v>
      </c>
      <c r="D34" s="194" t="s">
        <v>27</v>
      </c>
      <c r="E34" s="648">
        <v>483986</v>
      </c>
      <c r="F34" s="246"/>
      <c r="G34" s="373">
        <f t="shared" si="0"/>
        <v>446169074</v>
      </c>
      <c r="H34" s="337"/>
      <c r="I34" s="337">
        <f>SUM(F29:F31)</f>
        <v>113454669</v>
      </c>
      <c r="J34" s="337">
        <f>SUM(E33:E34)</f>
        <v>88730786</v>
      </c>
    </row>
    <row r="35" spans="2:10" ht="15" customHeight="1">
      <c r="B35" s="199">
        <v>41803</v>
      </c>
      <c r="C35" s="145" t="s">
        <v>561</v>
      </c>
      <c r="D35" s="146"/>
      <c r="E35" s="150"/>
      <c r="F35" s="246">
        <v>42055129</v>
      </c>
      <c r="G35" s="79">
        <f t="shared" si="0"/>
        <v>488224203</v>
      </c>
      <c r="H35" s="337"/>
      <c r="I35" s="337"/>
      <c r="J35" s="337"/>
    </row>
    <row r="36" spans="2:10" ht="15" customHeight="1">
      <c r="B36" s="657">
        <v>41818</v>
      </c>
      <c r="C36" s="145" t="s">
        <v>562</v>
      </c>
      <c r="D36" s="146"/>
      <c r="E36" s="246"/>
      <c r="F36" s="247">
        <v>16313646</v>
      </c>
      <c r="G36" s="79">
        <f t="shared" si="0"/>
        <v>504537849</v>
      </c>
      <c r="H36" s="337"/>
      <c r="I36" s="337"/>
      <c r="J36" s="337"/>
    </row>
    <row r="37" spans="2:10" ht="15" customHeight="1">
      <c r="B37" s="199">
        <v>41820</v>
      </c>
      <c r="C37" s="145" t="s">
        <v>563</v>
      </c>
      <c r="D37" s="146"/>
      <c r="E37" s="147"/>
      <c r="F37" s="235">
        <v>75868758</v>
      </c>
      <c r="G37" s="79">
        <f t="shared" si="0"/>
        <v>580406607</v>
      </c>
      <c r="H37" s="337"/>
      <c r="I37" s="337"/>
      <c r="J37" s="337"/>
    </row>
    <row r="38" spans="2:10" ht="15" customHeight="1">
      <c r="B38" s="172">
        <v>41793</v>
      </c>
      <c r="C38" s="145"/>
      <c r="D38" s="194" t="s">
        <v>447</v>
      </c>
      <c r="E38" s="417">
        <v>1716346</v>
      </c>
      <c r="F38" s="250"/>
      <c r="G38" s="79">
        <f t="shared" si="0"/>
        <v>578690261</v>
      </c>
      <c r="H38" s="337"/>
      <c r="I38" s="337">
        <f>SUM(F35:F37)</f>
        <v>134237533</v>
      </c>
      <c r="J38" s="337"/>
    </row>
    <row r="39" spans="2:10" ht="15" customHeight="1">
      <c r="B39" s="378">
        <v>41815</v>
      </c>
      <c r="C39" s="149" t="s">
        <v>588</v>
      </c>
      <c r="D39" s="194" t="s">
        <v>589</v>
      </c>
      <c r="E39" s="195">
        <v>110284658</v>
      </c>
      <c r="F39" s="250"/>
      <c r="G39" s="79">
        <f t="shared" si="0"/>
        <v>468405603</v>
      </c>
      <c r="H39" s="337"/>
      <c r="I39" s="337"/>
      <c r="J39" s="337"/>
    </row>
    <row r="40" spans="2:10" ht="15" customHeight="1">
      <c r="B40" s="378">
        <v>41815</v>
      </c>
      <c r="C40" s="149" t="s">
        <v>588</v>
      </c>
      <c r="D40" s="194" t="s">
        <v>27</v>
      </c>
      <c r="E40" s="417">
        <f>242469+358085+4298</f>
        <v>604852</v>
      </c>
      <c r="F40" s="235"/>
      <c r="G40" s="373">
        <f t="shared" si="0"/>
        <v>467800751</v>
      </c>
      <c r="H40" s="337"/>
      <c r="I40" s="337"/>
      <c r="J40" s="337">
        <f>SUM(E39:E40)</f>
        <v>110889510</v>
      </c>
    </row>
    <row r="41" spans="2:10" ht="15" customHeight="1">
      <c r="B41" s="593">
        <v>41838</v>
      </c>
      <c r="C41" s="149" t="s">
        <v>602</v>
      </c>
      <c r="D41" s="194" t="s">
        <v>603</v>
      </c>
      <c r="E41" s="648">
        <v>124230112</v>
      </c>
      <c r="F41" s="246"/>
      <c r="G41" s="79">
        <f t="shared" si="0"/>
        <v>343570639</v>
      </c>
      <c r="H41" s="337"/>
      <c r="I41" s="337"/>
      <c r="J41" s="337"/>
    </row>
    <row r="42" spans="2:10" ht="15" customHeight="1">
      <c r="B42" s="593">
        <v>41838</v>
      </c>
      <c r="C42" s="149" t="s">
        <v>602</v>
      </c>
      <c r="D42" s="194" t="s">
        <v>27</v>
      </c>
      <c r="E42" s="648">
        <f>96882+472518+111936</f>
        <v>681336</v>
      </c>
      <c r="F42" s="246"/>
      <c r="G42" s="79">
        <f t="shared" si="0"/>
        <v>342889303</v>
      </c>
      <c r="H42" s="337"/>
      <c r="I42" s="337">
        <v>469517097</v>
      </c>
      <c r="J42" s="337"/>
    </row>
    <row r="43" spans="2:10" ht="15" customHeight="1">
      <c r="B43" s="199">
        <v>41843</v>
      </c>
      <c r="C43" s="145" t="s">
        <v>640</v>
      </c>
      <c r="D43" s="146"/>
      <c r="E43" s="150"/>
      <c r="F43" s="235">
        <v>40981225</v>
      </c>
      <c r="G43" s="79">
        <f t="shared" si="0"/>
        <v>383870528</v>
      </c>
      <c r="H43" s="337"/>
      <c r="I43" s="337">
        <f>I42-G40</f>
        <v>1716346</v>
      </c>
      <c r="J43" s="337"/>
    </row>
    <row r="44" spans="2:10" ht="15" customHeight="1">
      <c r="B44" s="199">
        <v>41844</v>
      </c>
      <c r="C44" s="145" t="s">
        <v>642</v>
      </c>
      <c r="D44" s="146"/>
      <c r="E44" s="246"/>
      <c r="F44" s="237">
        <v>10248365</v>
      </c>
      <c r="G44" s="373">
        <f t="shared" si="0"/>
        <v>394118893</v>
      </c>
      <c r="H44" s="337"/>
      <c r="I44" s="337">
        <f>SUM(F43:F44)</f>
        <v>51229590</v>
      </c>
      <c r="J44" s="337">
        <f>SUM(E41:E42)</f>
        <v>124911448</v>
      </c>
    </row>
    <row r="45" spans="2:10" ht="15" customHeight="1">
      <c r="B45" s="172">
        <v>41863</v>
      </c>
      <c r="C45" s="149" t="s">
        <v>668</v>
      </c>
      <c r="D45" s="194" t="s">
        <v>669</v>
      </c>
      <c r="E45" s="417">
        <v>97045685</v>
      </c>
      <c r="F45" s="246"/>
      <c r="G45" s="79">
        <f t="shared" si="0"/>
        <v>297073208</v>
      </c>
      <c r="H45" s="337"/>
      <c r="I45" s="337"/>
      <c r="J45" s="337"/>
    </row>
    <row r="46" spans="2:10" ht="15" customHeight="1">
      <c r="B46" s="172">
        <v>41863</v>
      </c>
      <c r="C46" s="149" t="s">
        <v>668</v>
      </c>
      <c r="D46" s="194" t="s">
        <v>27</v>
      </c>
      <c r="E46" s="648">
        <f>242255+213324+76664</f>
        <v>532243</v>
      </c>
      <c r="F46" s="246"/>
      <c r="G46" s="79">
        <f t="shared" si="0"/>
        <v>296540965</v>
      </c>
      <c r="H46" s="337"/>
      <c r="I46" s="337"/>
      <c r="J46" s="337"/>
    </row>
    <row r="47" spans="2:10" ht="15" customHeight="1">
      <c r="B47" s="162">
        <v>41871</v>
      </c>
      <c r="C47" s="145" t="s">
        <v>734</v>
      </c>
      <c r="D47" s="146"/>
      <c r="E47" s="147"/>
      <c r="F47" s="235">
        <v>65372643</v>
      </c>
      <c r="G47" s="79">
        <f t="shared" si="0"/>
        <v>361913608</v>
      </c>
      <c r="H47" s="337"/>
      <c r="I47" s="337"/>
      <c r="J47" s="337"/>
    </row>
    <row r="48" spans="2:10" ht="15" customHeight="1">
      <c r="B48" s="162">
        <v>41881</v>
      </c>
      <c r="C48" s="145" t="s">
        <v>709</v>
      </c>
      <c r="D48" s="146"/>
      <c r="E48" s="147"/>
      <c r="F48" s="235">
        <v>22867207</v>
      </c>
      <c r="G48" s="79">
        <f t="shared" si="0"/>
        <v>384780815</v>
      </c>
      <c r="H48" s="337"/>
      <c r="I48" s="337"/>
      <c r="J48" s="337"/>
    </row>
    <row r="49" spans="2:10" ht="15" customHeight="1">
      <c r="B49" s="162">
        <v>41910</v>
      </c>
      <c r="C49" s="145" t="s">
        <v>729</v>
      </c>
      <c r="D49" s="146"/>
      <c r="E49" s="147"/>
      <c r="F49" s="247">
        <v>12537557</v>
      </c>
      <c r="G49" s="373">
        <f t="shared" si="0"/>
        <v>397318372</v>
      </c>
      <c r="H49" s="337"/>
      <c r="I49" s="337">
        <f>SUM(F47:F49)</f>
        <v>100777407</v>
      </c>
      <c r="J49" s="337">
        <f>SUM(E45:E46)</f>
        <v>97577928</v>
      </c>
    </row>
    <row r="50" spans="2:10" ht="15" customHeight="1">
      <c r="B50" s="162"/>
      <c r="C50" s="145"/>
      <c r="D50" s="146"/>
      <c r="E50" s="147"/>
      <c r="F50" s="247"/>
      <c r="G50" s="79">
        <f t="shared" si="0"/>
        <v>397318372</v>
      </c>
      <c r="H50" s="337"/>
      <c r="I50" s="337"/>
      <c r="J50" s="337"/>
    </row>
    <row r="51" spans="2:10" ht="15" customHeight="1">
      <c r="B51" s="162"/>
      <c r="C51" s="145"/>
      <c r="D51" s="146"/>
      <c r="E51" s="147"/>
      <c r="F51" s="247"/>
      <c r="G51" s="79">
        <f t="shared" si="0"/>
        <v>397318372</v>
      </c>
      <c r="H51" s="337"/>
      <c r="I51" s="337"/>
      <c r="J51" s="337"/>
    </row>
    <row r="52" spans="2:10" ht="15" customHeight="1">
      <c r="B52" s="162"/>
      <c r="C52" s="145"/>
      <c r="D52" s="146"/>
      <c r="E52" s="147"/>
      <c r="F52" s="247"/>
      <c r="G52" s="79">
        <f t="shared" si="0"/>
        <v>397318372</v>
      </c>
      <c r="H52" s="337"/>
      <c r="I52" s="337"/>
      <c r="J52" s="337"/>
    </row>
    <row r="53" spans="2:10" ht="15" customHeight="1">
      <c r="B53" s="162"/>
      <c r="C53" s="145"/>
      <c r="D53" s="146"/>
      <c r="E53" s="147"/>
      <c r="F53" s="247"/>
      <c r="G53" s="79">
        <f t="shared" si="0"/>
        <v>397318372</v>
      </c>
      <c r="H53" s="337"/>
      <c r="I53" s="337"/>
      <c r="J53" s="337"/>
    </row>
    <row r="54" spans="2:10" ht="15" customHeight="1">
      <c r="B54" s="162"/>
      <c r="C54" s="145"/>
      <c r="D54" s="146"/>
      <c r="E54" s="147"/>
      <c r="F54" s="247"/>
      <c r="G54" s="79">
        <f t="shared" si="0"/>
        <v>397318372</v>
      </c>
      <c r="H54" s="337"/>
      <c r="I54" s="337"/>
      <c r="J54" s="337"/>
    </row>
    <row r="55" spans="2:10" ht="15" customHeight="1">
      <c r="B55" s="162"/>
      <c r="C55" s="145"/>
      <c r="D55" s="146"/>
      <c r="E55" s="147"/>
      <c r="F55" s="247"/>
      <c r="G55" s="79">
        <f t="shared" si="0"/>
        <v>397318372</v>
      </c>
      <c r="H55" s="337"/>
      <c r="I55" s="337"/>
      <c r="J55" s="337"/>
    </row>
    <row r="56" spans="2:10" ht="15" customHeight="1">
      <c r="B56" s="162"/>
      <c r="C56" s="145"/>
      <c r="D56" s="146"/>
      <c r="E56" s="147"/>
      <c r="F56" s="247"/>
      <c r="G56" s="79">
        <f t="shared" si="0"/>
        <v>397318372</v>
      </c>
      <c r="H56" s="337"/>
      <c r="I56" s="337"/>
      <c r="J56" s="337"/>
    </row>
    <row r="57" spans="2:10" ht="15" customHeight="1">
      <c r="B57" s="156"/>
      <c r="C57" s="95"/>
      <c r="D57" s="146"/>
      <c r="E57" s="247"/>
      <c r="F57" s="247"/>
      <c r="G57" s="79">
        <f t="shared" si="0"/>
        <v>397318372</v>
      </c>
      <c r="H57" s="337"/>
      <c r="I57" s="337"/>
      <c r="J57" s="337"/>
    </row>
    <row r="58" spans="2:10" ht="15" customHeight="1">
      <c r="B58" s="156"/>
      <c r="C58" s="95"/>
      <c r="D58" s="146"/>
      <c r="E58" s="247"/>
      <c r="F58" s="247"/>
      <c r="G58" s="373">
        <f t="shared" si="0"/>
        <v>397318372</v>
      </c>
      <c r="H58" s="337"/>
      <c r="I58" s="337">
        <f>SUM(F57:F58)</f>
        <v>0</v>
      </c>
      <c r="J58" s="337">
        <f>SUM(E47:E56)</f>
        <v>0</v>
      </c>
    </row>
    <row r="59" spans="2:10" ht="15" customHeight="1">
      <c r="B59" s="199"/>
      <c r="C59" s="145"/>
      <c r="D59" s="146"/>
      <c r="E59" s="247"/>
      <c r="F59" s="247"/>
      <c r="G59" s="79">
        <f t="shared" si="0"/>
        <v>397318372</v>
      </c>
      <c r="H59" s="337"/>
      <c r="I59" s="337"/>
      <c r="J59" s="337"/>
    </row>
    <row r="60" spans="2:10" ht="15" customHeight="1">
      <c r="B60" s="199"/>
      <c r="C60" s="145"/>
      <c r="D60" s="146"/>
      <c r="E60" s="247"/>
      <c r="F60" s="247"/>
      <c r="G60" s="79">
        <f t="shared" si="0"/>
        <v>397318372</v>
      </c>
      <c r="H60" s="337"/>
      <c r="I60" s="337"/>
      <c r="J60" s="337"/>
    </row>
    <row r="61" spans="2:10" ht="15" customHeight="1">
      <c r="B61" s="199"/>
      <c r="C61" s="143"/>
      <c r="D61" s="146"/>
      <c r="E61" s="247"/>
      <c r="F61" s="247"/>
      <c r="G61" s="79">
        <f t="shared" si="0"/>
        <v>397318372</v>
      </c>
      <c r="H61" s="337"/>
      <c r="I61" s="337"/>
      <c r="J61" s="337"/>
    </row>
    <row r="62" spans="2:10" ht="15" customHeight="1">
      <c r="B62" s="199"/>
      <c r="C62" s="143"/>
      <c r="D62" s="146"/>
      <c r="E62" s="247"/>
      <c r="F62" s="247"/>
      <c r="G62" s="79">
        <f t="shared" si="0"/>
        <v>397318372</v>
      </c>
      <c r="H62" s="337"/>
      <c r="I62" s="337"/>
      <c r="J62" s="337"/>
    </row>
    <row r="63" spans="2:10" ht="15" customHeight="1">
      <c r="B63" s="162"/>
      <c r="C63" s="143"/>
      <c r="D63" s="146"/>
      <c r="E63" s="247"/>
      <c r="F63" s="247"/>
      <c r="G63" s="373">
        <f t="shared" si="0"/>
        <v>397318372</v>
      </c>
      <c r="H63" s="337"/>
      <c r="I63" s="337">
        <f>SUM(F61:F63)</f>
        <v>0</v>
      </c>
      <c r="J63" s="337">
        <f>SUM(E59:E60)</f>
        <v>0</v>
      </c>
    </row>
    <row r="64" spans="2:10" ht="15" customHeight="1">
      <c r="B64" s="162"/>
      <c r="C64" s="143"/>
      <c r="D64" s="146"/>
      <c r="E64" s="247"/>
      <c r="F64" s="247"/>
      <c r="G64" s="79">
        <f t="shared" si="0"/>
        <v>397318372</v>
      </c>
      <c r="H64" s="337"/>
      <c r="I64" s="337"/>
      <c r="J64" s="337"/>
    </row>
    <row r="65" spans="2:10" ht="15" customHeight="1">
      <c r="B65" s="199"/>
      <c r="C65" s="145"/>
      <c r="D65" s="146"/>
      <c r="E65" s="247"/>
      <c r="F65" s="247"/>
      <c r="G65" s="79">
        <f t="shared" si="0"/>
        <v>397318372</v>
      </c>
      <c r="H65" s="337"/>
      <c r="I65" s="337"/>
      <c r="J65" s="337"/>
    </row>
    <row r="66" spans="2:10" ht="15" customHeight="1">
      <c r="B66" s="199"/>
      <c r="C66" s="145"/>
      <c r="D66" s="146"/>
      <c r="E66" s="247"/>
      <c r="F66" s="247"/>
      <c r="G66" s="373">
        <f t="shared" si="0"/>
        <v>397318372</v>
      </c>
      <c r="H66" s="337"/>
      <c r="I66" s="337"/>
      <c r="J66" s="337"/>
    </row>
    <row r="67" spans="2:10" ht="15" customHeight="1">
      <c r="B67" s="199"/>
      <c r="C67" s="145"/>
      <c r="D67" s="146"/>
      <c r="E67" s="247"/>
      <c r="F67" s="247"/>
      <c r="G67" s="196">
        <f t="shared" ref="G67:G72" si="2">G66+F67-E67</f>
        <v>397318372</v>
      </c>
      <c r="H67" s="337"/>
      <c r="I67" s="337"/>
      <c r="J67" s="337"/>
    </row>
    <row r="68" spans="2:10" ht="15" customHeight="1">
      <c r="B68" s="199"/>
      <c r="C68" s="145"/>
      <c r="D68" s="146"/>
      <c r="E68" s="247"/>
      <c r="F68" s="247"/>
      <c r="G68" s="196">
        <f t="shared" si="2"/>
        <v>397318372</v>
      </c>
      <c r="H68" s="337"/>
      <c r="I68" s="337"/>
      <c r="J68" s="337"/>
    </row>
    <row r="69" spans="2:10" ht="15.75" customHeight="1">
      <c r="B69" s="199"/>
      <c r="C69" s="145"/>
      <c r="D69" s="146"/>
      <c r="E69" s="247"/>
      <c r="F69" s="247"/>
      <c r="G69" s="196">
        <f t="shared" si="2"/>
        <v>397318372</v>
      </c>
      <c r="H69" s="337"/>
      <c r="I69" s="337"/>
      <c r="J69" s="337"/>
    </row>
    <row r="70" spans="2:10" ht="15" customHeight="1">
      <c r="B70" s="199"/>
      <c r="C70" s="145"/>
      <c r="D70" s="146"/>
      <c r="E70" s="247"/>
      <c r="F70" s="247"/>
      <c r="G70" s="409">
        <f t="shared" si="2"/>
        <v>397318372</v>
      </c>
      <c r="H70" s="337"/>
      <c r="I70" s="337"/>
      <c r="J70" s="337"/>
    </row>
    <row r="71" spans="2:10" ht="15" customHeight="1">
      <c r="B71" s="199"/>
      <c r="C71" s="145"/>
      <c r="D71" s="146"/>
      <c r="E71" s="247"/>
      <c r="F71" s="247"/>
      <c r="G71" s="196">
        <f t="shared" si="2"/>
        <v>397318372</v>
      </c>
      <c r="H71" s="337"/>
      <c r="I71" s="337"/>
      <c r="J71" s="337"/>
    </row>
    <row r="72" spans="2:10" ht="15" customHeight="1">
      <c r="B72" s="162"/>
      <c r="C72" s="143"/>
      <c r="D72" s="146"/>
      <c r="E72" s="247"/>
      <c r="F72" s="247"/>
      <c r="G72" s="196">
        <f t="shared" si="2"/>
        <v>397318372</v>
      </c>
      <c r="H72" s="337"/>
      <c r="I72" s="337"/>
      <c r="J72" s="337"/>
    </row>
    <row r="73" spans="2:10" ht="15" customHeight="1">
      <c r="B73" s="162"/>
      <c r="C73" s="143"/>
      <c r="D73" s="146"/>
      <c r="E73" s="247"/>
      <c r="F73" s="247"/>
      <c r="G73" s="196">
        <f t="shared" ref="G73:G81" si="3">G72+F73-E73</f>
        <v>397318372</v>
      </c>
      <c r="H73" s="337"/>
      <c r="I73" s="337"/>
      <c r="J73" s="337"/>
    </row>
    <row r="74" spans="2:10" ht="15" customHeight="1">
      <c r="B74" s="162"/>
      <c r="C74" s="143"/>
      <c r="D74" s="146"/>
      <c r="E74" s="247"/>
      <c r="F74" s="247"/>
      <c r="G74" s="196">
        <f t="shared" si="3"/>
        <v>397318372</v>
      </c>
      <c r="H74" s="337"/>
      <c r="I74" s="337"/>
      <c r="J74" s="337"/>
    </row>
    <row r="75" spans="2:10" ht="15" customHeight="1">
      <c r="B75" s="162"/>
      <c r="C75" s="143"/>
      <c r="D75" s="146"/>
      <c r="E75" s="247"/>
      <c r="F75" s="247"/>
      <c r="G75" s="196">
        <f t="shared" si="3"/>
        <v>397318372</v>
      </c>
      <c r="H75" s="337"/>
      <c r="I75" s="337"/>
      <c r="J75" s="337"/>
    </row>
    <row r="76" spans="2:10" ht="15" customHeight="1">
      <c r="B76" s="162"/>
      <c r="C76" s="143"/>
      <c r="D76" s="146"/>
      <c r="E76" s="247"/>
      <c r="F76" s="247"/>
      <c r="G76" s="196">
        <f t="shared" si="3"/>
        <v>397318372</v>
      </c>
      <c r="H76" s="337"/>
      <c r="I76" s="337"/>
      <c r="J76" s="337"/>
    </row>
    <row r="77" spans="2:10" ht="15" customHeight="1">
      <c r="B77" s="162"/>
      <c r="C77" s="143"/>
      <c r="D77" s="146"/>
      <c r="E77" s="247"/>
      <c r="F77" s="247"/>
      <c r="G77" s="196">
        <f t="shared" si="3"/>
        <v>397318372</v>
      </c>
      <c r="H77" s="337"/>
      <c r="I77" s="337"/>
      <c r="J77" s="337"/>
    </row>
    <row r="78" spans="2:10" ht="15" customHeight="1">
      <c r="B78" s="162"/>
      <c r="C78" s="143"/>
      <c r="D78" s="146"/>
      <c r="E78" s="247"/>
      <c r="F78" s="247"/>
      <c r="G78" s="196">
        <f t="shared" si="3"/>
        <v>397318372</v>
      </c>
      <c r="H78" s="337"/>
      <c r="I78" s="337"/>
      <c r="J78" s="337"/>
    </row>
    <row r="79" spans="2:10" ht="15" customHeight="1">
      <c r="B79" s="162"/>
      <c r="C79" s="143"/>
      <c r="D79" s="146"/>
      <c r="E79" s="247"/>
      <c r="F79" s="247"/>
      <c r="G79" s="196">
        <f t="shared" si="3"/>
        <v>397318372</v>
      </c>
      <c r="H79" s="337"/>
      <c r="I79" s="337"/>
      <c r="J79" s="337"/>
    </row>
    <row r="80" spans="2:10" ht="15" customHeight="1">
      <c r="B80" s="162"/>
      <c r="C80" s="143"/>
      <c r="D80" s="146"/>
      <c r="E80" s="247"/>
      <c r="F80" s="247"/>
      <c r="G80" s="196">
        <f t="shared" si="3"/>
        <v>397318372</v>
      </c>
      <c r="H80" s="337"/>
      <c r="I80" s="337"/>
      <c r="J80" s="337"/>
    </row>
    <row r="81" spans="2:10" ht="15" customHeight="1">
      <c r="B81" s="162"/>
      <c r="C81" s="143"/>
      <c r="D81" s="146"/>
      <c r="E81" s="247"/>
      <c r="F81" s="247"/>
      <c r="G81" s="409">
        <f t="shared" si="3"/>
        <v>397318372</v>
      </c>
      <c r="H81" s="337"/>
      <c r="I81" s="337"/>
      <c r="J81" s="337"/>
    </row>
    <row r="82" spans="2:10" ht="15" customHeight="1" thickBot="1">
      <c r="B82" s="339"/>
      <c r="C82" s="340"/>
      <c r="D82" s="340"/>
      <c r="E82" s="341"/>
      <c r="F82" s="341"/>
      <c r="G82" s="342"/>
      <c r="H82" s="337"/>
      <c r="I82" s="337"/>
      <c r="J82" s="337"/>
    </row>
    <row r="83" spans="2:10" ht="12.75" thickTop="1">
      <c r="B83" s="343"/>
      <c r="C83" s="337"/>
      <c r="D83" s="337"/>
      <c r="E83" s="344"/>
      <c r="F83" s="344"/>
      <c r="G83" s="345"/>
      <c r="H83" s="337"/>
      <c r="I83" s="337"/>
      <c r="J83" s="337"/>
    </row>
    <row r="84" spans="2:10">
      <c r="B84" s="343"/>
      <c r="C84" s="337"/>
      <c r="D84" s="337"/>
      <c r="E84" s="344"/>
      <c r="F84" s="344"/>
      <c r="G84" s="345"/>
      <c r="H84" s="337"/>
      <c r="I84" s="337"/>
      <c r="J84" s="337"/>
    </row>
    <row r="85" spans="2:10">
      <c r="B85" s="343"/>
      <c r="C85" s="337"/>
      <c r="D85" s="337"/>
      <c r="E85" s="344"/>
      <c r="F85" s="344"/>
      <c r="G85" s="345"/>
      <c r="H85" s="337"/>
      <c r="I85" s="337"/>
      <c r="J85" s="337"/>
    </row>
    <row r="86" spans="2:10">
      <c r="B86" s="343"/>
      <c r="C86" s="337"/>
      <c r="D86" s="337"/>
      <c r="E86" s="344"/>
      <c r="F86" s="344"/>
      <c r="G86" s="345"/>
      <c r="H86" s="337"/>
      <c r="I86" s="337"/>
      <c r="J86" s="337"/>
    </row>
    <row r="87" spans="2:10">
      <c r="B87" s="343"/>
      <c r="C87" s="337"/>
      <c r="D87" s="337"/>
      <c r="E87" s="344"/>
      <c r="F87" s="344"/>
      <c r="G87" s="345"/>
      <c r="H87" s="337"/>
      <c r="I87" s="337"/>
      <c r="J87" s="337"/>
    </row>
    <row r="88" spans="2:10">
      <c r="B88" s="343"/>
      <c r="C88" s="337"/>
      <c r="D88" s="337"/>
      <c r="E88" s="344"/>
      <c r="F88" s="344"/>
      <c r="G88" s="345"/>
      <c r="H88" s="337"/>
      <c r="I88" s="337"/>
      <c r="J88" s="337"/>
    </row>
    <row r="89" spans="2:10">
      <c r="B89" s="343"/>
      <c r="C89" s="337"/>
      <c r="D89" s="337"/>
      <c r="E89" s="344"/>
      <c r="F89" s="344"/>
      <c r="G89" s="345"/>
      <c r="H89" s="337"/>
      <c r="I89" s="337"/>
      <c r="J89" s="337"/>
    </row>
    <row r="90" spans="2:10">
      <c r="B90" s="343"/>
      <c r="C90" s="337"/>
      <c r="D90" s="337"/>
      <c r="E90" s="344"/>
      <c r="F90" s="344"/>
      <c r="G90" s="345"/>
      <c r="H90" s="337"/>
      <c r="I90" s="337"/>
      <c r="J90" s="337"/>
    </row>
    <row r="91" spans="2:10">
      <c r="B91" s="343"/>
      <c r="C91" s="337"/>
      <c r="D91" s="337"/>
      <c r="E91" s="344"/>
      <c r="F91" s="344"/>
      <c r="G91" s="345"/>
      <c r="H91" s="337"/>
      <c r="I91" s="337"/>
      <c r="J91" s="337"/>
    </row>
    <row r="92" spans="2:10">
      <c r="B92" s="343"/>
      <c r="C92" s="337"/>
      <c r="D92" s="337"/>
      <c r="E92" s="344"/>
      <c r="F92" s="344"/>
      <c r="G92" s="345"/>
      <c r="H92" s="337"/>
      <c r="I92" s="337"/>
      <c r="J92" s="337"/>
    </row>
    <row r="93" spans="2:10">
      <c r="B93" s="343"/>
      <c r="C93" s="337"/>
      <c r="D93" s="337"/>
      <c r="E93" s="344"/>
      <c r="F93" s="344"/>
      <c r="G93" s="345"/>
      <c r="H93" s="337"/>
      <c r="I93" s="337"/>
      <c r="J93" s="337"/>
    </row>
    <row r="94" spans="2:10">
      <c r="B94" s="343"/>
      <c r="C94" s="337"/>
      <c r="D94" s="337"/>
      <c r="E94" s="344"/>
      <c r="F94" s="344"/>
      <c r="G94" s="345"/>
      <c r="H94" s="337"/>
      <c r="I94" s="337"/>
      <c r="J94" s="337"/>
    </row>
    <row r="95" spans="2:10">
      <c r="B95" s="343"/>
      <c r="C95" s="337"/>
      <c r="D95" s="337"/>
      <c r="E95" s="344"/>
      <c r="F95" s="344"/>
      <c r="G95" s="345"/>
      <c r="H95" s="337"/>
      <c r="I95" s="337"/>
      <c r="J95" s="337"/>
    </row>
    <row r="96" spans="2:10">
      <c r="B96" s="343"/>
      <c r="C96" s="337"/>
      <c r="D96" s="337"/>
      <c r="E96" s="344"/>
      <c r="F96" s="344"/>
      <c r="G96" s="345"/>
      <c r="H96" s="337"/>
      <c r="I96" s="337"/>
      <c r="J96" s="337"/>
    </row>
    <row r="97" spans="2:10">
      <c r="B97" s="343"/>
      <c r="C97" s="337"/>
      <c r="D97" s="337"/>
      <c r="E97" s="344"/>
      <c r="F97" s="344"/>
      <c r="G97" s="345"/>
      <c r="H97" s="337"/>
      <c r="I97" s="337"/>
      <c r="J97" s="337"/>
    </row>
    <row r="98" spans="2:10">
      <c r="B98" s="343"/>
      <c r="C98" s="337"/>
      <c r="D98" s="337"/>
      <c r="E98" s="344"/>
      <c r="F98" s="344"/>
      <c r="G98" s="345"/>
      <c r="H98" s="337"/>
      <c r="I98" s="337"/>
      <c r="J98" s="337"/>
    </row>
    <row r="99" spans="2:10">
      <c r="B99" s="343"/>
      <c r="C99" s="337"/>
      <c r="D99" s="337"/>
      <c r="E99" s="344"/>
      <c r="F99" s="344"/>
      <c r="G99" s="345"/>
      <c r="H99" s="337"/>
      <c r="I99" s="337"/>
      <c r="J99" s="337"/>
    </row>
    <row r="100" spans="2:10">
      <c r="B100" s="343"/>
      <c r="C100" s="337"/>
      <c r="D100" s="337"/>
      <c r="E100" s="344"/>
      <c r="F100" s="344"/>
      <c r="G100" s="345"/>
      <c r="H100" s="337"/>
      <c r="I100" s="337"/>
      <c r="J100" s="337"/>
    </row>
    <row r="101" spans="2:10">
      <c r="B101" s="343"/>
      <c r="C101" s="337"/>
      <c r="D101" s="337"/>
      <c r="E101" s="344"/>
      <c r="F101" s="344"/>
      <c r="G101" s="345"/>
      <c r="H101" s="337"/>
      <c r="I101" s="337"/>
      <c r="J101" s="337"/>
    </row>
    <row r="102" spans="2:10">
      <c r="B102" s="343"/>
      <c r="C102" s="337"/>
      <c r="D102" s="337"/>
      <c r="E102" s="344"/>
      <c r="F102" s="344"/>
      <c r="G102" s="345"/>
      <c r="H102" s="337"/>
      <c r="I102" s="337"/>
      <c r="J102" s="337"/>
    </row>
    <row r="103" spans="2:10">
      <c r="B103" s="343"/>
      <c r="C103" s="337"/>
      <c r="D103" s="337"/>
      <c r="E103" s="344"/>
      <c r="F103" s="344"/>
      <c r="G103" s="345"/>
      <c r="H103" s="337"/>
      <c r="I103" s="337"/>
      <c r="J103" s="337"/>
    </row>
    <row r="104" spans="2:10">
      <c r="B104" s="343"/>
      <c r="C104" s="337"/>
      <c r="D104" s="337"/>
      <c r="E104" s="344"/>
      <c r="F104" s="344"/>
      <c r="G104" s="345"/>
      <c r="H104" s="337"/>
      <c r="I104" s="337"/>
      <c r="J104" s="337"/>
    </row>
    <row r="105" spans="2:10">
      <c r="B105" s="343"/>
      <c r="C105" s="337"/>
      <c r="D105" s="337"/>
      <c r="E105" s="344"/>
      <c r="F105" s="344"/>
      <c r="G105" s="345"/>
      <c r="H105" s="337"/>
      <c r="I105" s="337"/>
      <c r="J105" s="337"/>
    </row>
    <row r="106" spans="2:10">
      <c r="B106" s="343"/>
      <c r="C106" s="337"/>
      <c r="D106" s="337"/>
      <c r="E106" s="344"/>
      <c r="F106" s="344"/>
      <c r="G106" s="345"/>
      <c r="H106" s="337"/>
      <c r="I106" s="337"/>
      <c r="J106" s="337"/>
    </row>
    <row r="107" spans="2:10">
      <c r="B107" s="343"/>
      <c r="C107" s="337"/>
      <c r="D107" s="337"/>
      <c r="E107" s="344"/>
      <c r="F107" s="344"/>
      <c r="G107" s="345"/>
      <c r="H107" s="337"/>
      <c r="I107" s="337"/>
      <c r="J107" s="337"/>
    </row>
    <row r="108" spans="2:10">
      <c r="B108" s="343"/>
      <c r="C108" s="337"/>
      <c r="D108" s="337"/>
      <c r="E108" s="344"/>
      <c r="F108" s="344"/>
      <c r="G108" s="345"/>
      <c r="H108" s="337"/>
      <c r="I108" s="337"/>
      <c r="J108" s="337"/>
    </row>
    <row r="109" spans="2:10">
      <c r="B109" s="343"/>
      <c r="C109" s="337"/>
      <c r="D109" s="337"/>
      <c r="E109" s="344"/>
      <c r="F109" s="344"/>
      <c r="G109" s="345"/>
      <c r="H109" s="337"/>
      <c r="I109" s="337"/>
      <c r="J109" s="337"/>
    </row>
    <row r="110" spans="2:10">
      <c r="B110" s="343"/>
      <c r="C110" s="337"/>
      <c r="D110" s="337"/>
      <c r="E110" s="344"/>
      <c r="F110" s="344"/>
      <c r="G110" s="345"/>
      <c r="H110" s="337"/>
      <c r="I110" s="337"/>
      <c r="J110" s="337"/>
    </row>
    <row r="111" spans="2:10">
      <c r="B111" s="343"/>
      <c r="C111" s="337"/>
      <c r="D111" s="337"/>
      <c r="E111" s="344"/>
      <c r="F111" s="344"/>
      <c r="G111" s="345"/>
      <c r="H111" s="337"/>
      <c r="I111" s="337"/>
      <c r="J111" s="337"/>
    </row>
    <row r="112" spans="2:10">
      <c r="B112" s="343"/>
      <c r="C112" s="337"/>
      <c r="D112" s="337"/>
      <c r="E112" s="344"/>
      <c r="F112" s="344"/>
      <c r="G112" s="345"/>
      <c r="H112" s="337"/>
      <c r="I112" s="337"/>
      <c r="J112" s="337"/>
    </row>
    <row r="113" spans="2:10">
      <c r="B113" s="343"/>
      <c r="C113" s="337"/>
      <c r="D113" s="337"/>
      <c r="E113" s="344"/>
      <c r="F113" s="344"/>
      <c r="G113" s="345"/>
      <c r="H113" s="337"/>
      <c r="I113" s="337"/>
      <c r="J113" s="337"/>
    </row>
    <row r="114" spans="2:10">
      <c r="B114" s="343"/>
      <c r="C114" s="337"/>
      <c r="D114" s="337"/>
      <c r="E114" s="344"/>
      <c r="F114" s="344"/>
      <c r="G114" s="345"/>
      <c r="H114" s="337"/>
      <c r="I114" s="337"/>
      <c r="J114" s="337"/>
    </row>
    <row r="115" spans="2:10">
      <c r="B115" s="343"/>
      <c r="C115" s="337"/>
      <c r="D115" s="337"/>
      <c r="E115" s="344"/>
      <c r="F115" s="344"/>
      <c r="G115" s="345"/>
      <c r="H115" s="337"/>
      <c r="I115" s="337"/>
      <c r="J115" s="337"/>
    </row>
    <row r="116" spans="2:10">
      <c r="B116" s="343"/>
      <c r="C116" s="337"/>
      <c r="D116" s="337"/>
      <c r="E116" s="344"/>
      <c r="F116" s="344"/>
      <c r="G116" s="345"/>
      <c r="H116" s="337"/>
      <c r="I116" s="337"/>
      <c r="J116" s="337"/>
    </row>
    <row r="117" spans="2:10">
      <c r="B117" s="343"/>
      <c r="C117" s="337"/>
      <c r="D117" s="337"/>
      <c r="E117" s="344"/>
      <c r="F117" s="344"/>
      <c r="G117" s="345"/>
      <c r="H117" s="337"/>
      <c r="I117" s="337"/>
      <c r="J117" s="337"/>
    </row>
    <row r="118" spans="2:10">
      <c r="B118" s="343"/>
      <c r="C118" s="337"/>
      <c r="D118" s="337"/>
      <c r="E118" s="344"/>
      <c r="F118" s="344"/>
      <c r="G118" s="345"/>
      <c r="H118" s="337"/>
      <c r="I118" s="337"/>
      <c r="J118" s="337"/>
    </row>
    <row r="119" spans="2:10">
      <c r="B119" s="343"/>
      <c r="C119" s="337"/>
      <c r="D119" s="337"/>
      <c r="E119" s="344"/>
      <c r="F119" s="344"/>
      <c r="G119" s="345"/>
      <c r="H119" s="337"/>
      <c r="I119" s="337"/>
      <c r="J119" s="337"/>
    </row>
    <row r="120" spans="2:10">
      <c r="B120" s="343"/>
      <c r="C120" s="337"/>
      <c r="D120" s="337"/>
      <c r="E120" s="344"/>
      <c r="F120" s="344"/>
      <c r="G120" s="345"/>
      <c r="H120" s="337"/>
      <c r="I120" s="337"/>
      <c r="J120" s="337"/>
    </row>
    <row r="121" spans="2:10">
      <c r="B121" s="343"/>
      <c r="C121" s="337"/>
      <c r="D121" s="337"/>
      <c r="E121" s="344"/>
      <c r="F121" s="344"/>
      <c r="G121" s="345"/>
      <c r="H121" s="337"/>
      <c r="I121" s="337"/>
      <c r="J121" s="337"/>
    </row>
    <row r="122" spans="2:10">
      <c r="B122" s="343"/>
      <c r="C122" s="337"/>
      <c r="D122" s="337"/>
      <c r="E122" s="344"/>
      <c r="F122" s="344"/>
      <c r="G122" s="345"/>
      <c r="H122" s="337"/>
      <c r="I122" s="337"/>
      <c r="J122" s="337"/>
    </row>
    <row r="123" spans="2:10">
      <c r="B123" s="343"/>
      <c r="C123" s="337"/>
      <c r="D123" s="337"/>
      <c r="E123" s="344"/>
      <c r="F123" s="344"/>
      <c r="G123" s="345"/>
      <c r="H123" s="337"/>
      <c r="I123" s="337"/>
      <c r="J123" s="337"/>
    </row>
    <row r="124" spans="2:10">
      <c r="B124" s="343"/>
      <c r="C124" s="337"/>
      <c r="D124" s="337"/>
      <c r="E124" s="344"/>
      <c r="F124" s="344"/>
      <c r="G124" s="345"/>
      <c r="H124" s="337"/>
      <c r="I124" s="337"/>
      <c r="J124" s="337"/>
    </row>
    <row r="125" spans="2:10">
      <c r="B125" s="343"/>
      <c r="C125" s="337"/>
      <c r="D125" s="337"/>
      <c r="E125" s="344"/>
      <c r="F125" s="344"/>
      <c r="G125" s="345"/>
      <c r="H125" s="337"/>
      <c r="I125" s="337"/>
      <c r="J125" s="337"/>
    </row>
    <row r="126" spans="2:10">
      <c r="B126" s="343"/>
      <c r="C126" s="337"/>
      <c r="D126" s="337"/>
      <c r="E126" s="344"/>
      <c r="F126" s="344"/>
      <c r="G126" s="345"/>
      <c r="H126" s="337"/>
      <c r="I126" s="337"/>
      <c r="J126" s="337"/>
    </row>
    <row r="127" spans="2:10">
      <c r="B127" s="343"/>
      <c r="C127" s="337"/>
      <c r="D127" s="337"/>
      <c r="E127" s="344"/>
      <c r="F127" s="344"/>
      <c r="G127" s="345"/>
      <c r="H127" s="337"/>
      <c r="I127" s="337"/>
      <c r="J127" s="337"/>
    </row>
    <row r="128" spans="2:10">
      <c r="B128" s="343"/>
      <c r="C128" s="337"/>
      <c r="D128" s="337"/>
      <c r="E128" s="344"/>
      <c r="F128" s="344"/>
      <c r="G128" s="345"/>
      <c r="H128" s="337"/>
      <c r="I128" s="337"/>
      <c r="J128" s="337"/>
    </row>
    <row r="129" spans="2:10">
      <c r="B129" s="343"/>
      <c r="C129" s="337"/>
      <c r="D129" s="337"/>
      <c r="E129" s="344"/>
      <c r="F129" s="344"/>
      <c r="G129" s="345"/>
      <c r="H129" s="337"/>
      <c r="I129" s="337"/>
      <c r="J129" s="337"/>
    </row>
    <row r="130" spans="2:10">
      <c r="B130" s="343"/>
      <c r="C130" s="337"/>
      <c r="D130" s="337"/>
      <c r="E130" s="344"/>
      <c r="F130" s="344"/>
      <c r="G130" s="345"/>
      <c r="H130" s="337"/>
      <c r="I130" s="337"/>
      <c r="J130" s="337"/>
    </row>
    <row r="131" spans="2:10">
      <c r="B131" s="343"/>
      <c r="C131" s="337"/>
      <c r="D131" s="337"/>
      <c r="E131" s="344"/>
      <c r="F131" s="344"/>
      <c r="G131" s="345"/>
      <c r="H131" s="337"/>
      <c r="I131" s="337"/>
      <c r="J131" s="337"/>
    </row>
    <row r="132" spans="2:10">
      <c r="B132" s="343"/>
      <c r="C132" s="337"/>
      <c r="D132" s="337"/>
      <c r="E132" s="344"/>
      <c r="F132" s="344"/>
      <c r="G132" s="345"/>
      <c r="H132" s="337"/>
      <c r="I132" s="337"/>
      <c r="J132" s="337"/>
    </row>
    <row r="133" spans="2:10">
      <c r="B133" s="343"/>
      <c r="C133" s="337"/>
      <c r="D133" s="337"/>
      <c r="E133" s="344"/>
      <c r="F133" s="344"/>
      <c r="G133" s="345"/>
      <c r="H133" s="337"/>
      <c r="I133" s="337"/>
      <c r="J133" s="337"/>
    </row>
    <row r="134" spans="2:10">
      <c r="B134" s="343"/>
      <c r="C134" s="337"/>
      <c r="D134" s="337"/>
      <c r="E134" s="344"/>
      <c r="F134" s="344"/>
      <c r="G134" s="345"/>
      <c r="H134" s="337"/>
      <c r="I134" s="337"/>
      <c r="J134" s="337"/>
    </row>
    <row r="135" spans="2:10">
      <c r="B135" s="343"/>
      <c r="C135" s="337"/>
      <c r="D135" s="337"/>
      <c r="E135" s="344"/>
      <c r="F135" s="344"/>
      <c r="G135" s="345"/>
      <c r="H135" s="337"/>
      <c r="I135" s="337"/>
      <c r="J135" s="337"/>
    </row>
    <row r="136" spans="2:10">
      <c r="B136" s="343"/>
      <c r="C136" s="337"/>
      <c r="D136" s="337"/>
      <c r="E136" s="344"/>
      <c r="F136" s="344"/>
      <c r="G136" s="345"/>
      <c r="H136" s="337"/>
      <c r="I136" s="337"/>
      <c r="J136" s="337"/>
    </row>
    <row r="137" spans="2:10">
      <c r="B137" s="343"/>
      <c r="C137" s="337"/>
      <c r="D137" s="337"/>
      <c r="E137" s="344"/>
      <c r="F137" s="344"/>
      <c r="G137" s="345"/>
      <c r="H137" s="337"/>
      <c r="I137" s="337"/>
      <c r="J137" s="337"/>
    </row>
    <row r="138" spans="2:10">
      <c r="B138" s="343"/>
      <c r="C138" s="337"/>
      <c r="D138" s="337"/>
      <c r="E138" s="344"/>
      <c r="F138" s="344"/>
      <c r="G138" s="345"/>
      <c r="H138" s="337"/>
      <c r="I138" s="337"/>
      <c r="J138" s="337"/>
    </row>
    <row r="139" spans="2:10">
      <c r="B139" s="343"/>
      <c r="C139" s="337"/>
      <c r="D139" s="337"/>
      <c r="E139" s="344"/>
      <c r="F139" s="344"/>
      <c r="G139" s="345"/>
      <c r="H139" s="337"/>
      <c r="I139" s="337"/>
      <c r="J139" s="337"/>
    </row>
    <row r="140" spans="2:10">
      <c r="B140" s="343"/>
      <c r="C140" s="337"/>
      <c r="D140" s="337"/>
      <c r="E140" s="344"/>
      <c r="F140" s="344"/>
      <c r="G140" s="345"/>
      <c r="H140" s="337"/>
      <c r="I140" s="337"/>
      <c r="J140" s="337"/>
    </row>
    <row r="141" spans="2:10">
      <c r="B141" s="343"/>
      <c r="C141" s="337"/>
      <c r="D141" s="337"/>
      <c r="E141" s="344"/>
      <c r="F141" s="344"/>
      <c r="G141" s="345"/>
      <c r="H141" s="337"/>
      <c r="I141" s="337"/>
      <c r="J141" s="337"/>
    </row>
    <row r="142" spans="2:10">
      <c r="B142" s="343"/>
      <c r="C142" s="337"/>
      <c r="D142" s="337"/>
      <c r="E142" s="344"/>
      <c r="F142" s="344"/>
      <c r="G142" s="345"/>
      <c r="H142" s="337"/>
      <c r="I142" s="337"/>
      <c r="J142" s="337"/>
    </row>
    <row r="143" spans="2:10">
      <c r="B143" s="343"/>
      <c r="C143" s="337"/>
      <c r="D143" s="337"/>
      <c r="E143" s="344"/>
      <c r="F143" s="344"/>
      <c r="G143" s="345"/>
      <c r="H143" s="337"/>
      <c r="I143" s="337"/>
      <c r="J143" s="337"/>
    </row>
    <row r="144" spans="2:10">
      <c r="B144" s="343"/>
      <c r="C144" s="337"/>
      <c r="D144" s="337"/>
      <c r="E144" s="344"/>
      <c r="F144" s="344"/>
      <c r="G144" s="345"/>
      <c r="H144" s="337"/>
      <c r="I144" s="337"/>
      <c r="J144" s="337"/>
    </row>
    <row r="145" spans="2:10">
      <c r="B145" s="343"/>
      <c r="C145" s="337"/>
      <c r="D145" s="337"/>
      <c r="E145" s="344"/>
      <c r="F145" s="344"/>
      <c r="G145" s="345"/>
      <c r="H145" s="337"/>
      <c r="I145" s="337"/>
      <c r="J145" s="337"/>
    </row>
    <row r="146" spans="2:10">
      <c r="B146" s="343"/>
      <c r="C146" s="337"/>
      <c r="D146" s="337"/>
      <c r="E146" s="344"/>
      <c r="F146" s="344"/>
      <c r="G146" s="345"/>
      <c r="H146" s="337"/>
      <c r="I146" s="337"/>
      <c r="J146" s="337"/>
    </row>
    <row r="147" spans="2:10">
      <c r="B147" s="343"/>
      <c r="C147" s="337"/>
      <c r="D147" s="337"/>
      <c r="E147" s="344"/>
      <c r="F147" s="344"/>
      <c r="G147" s="345"/>
      <c r="H147" s="337"/>
      <c r="I147" s="337"/>
      <c r="J147" s="337"/>
    </row>
    <row r="148" spans="2:10">
      <c r="B148" s="343"/>
      <c r="C148" s="337"/>
      <c r="D148" s="337"/>
      <c r="E148" s="344"/>
      <c r="F148" s="344"/>
      <c r="G148" s="345"/>
      <c r="H148" s="337"/>
      <c r="I148" s="337"/>
      <c r="J148" s="337"/>
    </row>
    <row r="149" spans="2:10">
      <c r="B149" s="343"/>
      <c r="C149" s="337"/>
      <c r="D149" s="337"/>
      <c r="E149" s="344"/>
      <c r="F149" s="344"/>
      <c r="G149" s="345"/>
      <c r="H149" s="337"/>
      <c r="I149" s="337"/>
      <c r="J149" s="337"/>
    </row>
    <row r="150" spans="2:10">
      <c r="B150" s="343"/>
      <c r="C150" s="337"/>
      <c r="D150" s="337"/>
      <c r="E150" s="344"/>
      <c r="F150" s="344"/>
      <c r="G150" s="345"/>
      <c r="H150" s="337"/>
      <c r="I150" s="337"/>
      <c r="J150" s="337"/>
    </row>
  </sheetData>
  <mergeCells count="5">
    <mergeCell ref="B1:G1"/>
    <mergeCell ref="D4:D5"/>
    <mergeCell ref="B2:G2"/>
    <mergeCell ref="I4:I5"/>
    <mergeCell ref="J4:J5"/>
  </mergeCells>
  <pageMargins left="0.51181102362204722" right="0.39370078740157483" top="0.51181102362204722" bottom="0.74803149606299213" header="0.59055118110236227" footer="0.31496062992125984"/>
  <pageSetup paperSize="9" orientation="portrait" r:id="rId1"/>
  <headerFoot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J78"/>
  <sheetViews>
    <sheetView workbookViewId="0">
      <pane xSplit="1" ySplit="5" topLeftCell="B33" activePane="bottomRight" state="frozen"/>
      <selection pane="topRight" activeCell="B1" sqref="B1"/>
      <selection pane="bottomLeft" activeCell="A6" sqref="A6"/>
      <selection pane="bottomRight" activeCell="G49" sqref="G49"/>
    </sheetView>
  </sheetViews>
  <sheetFormatPr defaultRowHeight="12.75"/>
  <cols>
    <col min="1" max="1" width="3.42578125" style="54" customWidth="1"/>
    <col min="2" max="2" width="12" style="173" customWidth="1"/>
    <col min="3" max="3" width="18.28515625" style="50" customWidth="1"/>
    <col min="4" max="4" width="21.28515625" style="84" customWidth="1"/>
    <col min="5" max="5" width="12.7109375" style="60" customWidth="1"/>
    <col min="6" max="6" width="14.28515625" style="60" customWidth="1"/>
    <col min="7" max="7" width="14.140625" style="63" customWidth="1"/>
    <col min="8" max="8" width="2.28515625" style="54" customWidth="1"/>
    <col min="9" max="9" width="12.85546875" style="54" bestFit="1" customWidth="1"/>
    <col min="10" max="10" width="16.7109375" style="60" customWidth="1"/>
    <col min="11" max="16384" width="9.140625" style="54"/>
  </cols>
  <sheetData>
    <row r="1" spans="1:10" ht="18.75">
      <c r="A1" s="58"/>
      <c r="B1" s="686" t="s">
        <v>2</v>
      </c>
      <c r="C1" s="686"/>
      <c r="D1" s="686"/>
      <c r="E1" s="686"/>
      <c r="F1" s="686"/>
      <c r="G1" s="686"/>
      <c r="H1" s="58"/>
    </row>
    <row r="2" spans="1:10" ht="18.75">
      <c r="A2" s="58"/>
      <c r="B2" s="686" t="s">
        <v>46</v>
      </c>
      <c r="C2" s="686"/>
      <c r="D2" s="686"/>
      <c r="E2" s="686"/>
      <c r="F2" s="686"/>
      <c r="G2" s="686"/>
      <c r="H2" s="58"/>
    </row>
    <row r="3" spans="1:10" ht="13.5" thickBot="1">
      <c r="A3" s="58"/>
      <c r="B3" s="167"/>
      <c r="C3" s="130"/>
      <c r="D3" s="131"/>
      <c r="E3" s="63"/>
      <c r="F3" s="62"/>
      <c r="G3" s="62"/>
      <c r="H3" s="58"/>
    </row>
    <row r="4" spans="1:10" s="40" customFormat="1" ht="15.75" customHeight="1" thickTop="1">
      <c r="A4" s="67"/>
      <c r="B4" s="159" t="s">
        <v>10</v>
      </c>
      <c r="C4" s="45" t="s">
        <v>11</v>
      </c>
      <c r="D4" s="673" t="s">
        <v>12</v>
      </c>
      <c r="E4" s="46" t="s">
        <v>9</v>
      </c>
      <c r="F4" s="46" t="s">
        <v>13</v>
      </c>
      <c r="G4" s="45" t="s">
        <v>8</v>
      </c>
      <c r="H4" s="67"/>
      <c r="I4" s="671" t="s">
        <v>22</v>
      </c>
      <c r="J4" s="671" t="s">
        <v>23</v>
      </c>
    </row>
    <row r="5" spans="1:10" s="40" customFormat="1" ht="15.75" thickBot="1">
      <c r="A5" s="67"/>
      <c r="B5" s="160" t="s">
        <v>14</v>
      </c>
      <c r="C5" s="47" t="s">
        <v>15</v>
      </c>
      <c r="D5" s="674"/>
      <c r="E5" s="48" t="s">
        <v>16</v>
      </c>
      <c r="F5" s="48" t="s">
        <v>16</v>
      </c>
      <c r="G5" s="49" t="s">
        <v>17</v>
      </c>
      <c r="H5" s="67"/>
      <c r="I5" s="671"/>
      <c r="J5" s="671"/>
    </row>
    <row r="6" spans="1:10" ht="13.5" thickTop="1">
      <c r="A6" s="58"/>
      <c r="B6" s="168"/>
      <c r="C6" s="132"/>
      <c r="D6" s="133"/>
      <c r="E6" s="134"/>
      <c r="F6" s="135"/>
      <c r="G6" s="78"/>
      <c r="H6" s="58"/>
    </row>
    <row r="7" spans="1:10">
      <c r="A7" s="58"/>
      <c r="B7" s="257">
        <v>41639</v>
      </c>
      <c r="C7" s="258" t="s">
        <v>25</v>
      </c>
      <c r="D7" s="259"/>
      <c r="E7" s="260"/>
      <c r="F7" s="261">
        <v>100880730.06</v>
      </c>
      <c r="G7" s="346">
        <f>F7</f>
        <v>100880730.06</v>
      </c>
      <c r="H7" s="58"/>
    </row>
    <row r="8" spans="1:10">
      <c r="A8" s="58"/>
      <c r="B8" s="199">
        <v>41669</v>
      </c>
      <c r="C8" s="145" t="s">
        <v>51</v>
      </c>
      <c r="D8" s="146"/>
      <c r="E8" s="150"/>
      <c r="F8" s="235">
        <v>2730200</v>
      </c>
      <c r="G8" s="137">
        <f t="shared" ref="G8:G70" si="0">G7+F8-E8</f>
        <v>103610930.06</v>
      </c>
      <c r="H8" s="347"/>
      <c r="I8" s="348"/>
      <c r="J8" s="349"/>
    </row>
    <row r="9" spans="1:10">
      <c r="A9" s="58"/>
      <c r="B9" s="199">
        <v>41669</v>
      </c>
      <c r="C9" s="145" t="s">
        <v>52</v>
      </c>
      <c r="D9" s="146"/>
      <c r="E9" s="150"/>
      <c r="F9" s="246">
        <v>4059880</v>
      </c>
      <c r="G9" s="137">
        <f t="shared" si="0"/>
        <v>107670810.06</v>
      </c>
      <c r="H9" s="347"/>
      <c r="I9" s="348"/>
      <c r="J9" s="349"/>
    </row>
    <row r="10" spans="1:10">
      <c r="A10" s="58"/>
      <c r="B10" s="172">
        <v>41646</v>
      </c>
      <c r="C10" s="149" t="s">
        <v>53</v>
      </c>
      <c r="D10" s="384" t="s">
        <v>54</v>
      </c>
      <c r="E10" s="195">
        <v>54388728</v>
      </c>
      <c r="F10" s="369"/>
      <c r="G10" s="137">
        <f t="shared" si="0"/>
        <v>53282082.060000002</v>
      </c>
      <c r="H10" s="347"/>
      <c r="I10" s="348"/>
      <c r="J10" s="349"/>
    </row>
    <row r="11" spans="1:10">
      <c r="A11" s="58"/>
      <c r="B11" s="172">
        <v>41662</v>
      </c>
      <c r="C11" s="149" t="s">
        <v>67</v>
      </c>
      <c r="D11" s="384" t="s">
        <v>54</v>
      </c>
      <c r="E11" s="195">
        <v>46492002</v>
      </c>
      <c r="F11" s="218"/>
      <c r="G11" s="280">
        <f t="shared" si="0"/>
        <v>6790080.0600000024</v>
      </c>
      <c r="H11" s="347"/>
      <c r="I11" s="348">
        <f>SUM(F8:F11)</f>
        <v>6790080</v>
      </c>
      <c r="J11" s="349">
        <f>SUM(E10:E11)</f>
        <v>100880730</v>
      </c>
    </row>
    <row r="12" spans="1:10">
      <c r="A12" s="58"/>
      <c r="B12" s="199">
        <v>41695</v>
      </c>
      <c r="C12" s="145" t="s">
        <v>178</v>
      </c>
      <c r="D12" s="219"/>
      <c r="E12" s="147"/>
      <c r="F12" s="218">
        <v>1617000</v>
      </c>
      <c r="G12" s="137">
        <f>G11+F12</f>
        <v>8407080.0600000024</v>
      </c>
      <c r="H12" s="347"/>
      <c r="I12" s="348"/>
      <c r="J12" s="349"/>
    </row>
    <row r="13" spans="1:10">
      <c r="A13" s="58"/>
      <c r="B13" s="171">
        <v>41695</v>
      </c>
      <c r="C13" s="143" t="s">
        <v>179</v>
      </c>
      <c r="D13" s="140"/>
      <c r="E13" s="142"/>
      <c r="F13" s="109">
        <v>45799820</v>
      </c>
      <c r="G13" s="137">
        <f>G12+F13-E13</f>
        <v>54206900.060000002</v>
      </c>
      <c r="H13" s="347"/>
      <c r="I13" s="348"/>
      <c r="J13" s="349"/>
    </row>
    <row r="14" spans="1:10">
      <c r="A14" s="58"/>
      <c r="B14" s="212">
        <v>41695</v>
      </c>
      <c r="C14" s="287" t="s">
        <v>180</v>
      </c>
      <c r="D14" s="213"/>
      <c r="E14" s="214"/>
      <c r="F14" s="109">
        <v>9394829</v>
      </c>
      <c r="G14" s="137">
        <f>G13+F14-E14</f>
        <v>63601729.060000002</v>
      </c>
      <c r="H14" s="347"/>
      <c r="I14" s="348"/>
      <c r="J14" s="349"/>
    </row>
    <row r="15" spans="1:10">
      <c r="A15" s="58"/>
      <c r="B15" s="199">
        <v>41698</v>
      </c>
      <c r="C15" s="145" t="s">
        <v>181</v>
      </c>
      <c r="D15" s="219"/>
      <c r="E15" s="147"/>
      <c r="F15" s="109">
        <v>8547000</v>
      </c>
      <c r="G15" s="137">
        <f>G14+F15-E15</f>
        <v>72148729.060000002</v>
      </c>
      <c r="H15" s="347"/>
      <c r="I15" s="348"/>
      <c r="J15" s="349"/>
    </row>
    <row r="16" spans="1:10">
      <c r="A16" s="58"/>
      <c r="B16" s="199">
        <v>41698</v>
      </c>
      <c r="C16" s="145" t="s">
        <v>193</v>
      </c>
      <c r="D16" s="219"/>
      <c r="E16" s="195"/>
      <c r="F16" s="109">
        <v>4469999</v>
      </c>
      <c r="G16" s="137">
        <f>G15+F16-E16</f>
        <v>76618728.060000002</v>
      </c>
      <c r="H16" s="347"/>
      <c r="I16" s="348">
        <f>SUM(F12:F17)</f>
        <v>69828648</v>
      </c>
      <c r="J16" s="349"/>
    </row>
    <row r="17" spans="1:10">
      <c r="A17" s="58"/>
      <c r="B17" s="172">
        <v>41691</v>
      </c>
      <c r="C17" s="149" t="s">
        <v>140</v>
      </c>
      <c r="D17" s="384" t="s">
        <v>141</v>
      </c>
      <c r="E17" s="195">
        <v>6790080</v>
      </c>
      <c r="F17" s="152"/>
      <c r="G17" s="280">
        <f t="shared" si="0"/>
        <v>69828648.060000002</v>
      </c>
      <c r="H17" s="347"/>
      <c r="I17" s="348"/>
      <c r="J17" s="349"/>
    </row>
    <row r="18" spans="1:10">
      <c r="B18" s="171">
        <v>41719</v>
      </c>
      <c r="C18" s="255" t="s">
        <v>278</v>
      </c>
      <c r="D18" s="140"/>
      <c r="E18" s="142"/>
      <c r="F18" s="109">
        <v>18396798</v>
      </c>
      <c r="G18" s="137">
        <f t="shared" si="0"/>
        <v>88225446.060000002</v>
      </c>
      <c r="H18" s="348"/>
      <c r="I18" s="348"/>
      <c r="J18" s="349"/>
    </row>
    <row r="19" spans="1:10">
      <c r="B19" s="169">
        <v>41719</v>
      </c>
      <c r="C19" s="255" t="s">
        <v>279</v>
      </c>
      <c r="D19" s="140"/>
      <c r="E19" s="141"/>
      <c r="F19" s="109">
        <v>5959998</v>
      </c>
      <c r="G19" s="137">
        <f t="shared" si="0"/>
        <v>94185444.060000002</v>
      </c>
      <c r="H19" s="348"/>
      <c r="I19" s="348"/>
      <c r="J19" s="349"/>
    </row>
    <row r="20" spans="1:10">
      <c r="B20" s="170">
        <v>41719</v>
      </c>
      <c r="C20" s="255" t="s">
        <v>280</v>
      </c>
      <c r="D20" s="140"/>
      <c r="E20" s="141"/>
      <c r="F20" s="109">
        <v>13189183</v>
      </c>
      <c r="G20" s="137">
        <f t="shared" si="0"/>
        <v>107374627.06</v>
      </c>
      <c r="H20" s="348"/>
      <c r="I20" s="348"/>
      <c r="J20" s="349"/>
    </row>
    <row r="21" spans="1:10">
      <c r="B21" s="171">
        <v>41726</v>
      </c>
      <c r="C21" s="255" t="s">
        <v>281</v>
      </c>
      <c r="D21" s="140"/>
      <c r="E21" s="142"/>
      <c r="F21" s="109">
        <v>28772724</v>
      </c>
      <c r="G21" s="137">
        <f t="shared" si="0"/>
        <v>136147351.06</v>
      </c>
      <c r="H21" s="348"/>
      <c r="I21" s="348"/>
      <c r="J21" s="349"/>
    </row>
    <row r="22" spans="1:10">
      <c r="B22" s="212">
        <v>41726</v>
      </c>
      <c r="C22" s="287" t="s">
        <v>282</v>
      </c>
      <c r="D22" s="213"/>
      <c r="E22" s="214"/>
      <c r="F22" s="152">
        <v>8939997</v>
      </c>
      <c r="G22" s="137">
        <f t="shared" si="0"/>
        <v>145087348.06</v>
      </c>
      <c r="H22" s="348"/>
      <c r="I22" s="348"/>
      <c r="J22" s="349"/>
    </row>
    <row r="23" spans="1:10">
      <c r="B23" s="199">
        <v>41726</v>
      </c>
      <c r="C23" s="145" t="s">
        <v>283</v>
      </c>
      <c r="D23" s="384"/>
      <c r="E23" s="421"/>
      <c r="F23" s="109">
        <v>2979999</v>
      </c>
      <c r="G23" s="137">
        <f t="shared" si="0"/>
        <v>148067347.06</v>
      </c>
      <c r="H23" s="348"/>
      <c r="I23" s="348"/>
      <c r="J23" s="349"/>
    </row>
    <row r="24" spans="1:10">
      <c r="B24" s="172">
        <v>41726</v>
      </c>
      <c r="C24" s="149" t="s">
        <v>227</v>
      </c>
      <c r="D24" s="384" t="s">
        <v>228</v>
      </c>
      <c r="E24" s="195">
        <v>65358649</v>
      </c>
      <c r="F24" s="109"/>
      <c r="G24" s="280">
        <f t="shared" si="0"/>
        <v>82708698.060000002</v>
      </c>
      <c r="H24" s="348"/>
      <c r="I24" s="348">
        <f>SUM(F18:F23)</f>
        <v>78238699</v>
      </c>
      <c r="J24" s="349"/>
    </row>
    <row r="25" spans="1:10">
      <c r="B25" s="171">
        <v>41746</v>
      </c>
      <c r="C25" s="255" t="s">
        <v>369</v>
      </c>
      <c r="D25" s="140"/>
      <c r="E25" s="142"/>
      <c r="F25" s="109">
        <v>6944080</v>
      </c>
      <c r="G25" s="137">
        <f t="shared" si="0"/>
        <v>89652778.060000002</v>
      </c>
      <c r="H25" s="348"/>
      <c r="I25" s="348"/>
      <c r="J25" s="349"/>
    </row>
    <row r="26" spans="1:10">
      <c r="B26" s="169">
        <v>41746</v>
      </c>
      <c r="C26" s="285" t="s">
        <v>370</v>
      </c>
      <c r="D26" s="140"/>
      <c r="E26" s="141"/>
      <c r="F26" s="109">
        <v>10421927</v>
      </c>
      <c r="G26" s="137">
        <f t="shared" si="0"/>
        <v>100074705.06</v>
      </c>
      <c r="H26" s="348"/>
      <c r="I26" s="348"/>
      <c r="J26" s="349"/>
    </row>
    <row r="27" spans="1:10">
      <c r="B27" s="169">
        <v>41759</v>
      </c>
      <c r="C27" s="285" t="s">
        <v>371</v>
      </c>
      <c r="D27" s="140"/>
      <c r="E27" s="141"/>
      <c r="F27" s="109">
        <v>38476348</v>
      </c>
      <c r="G27" s="137">
        <f t="shared" si="0"/>
        <v>138551053.06</v>
      </c>
      <c r="H27" s="348"/>
      <c r="I27" s="350"/>
      <c r="J27" s="349"/>
    </row>
    <row r="28" spans="1:10">
      <c r="B28" s="199">
        <v>41759</v>
      </c>
      <c r="C28" s="145" t="s">
        <v>392</v>
      </c>
      <c r="D28" s="219"/>
      <c r="E28" s="147"/>
      <c r="F28" s="109">
        <v>7449998</v>
      </c>
      <c r="G28" s="137">
        <f t="shared" si="0"/>
        <v>146001051.06</v>
      </c>
      <c r="H28" s="348"/>
      <c r="I28" s="348"/>
      <c r="J28" s="349"/>
    </row>
    <row r="29" spans="1:10">
      <c r="B29" s="199">
        <v>41759</v>
      </c>
      <c r="C29" s="145" t="s">
        <v>393</v>
      </c>
      <c r="D29" s="219"/>
      <c r="E29" s="214"/>
      <c r="F29" s="109">
        <v>12420586</v>
      </c>
      <c r="G29" s="137">
        <f t="shared" si="0"/>
        <v>158421637.06</v>
      </c>
      <c r="H29" s="348"/>
      <c r="I29" s="348"/>
      <c r="J29" s="349"/>
    </row>
    <row r="30" spans="1:10">
      <c r="B30" s="172">
        <v>41733</v>
      </c>
      <c r="C30" s="149" t="s">
        <v>301</v>
      </c>
      <c r="D30" s="384" t="s">
        <v>228</v>
      </c>
      <c r="E30" s="195">
        <v>4469999</v>
      </c>
      <c r="F30" s="109"/>
      <c r="G30" s="137">
        <f t="shared" si="0"/>
        <v>153951638.06</v>
      </c>
      <c r="H30" s="348"/>
      <c r="I30" s="348">
        <f>SUM(F25:F29)</f>
        <v>75712939</v>
      </c>
      <c r="J30" s="349">
        <f>SUM(E28:E30)</f>
        <v>4469999</v>
      </c>
    </row>
    <row r="31" spans="1:10">
      <c r="B31" s="172">
        <v>41733</v>
      </c>
      <c r="C31" s="149" t="s">
        <v>301</v>
      </c>
      <c r="D31" s="384" t="s">
        <v>302</v>
      </c>
      <c r="E31" s="217">
        <v>37545979</v>
      </c>
      <c r="F31" s="109"/>
      <c r="G31" s="137">
        <f t="shared" si="0"/>
        <v>116405659.06</v>
      </c>
      <c r="H31" s="348"/>
      <c r="I31" s="348"/>
      <c r="J31" s="349"/>
    </row>
    <row r="32" spans="1:10">
      <c r="B32" s="172">
        <v>41744</v>
      </c>
      <c r="C32" s="149" t="s">
        <v>308</v>
      </c>
      <c r="D32" s="384" t="s">
        <v>302</v>
      </c>
      <c r="E32" s="217">
        <v>40692720</v>
      </c>
      <c r="F32" s="109"/>
      <c r="G32" s="280">
        <f t="shared" si="0"/>
        <v>75712939.060000002</v>
      </c>
      <c r="H32" s="348"/>
      <c r="I32" s="348"/>
      <c r="J32" s="349"/>
    </row>
    <row r="33" spans="2:10">
      <c r="B33" s="199">
        <v>41790</v>
      </c>
      <c r="C33" s="145" t="s">
        <v>485</v>
      </c>
      <c r="D33" s="384"/>
      <c r="E33" s="217"/>
      <c r="F33" s="109">
        <v>2979999</v>
      </c>
      <c r="G33" s="137">
        <f t="shared" si="0"/>
        <v>78692938.060000002</v>
      </c>
      <c r="H33" s="348"/>
      <c r="I33" s="348"/>
      <c r="J33" s="349"/>
    </row>
    <row r="34" spans="2:10">
      <c r="B34" s="171">
        <v>41790</v>
      </c>
      <c r="C34" s="255" t="s">
        <v>486</v>
      </c>
      <c r="D34" s="140"/>
      <c r="E34" s="142"/>
      <c r="F34" s="109">
        <v>4775394</v>
      </c>
      <c r="G34" s="137">
        <f t="shared" si="0"/>
        <v>83468332.060000002</v>
      </c>
      <c r="H34" s="348"/>
      <c r="I34" s="348"/>
      <c r="J34" s="349">
        <f>SUM(E33:E34)</f>
        <v>0</v>
      </c>
    </row>
    <row r="35" spans="2:10">
      <c r="B35" s="172">
        <v>41771</v>
      </c>
      <c r="C35" s="149" t="s">
        <v>404</v>
      </c>
      <c r="D35" s="384" t="s">
        <v>405</v>
      </c>
      <c r="E35" s="217">
        <v>17366007</v>
      </c>
      <c r="F35" s="109"/>
      <c r="G35" s="137">
        <f t="shared" si="0"/>
        <v>66102325.060000002</v>
      </c>
      <c r="H35" s="348"/>
      <c r="I35" s="348">
        <f>SUM(F28:F29)</f>
        <v>19870584</v>
      </c>
      <c r="J35" s="349"/>
    </row>
    <row r="36" spans="2:10">
      <c r="B36" s="172">
        <v>41789</v>
      </c>
      <c r="C36" s="149" t="s">
        <v>433</v>
      </c>
      <c r="D36" s="384" t="s">
        <v>405</v>
      </c>
      <c r="E36" s="217">
        <v>38476348</v>
      </c>
      <c r="F36" s="109"/>
      <c r="G36" s="280">
        <f t="shared" si="0"/>
        <v>27625977.060000002</v>
      </c>
      <c r="H36" s="348"/>
      <c r="I36" s="348">
        <f>SUM(F33:F34)</f>
        <v>7755393</v>
      </c>
      <c r="J36" s="349">
        <f>SUM(E35:E36)</f>
        <v>55842355</v>
      </c>
    </row>
    <row r="37" spans="2:10">
      <c r="B37" s="212">
        <v>41820</v>
      </c>
      <c r="C37" s="287" t="s">
        <v>551</v>
      </c>
      <c r="D37" s="213"/>
      <c r="E37" s="214"/>
      <c r="F37" s="92">
        <v>1220010</v>
      </c>
      <c r="G37" s="137">
        <f t="shared" si="0"/>
        <v>28845987.060000002</v>
      </c>
      <c r="H37" s="348"/>
      <c r="I37" s="348"/>
      <c r="J37" s="349"/>
    </row>
    <row r="38" spans="2:10">
      <c r="B38" s="199">
        <v>41820</v>
      </c>
      <c r="C38" s="145" t="s">
        <v>552</v>
      </c>
      <c r="D38" s="384"/>
      <c r="E38" s="217"/>
      <c r="F38" s="92">
        <v>2689880</v>
      </c>
      <c r="G38" s="137">
        <f t="shared" si="0"/>
        <v>31535867.060000002</v>
      </c>
      <c r="H38" s="348"/>
      <c r="I38" s="349"/>
      <c r="J38" s="349"/>
    </row>
    <row r="39" spans="2:10">
      <c r="B39" s="199">
        <v>41820</v>
      </c>
      <c r="C39" s="145" t="s">
        <v>553</v>
      </c>
      <c r="D39" s="384"/>
      <c r="E39" s="217"/>
      <c r="F39" s="92">
        <v>5773816</v>
      </c>
      <c r="G39" s="137">
        <f t="shared" si="0"/>
        <v>37309683.060000002</v>
      </c>
      <c r="H39" s="348"/>
      <c r="I39" s="348"/>
      <c r="J39" s="349"/>
    </row>
    <row r="40" spans="2:10">
      <c r="B40" s="171">
        <v>41820</v>
      </c>
      <c r="C40" s="255" t="s">
        <v>554</v>
      </c>
      <c r="D40" s="140"/>
      <c r="E40" s="142"/>
      <c r="F40" s="109">
        <v>5959998</v>
      </c>
      <c r="G40" s="137">
        <f t="shared" si="0"/>
        <v>43269681.060000002</v>
      </c>
      <c r="H40" s="348"/>
      <c r="I40" s="348"/>
      <c r="J40" s="349"/>
    </row>
    <row r="41" spans="2:10">
      <c r="B41" s="171">
        <v>41820</v>
      </c>
      <c r="C41" s="255" t="s">
        <v>555</v>
      </c>
      <c r="D41" s="140"/>
      <c r="E41" s="142"/>
      <c r="F41" s="109">
        <v>7579990</v>
      </c>
      <c r="G41" s="137">
        <f t="shared" si="0"/>
        <v>50849671.060000002</v>
      </c>
      <c r="H41" s="348"/>
      <c r="I41" s="348"/>
      <c r="J41" s="349"/>
    </row>
    <row r="42" spans="2:10">
      <c r="B42" s="171">
        <v>41820</v>
      </c>
      <c r="C42" s="255" t="s">
        <v>556</v>
      </c>
      <c r="D42" s="140"/>
      <c r="E42" s="142"/>
      <c r="F42" s="109">
        <v>1300200</v>
      </c>
      <c r="G42" s="137">
        <f t="shared" si="0"/>
        <v>52149871.060000002</v>
      </c>
      <c r="H42" s="348"/>
      <c r="I42" s="348"/>
      <c r="J42" s="349"/>
    </row>
    <row r="43" spans="2:10">
      <c r="B43" s="593">
        <v>41794</v>
      </c>
      <c r="C43" s="93" t="s">
        <v>503</v>
      </c>
      <c r="D43" s="384" t="s">
        <v>405</v>
      </c>
      <c r="E43" s="217">
        <v>19870584</v>
      </c>
      <c r="F43" s="109"/>
      <c r="G43" s="137">
        <f t="shared" si="0"/>
        <v>32279287.060000002</v>
      </c>
      <c r="H43" s="348"/>
      <c r="I43" s="348"/>
      <c r="J43" s="349"/>
    </row>
    <row r="44" spans="2:10">
      <c r="B44" s="593">
        <v>41794</v>
      </c>
      <c r="C44" s="93" t="s">
        <v>503</v>
      </c>
      <c r="D44" s="594" t="s">
        <v>432</v>
      </c>
      <c r="E44" s="637">
        <v>7755393</v>
      </c>
      <c r="F44" s="92"/>
      <c r="G44" s="280">
        <f t="shared" si="0"/>
        <v>24523894.060000002</v>
      </c>
      <c r="H44" s="348"/>
      <c r="I44" s="348">
        <f>SUM(F37:F42)</f>
        <v>24523894</v>
      </c>
      <c r="J44" s="349">
        <f>SUM(E43:E44)</f>
        <v>27625977</v>
      </c>
    </row>
    <row r="45" spans="2:10">
      <c r="B45" s="212">
        <v>41838</v>
      </c>
      <c r="C45" s="287" t="s">
        <v>626</v>
      </c>
      <c r="D45" s="213"/>
      <c r="E45" s="214"/>
      <c r="F45" s="109">
        <v>10575550</v>
      </c>
      <c r="G45" s="137">
        <f t="shared" si="0"/>
        <v>35099444.060000002</v>
      </c>
      <c r="H45" s="348"/>
      <c r="I45" s="348"/>
      <c r="J45" s="349"/>
    </row>
    <row r="46" spans="2:10">
      <c r="B46" s="277">
        <v>41836</v>
      </c>
      <c r="C46" s="230" t="s">
        <v>610</v>
      </c>
      <c r="D46" s="661" t="s">
        <v>611</v>
      </c>
      <c r="E46" s="217">
        <v>24523894</v>
      </c>
      <c r="F46" s="109"/>
      <c r="G46" s="280">
        <f t="shared" si="0"/>
        <v>10575550.060000002</v>
      </c>
      <c r="H46" s="348"/>
      <c r="I46" s="348"/>
      <c r="J46" s="349"/>
    </row>
    <row r="47" spans="2:10">
      <c r="B47" s="271">
        <v>41857</v>
      </c>
      <c r="C47" s="91" t="s">
        <v>726</v>
      </c>
      <c r="D47" s="663"/>
      <c r="E47" s="573"/>
      <c r="F47" s="109">
        <v>13262588</v>
      </c>
      <c r="G47" s="137">
        <f t="shared" si="0"/>
        <v>23838138.060000002</v>
      </c>
      <c r="H47" s="348"/>
      <c r="I47" s="348"/>
      <c r="J47" s="349"/>
    </row>
    <row r="48" spans="2:10">
      <c r="B48" s="212">
        <v>41864</v>
      </c>
      <c r="C48" s="287" t="s">
        <v>727</v>
      </c>
      <c r="D48" s="140"/>
      <c r="E48" s="214"/>
      <c r="F48" s="109">
        <v>14221753</v>
      </c>
      <c r="G48" s="137">
        <f t="shared" si="0"/>
        <v>38059891.060000002</v>
      </c>
      <c r="H48" s="348"/>
      <c r="I48" s="348">
        <f>SUM(F47:F48)</f>
        <v>27484341</v>
      </c>
      <c r="J48" s="349"/>
    </row>
    <row r="49" spans="2:10">
      <c r="B49" s="492">
        <v>41873</v>
      </c>
      <c r="C49" s="93" t="s">
        <v>676</v>
      </c>
      <c r="D49" s="663" t="s">
        <v>659</v>
      </c>
      <c r="E49" s="573">
        <v>10575550</v>
      </c>
      <c r="F49" s="150"/>
      <c r="G49" s="280">
        <f t="shared" si="0"/>
        <v>27484341.060000002</v>
      </c>
      <c r="H49" s="348"/>
      <c r="I49" s="348"/>
      <c r="J49" s="349"/>
    </row>
    <row r="50" spans="2:10">
      <c r="B50" s="212"/>
      <c r="C50" s="287"/>
      <c r="D50" s="140"/>
      <c r="E50" s="214"/>
      <c r="F50" s="109"/>
      <c r="G50" s="137">
        <f t="shared" si="0"/>
        <v>27484341.060000002</v>
      </c>
      <c r="H50" s="348"/>
      <c r="I50" s="348"/>
      <c r="J50" s="349"/>
    </row>
    <row r="51" spans="2:10">
      <c r="B51" s="492"/>
      <c r="C51" s="93"/>
      <c r="D51" s="663"/>
      <c r="E51" s="573"/>
      <c r="F51" s="109"/>
      <c r="G51" s="137">
        <f t="shared" si="0"/>
        <v>27484341.060000002</v>
      </c>
      <c r="H51" s="348"/>
      <c r="I51" s="348"/>
      <c r="J51" s="349"/>
    </row>
    <row r="52" spans="2:10">
      <c r="B52" s="169"/>
      <c r="C52" s="255"/>
      <c r="D52" s="140"/>
      <c r="E52" s="144"/>
      <c r="F52" s="109"/>
      <c r="G52" s="137">
        <f t="shared" si="0"/>
        <v>27484341.060000002</v>
      </c>
      <c r="H52" s="348"/>
      <c r="I52" s="348"/>
      <c r="J52" s="349"/>
    </row>
    <row r="53" spans="2:10">
      <c r="B53" s="169"/>
      <c r="C53" s="255"/>
      <c r="D53" s="140"/>
      <c r="E53" s="144"/>
      <c r="F53" s="109"/>
      <c r="G53" s="137">
        <f t="shared" si="0"/>
        <v>27484341.060000002</v>
      </c>
      <c r="H53" s="348"/>
      <c r="I53" s="348"/>
      <c r="J53" s="349"/>
    </row>
    <row r="54" spans="2:10">
      <c r="B54" s="199"/>
      <c r="C54" s="91"/>
      <c r="D54" s="140"/>
      <c r="E54" s="232"/>
      <c r="F54" s="150"/>
      <c r="G54" s="137">
        <f t="shared" si="0"/>
        <v>27484341.060000002</v>
      </c>
      <c r="H54" s="348"/>
      <c r="I54" s="348"/>
      <c r="J54" s="349"/>
    </row>
    <row r="55" spans="2:10">
      <c r="B55" s="199"/>
      <c r="C55" s="91"/>
      <c r="D55" s="140"/>
      <c r="E55" s="232"/>
      <c r="F55" s="109"/>
      <c r="G55" s="137">
        <f t="shared" si="0"/>
        <v>27484341.060000002</v>
      </c>
      <c r="H55" s="348"/>
      <c r="I55" s="348">
        <f>SUM(F48:F53)</f>
        <v>14221753</v>
      </c>
      <c r="J55" s="349">
        <f>SUM(E54:E55)</f>
        <v>0</v>
      </c>
    </row>
    <row r="56" spans="2:10">
      <c r="B56" s="169"/>
      <c r="C56" s="255"/>
      <c r="D56" s="140"/>
      <c r="E56" s="144"/>
      <c r="F56" s="109"/>
      <c r="G56" s="137">
        <f t="shared" si="0"/>
        <v>27484341.060000002</v>
      </c>
      <c r="H56" s="348"/>
      <c r="I56" s="348"/>
      <c r="J56" s="349"/>
    </row>
    <row r="57" spans="2:10">
      <c r="B57" s="169"/>
      <c r="C57" s="255"/>
      <c r="D57" s="140"/>
      <c r="E57" s="144"/>
      <c r="F57" s="109"/>
      <c r="G57" s="137">
        <f t="shared" si="0"/>
        <v>27484341.060000002</v>
      </c>
      <c r="H57" s="348"/>
      <c r="I57" s="348"/>
      <c r="J57" s="349"/>
    </row>
    <row r="58" spans="2:10">
      <c r="B58" s="169"/>
      <c r="C58" s="255"/>
      <c r="D58" s="140"/>
      <c r="E58" s="144"/>
      <c r="F58" s="109"/>
      <c r="G58" s="137">
        <f t="shared" si="0"/>
        <v>27484341.060000002</v>
      </c>
      <c r="H58" s="348"/>
      <c r="I58" s="348"/>
      <c r="J58" s="349"/>
    </row>
    <row r="59" spans="2:10">
      <c r="B59" s="212"/>
      <c r="C59" s="287"/>
      <c r="D59" s="213"/>
      <c r="E59" s="214"/>
      <c r="F59" s="109"/>
      <c r="G59" s="137">
        <f t="shared" si="0"/>
        <v>27484341.060000002</v>
      </c>
      <c r="H59" s="348"/>
      <c r="I59" s="348"/>
      <c r="J59" s="349"/>
    </row>
    <row r="60" spans="2:10">
      <c r="B60" s="199"/>
      <c r="C60" s="145"/>
      <c r="D60" s="146"/>
      <c r="E60" s="147"/>
      <c r="F60" s="150"/>
      <c r="G60" s="137">
        <f t="shared" si="0"/>
        <v>27484341.060000002</v>
      </c>
      <c r="H60" s="348"/>
      <c r="I60" s="348"/>
      <c r="J60" s="349"/>
    </row>
    <row r="61" spans="2:10">
      <c r="B61" s="169"/>
      <c r="C61" s="285"/>
      <c r="D61" s="140"/>
      <c r="E61" s="144"/>
      <c r="F61" s="109"/>
      <c r="G61" s="137">
        <f t="shared" si="0"/>
        <v>27484341.060000002</v>
      </c>
      <c r="H61" s="348"/>
      <c r="I61" s="348"/>
      <c r="J61" s="349"/>
    </row>
    <row r="62" spans="2:10">
      <c r="B62" s="540"/>
      <c r="C62" s="324"/>
      <c r="D62" s="205"/>
      <c r="E62" s="320"/>
      <c r="F62" s="109"/>
      <c r="G62" s="137">
        <f t="shared" si="0"/>
        <v>27484341.060000002</v>
      </c>
      <c r="H62" s="348"/>
      <c r="I62" s="348"/>
      <c r="J62" s="349"/>
    </row>
    <row r="63" spans="2:10">
      <c r="B63" s="212"/>
      <c r="C63" s="287"/>
      <c r="D63" s="213"/>
      <c r="E63" s="214"/>
      <c r="F63" s="109"/>
      <c r="G63" s="137">
        <f t="shared" si="0"/>
        <v>27484341.060000002</v>
      </c>
      <c r="H63" s="348"/>
      <c r="I63" s="348"/>
      <c r="J63" s="349"/>
    </row>
    <row r="64" spans="2:10">
      <c r="B64" s="212"/>
      <c r="C64" s="287"/>
      <c r="D64" s="213"/>
      <c r="E64" s="214"/>
      <c r="F64" s="109"/>
      <c r="G64" s="137">
        <f t="shared" si="0"/>
        <v>27484341.060000002</v>
      </c>
      <c r="H64" s="348"/>
      <c r="I64" s="348"/>
      <c r="J64" s="349"/>
    </row>
    <row r="65" spans="2:10">
      <c r="B65" s="169"/>
      <c r="C65" s="285"/>
      <c r="D65" s="140"/>
      <c r="E65" s="144"/>
      <c r="F65" s="109"/>
      <c r="G65" s="137">
        <f t="shared" si="0"/>
        <v>27484341.060000002</v>
      </c>
      <c r="H65" s="348"/>
      <c r="I65" s="348"/>
      <c r="J65" s="349"/>
    </row>
    <row r="66" spans="2:10">
      <c r="B66" s="169"/>
      <c r="C66" s="285"/>
      <c r="D66" s="140"/>
      <c r="E66" s="144"/>
      <c r="F66" s="109"/>
      <c r="G66" s="137">
        <f t="shared" si="0"/>
        <v>27484341.060000002</v>
      </c>
      <c r="H66" s="348"/>
      <c r="I66" s="348"/>
      <c r="J66" s="349"/>
    </row>
    <row r="67" spans="2:10">
      <c r="B67" s="199"/>
      <c r="C67" s="145"/>
      <c r="D67" s="146"/>
      <c r="E67" s="147"/>
      <c r="F67" s="150"/>
      <c r="G67" s="137">
        <f t="shared" si="0"/>
        <v>27484341.060000002</v>
      </c>
      <c r="H67" s="348"/>
      <c r="I67" s="348"/>
      <c r="J67" s="349"/>
    </row>
    <row r="68" spans="2:10">
      <c r="B68" s="199"/>
      <c r="C68" s="145"/>
      <c r="D68" s="146"/>
      <c r="E68" s="147"/>
      <c r="F68" s="150"/>
      <c r="G68" s="137">
        <f t="shared" si="0"/>
        <v>27484341.060000002</v>
      </c>
      <c r="H68" s="348"/>
      <c r="I68" s="348"/>
      <c r="J68" s="349"/>
    </row>
    <row r="69" spans="2:10">
      <c r="B69" s="169"/>
      <c r="C69" s="285"/>
      <c r="D69" s="213"/>
      <c r="E69" s="144"/>
      <c r="F69" s="109"/>
      <c r="G69" s="137">
        <f t="shared" si="0"/>
        <v>27484341.060000002</v>
      </c>
      <c r="H69" s="348"/>
      <c r="I69" s="348"/>
      <c r="J69" s="349"/>
    </row>
    <row r="70" spans="2:10">
      <c r="B70" s="169"/>
      <c r="C70" s="285"/>
      <c r="D70" s="140"/>
      <c r="E70" s="144"/>
      <c r="F70" s="109"/>
      <c r="G70" s="137">
        <f t="shared" si="0"/>
        <v>27484341.060000002</v>
      </c>
      <c r="H70" s="348"/>
      <c r="I70" s="348"/>
      <c r="J70" s="349"/>
    </row>
    <row r="71" spans="2:10">
      <c r="B71" s="169"/>
      <c r="C71" s="285"/>
      <c r="D71" s="140"/>
      <c r="E71" s="144"/>
      <c r="F71" s="109"/>
      <c r="G71" s="137">
        <f>G70+F71-E71</f>
        <v>27484341.060000002</v>
      </c>
      <c r="H71" s="348"/>
      <c r="I71" s="348"/>
      <c r="J71" s="349"/>
    </row>
    <row r="72" spans="2:10">
      <c r="B72" s="169"/>
      <c r="C72" s="285"/>
      <c r="D72" s="140"/>
      <c r="E72" s="144"/>
      <c r="F72" s="109"/>
      <c r="G72" s="137">
        <f>G71+F72-E72</f>
        <v>27484341.060000002</v>
      </c>
      <c r="H72" s="348"/>
      <c r="I72" s="348"/>
      <c r="J72" s="349"/>
    </row>
    <row r="73" spans="2:10">
      <c r="B73" s="169"/>
      <c r="C73" s="285"/>
      <c r="D73" s="213"/>
      <c r="E73" s="214"/>
      <c r="F73" s="109"/>
      <c r="G73" s="137">
        <f>G72+F73-E73</f>
        <v>27484341.060000002</v>
      </c>
      <c r="H73" s="348"/>
      <c r="I73" s="348"/>
      <c r="J73" s="349"/>
    </row>
    <row r="74" spans="2:10" ht="13.5" thickBot="1">
      <c r="B74" s="351"/>
      <c r="C74" s="352"/>
      <c r="D74" s="353"/>
      <c r="E74" s="354"/>
      <c r="F74" s="355"/>
      <c r="G74" s="356"/>
      <c r="H74" s="348"/>
      <c r="I74" s="348"/>
      <c r="J74" s="349"/>
    </row>
    <row r="75" spans="2:10" ht="13.5" thickTop="1">
      <c r="C75" s="54"/>
      <c r="F75" s="54"/>
    </row>
    <row r="76" spans="2:10">
      <c r="C76" s="54"/>
      <c r="F76" s="54"/>
    </row>
    <row r="77" spans="2:10">
      <c r="C77" s="54"/>
      <c r="F77" s="54"/>
    </row>
    <row r="78" spans="2:10">
      <c r="C78" s="54"/>
      <c r="F78" s="54"/>
    </row>
  </sheetData>
  <sortState ref="B45:F46">
    <sortCondition ref="C23:C27"/>
  </sortState>
  <mergeCells count="5">
    <mergeCell ref="B1:G1"/>
    <mergeCell ref="D4:D5"/>
    <mergeCell ref="B2:G2"/>
    <mergeCell ref="I4:I5"/>
    <mergeCell ref="J4:J5"/>
  </mergeCells>
  <pageMargins left="0.56000000000000005" right="0.35433070866141736" top="0.39370078740157483" bottom="0.74803149606299213" header="0.31496062992125984" footer="0.31496062992125984"/>
  <pageSetup paperSize="9" orientation="portrait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B1:J2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7" sqref="C17"/>
    </sheetView>
  </sheetViews>
  <sheetFormatPr defaultRowHeight="15"/>
  <cols>
    <col min="1" max="1" width="4.28515625" style="40" customWidth="1"/>
    <col min="2" max="2" width="13.28515625" style="164" customWidth="1"/>
    <col min="3" max="3" width="16.5703125" style="40" bestFit="1" customWidth="1"/>
    <col min="4" max="4" width="20.42578125" style="82" customWidth="1"/>
    <col min="5" max="6" width="13.7109375" style="52" customWidth="1"/>
    <col min="7" max="7" width="15.42578125" style="53" customWidth="1"/>
    <col min="8" max="8" width="2.5703125" style="40" customWidth="1"/>
    <col min="9" max="9" width="13.7109375" style="40" customWidth="1"/>
    <col min="10" max="10" width="15.42578125" style="40" customWidth="1"/>
    <col min="11" max="16384" width="9.140625" style="40"/>
  </cols>
  <sheetData>
    <row r="1" spans="2:10" ht="18.75">
      <c r="B1" s="672" t="s">
        <v>624</v>
      </c>
      <c r="C1" s="672"/>
      <c r="D1" s="672"/>
      <c r="E1" s="672"/>
      <c r="F1" s="672"/>
      <c r="G1" s="672"/>
    </row>
    <row r="2" spans="2:10" ht="18.75">
      <c r="B2" s="672" t="s">
        <v>46</v>
      </c>
      <c r="C2" s="672"/>
      <c r="D2" s="672"/>
      <c r="E2" s="672"/>
      <c r="F2" s="672"/>
      <c r="G2" s="672"/>
    </row>
    <row r="3" spans="2:10" ht="15.75" thickBot="1">
      <c r="B3" s="158"/>
      <c r="C3" s="41"/>
      <c r="D3" s="80"/>
      <c r="E3" s="42"/>
      <c r="F3" s="42"/>
      <c r="G3" s="43"/>
    </row>
    <row r="4" spans="2:10" ht="15.75" customHeight="1" thickTop="1">
      <c r="B4" s="159" t="s">
        <v>10</v>
      </c>
      <c r="C4" s="45" t="s">
        <v>11</v>
      </c>
      <c r="D4" s="673" t="s">
        <v>12</v>
      </c>
      <c r="E4" s="46" t="s">
        <v>9</v>
      </c>
      <c r="F4" s="46" t="s">
        <v>13</v>
      </c>
      <c r="G4" s="291" t="s">
        <v>8</v>
      </c>
      <c r="I4" s="671" t="s">
        <v>22</v>
      </c>
      <c r="J4" s="671" t="s">
        <v>23</v>
      </c>
    </row>
    <row r="5" spans="2:10" ht="15.75" thickBot="1">
      <c r="B5" s="160" t="s">
        <v>14</v>
      </c>
      <c r="C5" s="47" t="s">
        <v>15</v>
      </c>
      <c r="D5" s="674"/>
      <c r="E5" s="48" t="s">
        <v>16</v>
      </c>
      <c r="F5" s="48" t="s">
        <v>16</v>
      </c>
      <c r="G5" s="292" t="s">
        <v>17</v>
      </c>
      <c r="I5" s="671"/>
      <c r="J5" s="671"/>
    </row>
    <row r="6" spans="2:10" ht="15.75" thickTop="1">
      <c r="B6" s="174"/>
      <c r="C6" s="111"/>
      <c r="D6" s="110"/>
      <c r="E6" s="111"/>
      <c r="F6" s="111"/>
      <c r="G6" s="293"/>
    </row>
    <row r="7" spans="2:10">
      <c r="B7" s="271">
        <v>41857</v>
      </c>
      <c r="C7" s="145" t="s">
        <v>641</v>
      </c>
      <c r="D7" s="448"/>
      <c r="E7" s="147"/>
      <c r="F7" s="92">
        <v>500000</v>
      </c>
      <c r="G7" s="456">
        <f>F7</f>
        <v>500000</v>
      </c>
    </row>
    <row r="8" spans="2:10">
      <c r="B8" s="462"/>
      <c r="C8" s="446"/>
      <c r="D8" s="461"/>
      <c r="E8" s="463"/>
      <c r="F8" s="152"/>
      <c r="G8" s="478"/>
    </row>
    <row r="9" spans="2:10">
      <c r="B9" s="271"/>
      <c r="C9" s="145"/>
      <c r="D9" s="448"/>
      <c r="E9" s="147"/>
      <c r="F9" s="92"/>
      <c r="G9" s="280">
        <f>F9</f>
        <v>0</v>
      </c>
    </row>
    <row r="10" spans="2:10">
      <c r="B10" s="462"/>
      <c r="C10" s="446"/>
      <c r="D10" s="461"/>
      <c r="E10" s="463"/>
      <c r="F10" s="152"/>
      <c r="G10" s="478">
        <f>G9-E10</f>
        <v>0</v>
      </c>
    </row>
    <row r="11" spans="2:10">
      <c r="B11" s="271"/>
      <c r="C11" s="145"/>
      <c r="D11" s="448"/>
      <c r="E11" s="147"/>
      <c r="F11" s="150"/>
      <c r="G11" s="473"/>
    </row>
    <row r="12" spans="2:10">
      <c r="B12" s="492"/>
      <c r="C12" s="149"/>
      <c r="D12" s="493"/>
      <c r="E12" s="195"/>
      <c r="F12" s="150"/>
      <c r="G12" s="473"/>
    </row>
    <row r="13" spans="2:10" s="54" customFormat="1" ht="13.5" thickBot="1">
      <c r="B13" s="358"/>
      <c r="C13" s="359"/>
      <c r="D13" s="359"/>
      <c r="E13" s="352"/>
      <c r="F13" s="359"/>
      <c r="G13" s="356"/>
    </row>
    <row r="14" spans="2:10" ht="15.75" thickTop="1">
      <c r="B14" s="449"/>
      <c r="C14" s="450"/>
      <c r="D14" s="451"/>
      <c r="E14" s="452"/>
      <c r="F14" s="452"/>
      <c r="G14" s="453"/>
    </row>
    <row r="15" spans="2:10">
      <c r="B15" s="165"/>
      <c r="C15" s="98"/>
      <c r="D15" s="454"/>
      <c r="E15" s="99"/>
      <c r="F15" s="99"/>
      <c r="G15" s="455"/>
    </row>
    <row r="16" spans="2:10">
      <c r="B16" s="165"/>
      <c r="C16" s="98"/>
      <c r="D16" s="454"/>
      <c r="E16" s="99"/>
      <c r="F16" s="99"/>
      <c r="G16" s="455"/>
    </row>
    <row r="17" spans="2:7">
      <c r="B17" s="165"/>
      <c r="C17" s="98"/>
      <c r="D17" s="454"/>
      <c r="E17" s="99"/>
      <c r="F17" s="99"/>
      <c r="G17" s="455"/>
    </row>
    <row r="18" spans="2:7">
      <c r="B18" s="165"/>
      <c r="C18" s="98"/>
      <c r="D18" s="454"/>
      <c r="E18" s="99"/>
      <c r="F18" s="99"/>
      <c r="G18" s="455"/>
    </row>
    <row r="19" spans="2:7">
      <c r="B19" s="165"/>
      <c r="C19" s="98"/>
      <c r="D19" s="454"/>
      <c r="E19" s="99"/>
      <c r="F19" s="99"/>
      <c r="G19" s="455"/>
    </row>
    <row r="20" spans="2:7">
      <c r="B20" s="165"/>
      <c r="C20" s="98"/>
      <c r="D20" s="454"/>
      <c r="E20" s="99"/>
      <c r="F20" s="99"/>
      <c r="G20" s="455"/>
    </row>
    <row r="21" spans="2:7">
      <c r="B21" s="165"/>
      <c r="C21" s="98"/>
      <c r="D21" s="454"/>
      <c r="E21" s="99"/>
      <c r="F21" s="99"/>
      <c r="G21" s="455"/>
    </row>
    <row r="22" spans="2:7">
      <c r="B22" s="176"/>
      <c r="C22" s="55"/>
      <c r="D22" s="81"/>
      <c r="E22" s="56"/>
      <c r="F22" s="56"/>
      <c r="G22" s="294"/>
    </row>
    <row r="23" spans="2:7">
      <c r="B23" s="176"/>
      <c r="C23" s="55"/>
      <c r="D23" s="81"/>
      <c r="E23" s="56"/>
      <c r="F23" s="56"/>
      <c r="G23" s="294"/>
    </row>
  </sheetData>
  <mergeCells count="5">
    <mergeCell ref="B1:G1"/>
    <mergeCell ref="B2:G2"/>
    <mergeCell ref="D4:D5"/>
    <mergeCell ref="I4:I5"/>
    <mergeCell ref="J4:J5"/>
  </mergeCells>
  <pageMargins left="0.31496062992125984" right="0.47244094488188981" top="0.35433070866141736" bottom="0.74803149606299213" header="0.31496062992125984" footer="0.31496062992125984"/>
  <pageSetup paperSize="9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35</vt:i4>
      </vt:variant>
    </vt:vector>
  </HeadingPairs>
  <TitlesOfParts>
    <vt:vector size="56" baseType="lpstr">
      <vt:lpstr>AKB</vt:lpstr>
      <vt:lpstr>GIP</vt:lpstr>
      <vt:lpstr>GBL</vt:lpstr>
      <vt:lpstr>GBL (2)</vt:lpstr>
      <vt:lpstr>VENT</vt:lpstr>
      <vt:lpstr>HMP</vt:lpstr>
      <vt:lpstr>HJP.TG</vt:lpstr>
      <vt:lpstr>JKP</vt:lpstr>
      <vt:lpstr>LIKIN</vt:lpstr>
      <vt:lpstr>MAM</vt:lpstr>
      <vt:lpstr>MCM</vt:lpstr>
      <vt:lpstr>OCHIAI</vt:lpstr>
      <vt:lpstr>PSC</vt:lpstr>
      <vt:lpstr>ROOT</vt:lpstr>
      <vt:lpstr>SAN</vt:lpstr>
      <vt:lpstr>SIGMA</vt:lpstr>
      <vt:lpstr>TAIYO</vt:lpstr>
      <vt:lpstr>T.BOON</vt:lpstr>
      <vt:lpstr>ZHE JIANG</vt:lpstr>
      <vt:lpstr>ZUNLI</vt:lpstr>
      <vt:lpstr>VTG</vt:lpstr>
      <vt:lpstr>AKB!Print_Area</vt:lpstr>
      <vt:lpstr>GBL!Print_Area</vt:lpstr>
      <vt:lpstr>'GBL (2)'!Print_Area</vt:lpstr>
      <vt:lpstr>GIP!Print_Area</vt:lpstr>
      <vt:lpstr>HJP.TG!Print_Area</vt:lpstr>
      <vt:lpstr>HMP!Print_Area</vt:lpstr>
      <vt:lpstr>JKP!Print_Area</vt:lpstr>
      <vt:lpstr>LIKIN!Print_Area</vt:lpstr>
      <vt:lpstr>MAM!Print_Area</vt:lpstr>
      <vt:lpstr>MCM!Print_Area</vt:lpstr>
      <vt:lpstr>OCHIAI!Print_Area</vt:lpstr>
      <vt:lpstr>PSC!Print_Area</vt:lpstr>
      <vt:lpstr>ROOT!Print_Area</vt:lpstr>
      <vt:lpstr>SAN!Print_Area</vt:lpstr>
      <vt:lpstr>SIGMA!Print_Area</vt:lpstr>
      <vt:lpstr>T.BOON!Print_Area</vt:lpstr>
      <vt:lpstr>TAIYO!Print_Area</vt:lpstr>
      <vt:lpstr>VENT!Print_Area</vt:lpstr>
      <vt:lpstr>VTG!Print_Area</vt:lpstr>
      <vt:lpstr>'ZHE JIANG'!Print_Area</vt:lpstr>
      <vt:lpstr>ZUNLI!Print_Area</vt:lpstr>
      <vt:lpstr>AKB!Print_Titles</vt:lpstr>
      <vt:lpstr>GBL!Print_Titles</vt:lpstr>
      <vt:lpstr>'GBL (2)'!Print_Titles</vt:lpstr>
      <vt:lpstr>GIP!Print_Titles</vt:lpstr>
      <vt:lpstr>HJP.TG!Print_Titles</vt:lpstr>
      <vt:lpstr>HMP!Print_Titles</vt:lpstr>
      <vt:lpstr>JKP!Print_Titles</vt:lpstr>
      <vt:lpstr>OCHIAI!Print_Titles</vt:lpstr>
      <vt:lpstr>ROOT!Print_Titles</vt:lpstr>
      <vt:lpstr>TAIYO!Print_Titles</vt:lpstr>
      <vt:lpstr>VENT!Print_Titles</vt:lpstr>
      <vt:lpstr>VTG!Print_Titles</vt:lpstr>
      <vt:lpstr>'ZHE JIANG'!Print_Titles</vt:lpstr>
      <vt:lpstr>ZUNLI!Print_Titles</vt:lpstr>
    </vt:vector>
  </TitlesOfParts>
  <Company>TRADING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</dc:creator>
  <cp:lastModifiedBy>serefina</cp:lastModifiedBy>
  <cp:lastPrinted>2014-09-23T09:13:13Z</cp:lastPrinted>
  <dcterms:created xsi:type="dcterms:W3CDTF">2010-05-21T08:03:57Z</dcterms:created>
  <dcterms:modified xsi:type="dcterms:W3CDTF">2014-09-24T04:04:20Z</dcterms:modified>
</cp:coreProperties>
</file>