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KiCost!$J$5:$O$16</definedName>
    <definedName name="global_part_data">KiCost!$A$5:$I$16</definedName>
    <definedName name="local_part_data">KiCost!$AB$5:$AG$16</definedName>
    <definedName name="mouser_part_data">KiCost!$P$5:$U$16</definedName>
    <definedName name="newark_part_data">KiCost!$V$5:$AA$16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<sst xmlns="http://schemas.openxmlformats.org/spreadsheetml/2006/main" count="122" uniqueCount="75">
  <si>
    <t>Global Part Info</t>
  </si>
  <si>
    <t>Manf#</t>
  </si>
  <si>
    <t>Qty</t>
  </si>
  <si>
    <t>Ext$</t>
  </si>
  <si>
    <t>Value</t>
  </si>
  <si>
    <t>Manf</t>
  </si>
  <si>
    <t>Refs</t>
  </si>
  <si>
    <t>Unit$</t>
  </si>
  <si>
    <t>Desc</t>
  </si>
  <si>
    <t>Footprint</t>
  </si>
  <si>
    <t>JP1-JP10</t>
  </si>
  <si>
    <t>JUMPER</t>
  </si>
  <si>
    <t>XESS:HDR_1x2</t>
  </si>
  <si>
    <t>STK1</t>
  </si>
  <si>
    <t>STICKIT2_HDR</t>
  </si>
  <si>
    <t>XESS:STICKIT2_HDR</t>
  </si>
  <si>
    <t>RN1</t>
  </si>
  <si>
    <t>742c043472</t>
  </si>
  <si>
    <t>4K7</t>
  </si>
  <si>
    <t>XESS:CTS_742C043</t>
  </si>
  <si>
    <t>U2</t>
  </si>
  <si>
    <t>MCP4802-E/MS</t>
  </si>
  <si>
    <t>MCP48X2</t>
  </si>
  <si>
    <t>Microchip</t>
  </si>
  <si>
    <t>XESS:xess-MICROCHIP-8_MSOP</t>
  </si>
  <si>
    <t>VoA2</t>
  </si>
  <si>
    <t>132322</t>
  </si>
  <si>
    <t>COAX_CONN</t>
  </si>
  <si>
    <t>amphenol</t>
  </si>
  <si>
    <t>XESS:SMA_EDGE_AMP_132322</t>
  </si>
  <si>
    <t>PM1</t>
  </si>
  <si>
    <t>2553-2x6G</t>
  </si>
  <si>
    <t>PMOD_SCKT-12</t>
  </si>
  <si>
    <t>Ho Chien</t>
  </si>
  <si>
    <t>XESS:PMOD_SCKT-12</t>
  </si>
  <si>
    <t>C1-C7</t>
  </si>
  <si>
    <t>CC0201KRX5R7BB103</t>
  </si>
  <si>
    <t>1.0uF</t>
  </si>
  <si>
    <t>Yageo</t>
  </si>
  <si>
    <t>Capacitors_SMD:C_0603_HandSoldering</t>
  </si>
  <si>
    <t>U3</t>
  </si>
  <si>
    <t>MCP4361-503E/ST</t>
  </si>
  <si>
    <t>MCP43X1</t>
  </si>
  <si>
    <t>digital pot A</t>
  </si>
  <si>
    <t>XESS:xess-MICROCHIP-20_TSSOP</t>
  </si>
  <si>
    <t>U1</t>
  </si>
  <si>
    <t>Dual DAC</t>
  </si>
  <si>
    <t>PCB1</t>
  </si>
  <si>
    <t>PCB</t>
  </si>
  <si>
    <t>Board Qty:</t>
  </si>
  <si>
    <t>Total Cost:</t>
  </si>
  <si>
    <t>Unit Cost:</t>
  </si>
  <si>
    <t>Digi-Key</t>
  </si>
  <si>
    <t>Doc</t>
  </si>
  <si>
    <t>Cat#</t>
  </si>
  <si>
    <t>Avail</t>
  </si>
  <si>
    <t>Purch</t>
  </si>
  <si>
    <t>Link</t>
  </si>
  <si>
    <t>742C043472JPCT-ND</t>
  </si>
  <si>
    <t>MCP4802-E/MS-ND</t>
  </si>
  <si>
    <t>ACX1652-ND</t>
  </si>
  <si>
    <t>311-1596-1-ND</t>
  </si>
  <si>
    <t>MCP4361-503E/ST-ND</t>
  </si>
  <si>
    <t>Mouser</t>
  </si>
  <si>
    <t>774-742C043472JP</t>
  </si>
  <si>
    <t>579-MCP4802-E/MS</t>
  </si>
  <si>
    <t>523-132322</t>
  </si>
  <si>
    <t>603-CC201KRX5R7BB103</t>
  </si>
  <si>
    <t>Newark</t>
  </si>
  <si>
    <t>99H5141</t>
  </si>
  <si>
    <t>53R0046</t>
  </si>
  <si>
    <t>Local</t>
  </si>
  <si>
    <t>#1EFCF00A</t>
  </si>
  <si>
    <t>#6AD83D72</t>
  </si>
  <si>
    <t>#619B7DFC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</si>
</sst>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cts-resistor-products/742C043472JP/742C043472JPCT-ND/1124577" TargetMode="External"/><Relationship Id="rId2" Type="http://schemas.openxmlformats.org/officeDocument/2006/relationships/hyperlink" Target="http://www.mouser.com/Search/Refine.aspx?Keyword=742c043472%20" TargetMode="External"/><Relationship Id="rId3" Type="http://schemas.openxmlformats.org/officeDocument/2006/relationships/hyperlink" Target="http://www.digikey.com/scripts/DkSearch/dksus.dll?WT.z_header=search_go&amp;lang=en&amp;keywords=MCP4802-E%2FMS%20Microchip" TargetMode="External"/><Relationship Id="rId4" Type="http://schemas.openxmlformats.org/officeDocument/2006/relationships/hyperlink" Target="http://www.mouser.com/Search/../ProductDetail/Microchip-Technology/MCP4802-E-MS/?qs=sGAEpiMZZMswix2y39yldX1d8KpQmwEZ284GXy8hY2I%3d" TargetMode="External"/><Relationship Id="rId5" Type="http://schemas.openxmlformats.org/officeDocument/2006/relationships/hyperlink" Target="http://www.newark.com/webapp/wcs/stores/servlet/Search?catalogId=15003&amp;langId=-1&amp;storeId=10194&amp;gs=true&amp;st=MCP4802-E%2FMS%20Microchip" TargetMode="External"/><Relationship Id="rId6" Type="http://schemas.openxmlformats.org/officeDocument/2006/relationships/hyperlink" Target="http://www.digikey.com/scripts/DkSearch/dksus.dll?WT.z_header=search_go&amp;lang=en&amp;keywords=132322%20amphenol" TargetMode="External"/><Relationship Id="rId7" Type="http://schemas.openxmlformats.org/officeDocument/2006/relationships/hyperlink" Target="http://www.mouser.com/Search/Refine.aspx?Keyword=132322%20amphenol" TargetMode="External"/><Relationship Id="rId8" Type="http://schemas.openxmlformats.org/officeDocument/2006/relationships/hyperlink" Target="http://www.newark.com/webapp/wcs/stores/servlet/Search?catalogId=15003&amp;langId=-1&amp;storeId=10194&amp;gs=true&amp;st=132322%20amphenol" TargetMode="External"/><Relationship Id="rId9" Type="http://schemas.openxmlformats.org/officeDocument/2006/relationships/hyperlink" Target="http://www.aliexpress.com/item/10pcs-SMA-Female-Jack-Solder-Edge-PCB-Mount-Straight-RF-Connector/32429747943.html" TargetMode="External"/><Relationship Id="rId10" Type="http://schemas.openxmlformats.org/officeDocument/2006/relationships/hyperlink" Target="http:///www.beyondcomponents.com" TargetMode="External"/><Relationship Id="rId11" Type="http://schemas.openxmlformats.org/officeDocument/2006/relationships/hyperlink" Target="http://www.digikey.com/product-detail/en/yageo/CC0201KRX5R7BB103/311-1596-1-ND/5195498" TargetMode="External"/><Relationship Id="rId12" Type="http://schemas.openxmlformats.org/officeDocument/2006/relationships/hyperlink" Target="http://www.mouser.com/Search/Refine.aspx?Keyword=CC0201KRX5R7BB103%20Yageo" TargetMode="External"/><Relationship Id="rId13" Type="http://schemas.openxmlformats.org/officeDocument/2006/relationships/hyperlink" Target="http://www.newark.com/webapp/wcs/stores/servlet/Search?catalogId=15003&amp;langId=-1&amp;storeId=10194&amp;gs=true&amp;st=CC0201KRX5R7BB103%20Yageo" TargetMode="External"/><Relationship Id="rId14" Type="http://schemas.openxmlformats.org/officeDocument/2006/relationships/hyperlink" Target="http://www.digikey.com/scripts/DkSearch/dksus.dll?WT.z_header=search_go&amp;lang=en&amp;keywords=MCP4361-503E%2FST%20Microchip" TargetMode="External"/><Relationship Id="rId15" Type="http://schemas.openxmlformats.org/officeDocument/2006/relationships/hyperlink" Target="http://www.mouser.com/Search/../ProductDetail/Microchip-Technology/MCP4361-503E-ST/?qs=sGAEpiMZZMuD%2f7PTYBwKqTDPDl5Nhf0QDaB0ChFyVHI%3d" TargetMode="External"/><Relationship Id="rId16" Type="http://schemas.openxmlformats.org/officeDocument/2006/relationships/hyperlink" Target="http://www.newark.com/webapp/wcs/stores/servlet/Search?catalogId=15003&amp;langId=-1&amp;storeId=10194&amp;gs=true&amp;st=MCP4361-503E%2FST%20Microchip" TargetMode="External"/><Relationship Id="rId17" Type="http://schemas.openxmlformats.org/officeDocument/2006/relationships/hyperlink" Target="http://www.digikey.com/scripts/DkSearch/dksus.dll?WT.z_header=search_go&amp;lang=en&amp;keywords=MCP4802-E%2FMS%20Microchip" TargetMode="External"/><Relationship Id="rId18" Type="http://schemas.openxmlformats.org/officeDocument/2006/relationships/hyperlink" Target="http://www.mouser.com/Search/../ProductDetail/Microchip-Technology/MCP4802-E-MS/?qs=sGAEpiMZZMswix2y39yldX1d8KpQmwEZ284GXy8hY2I%3d" TargetMode="External"/><Relationship Id="rId19" Type="http://schemas.openxmlformats.org/officeDocument/2006/relationships/hyperlink" Target="http://www.newark.com/webapp/wcs/stores/servlet/Search?catalogId=15003&amp;langId=-1&amp;storeId=10194&amp;gs=true&amp;st=MCP4802-E%2FMS%20Microchip" TargetMode="External"/><Relationship Id="rId20" Type="http://schemas.openxmlformats.org/officeDocument/2006/relationships/vmlDrawing" Target="../drawings/vmlDrawing1.vml"/><Relationship Id="rId2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</cols>
  <sheetData>
    <row r="1" spans="1:33">
      <c r="H1" s="2" t="s">
        <v>49</v>
      </c>
      <c r="I1" s="2">
        <v>100</v>
      </c>
    </row>
    <row r="2" spans="1:33">
      <c r="H2" s="3" t="s">
        <v>50</v>
      </c>
      <c r="I2" s="4">
        <f>sum(I7:I16)</f>
        <v>0</v>
      </c>
      <c r="M2" s="4">
        <f>sum(M7:M16)</f>
        <v>0</v>
      </c>
      <c r="S2" s="4">
        <f>sum(S7:S16)</f>
        <v>0</v>
      </c>
      <c r="Y2" s="4">
        <f>sum(Y7:Y16)</f>
        <v>0</v>
      </c>
      <c r="AE2" s="4">
        <f>sum(AE7:AE16)</f>
        <v>0</v>
      </c>
    </row>
    <row r="3" spans="1:33">
      <c r="H3" s="3" t="s">
        <v>51</v>
      </c>
      <c r="I3" s="5">
        <f>TotalCost/BoardQty</f>
        <v>0</v>
      </c>
    </row>
    <row r="5" spans="1:33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52</v>
      </c>
      <c r="K5" s="7"/>
      <c r="L5" s="7"/>
      <c r="M5" s="7"/>
      <c r="N5" s="7"/>
      <c r="O5" s="7"/>
      <c r="P5" s="8" t="s">
        <v>63</v>
      </c>
      <c r="Q5" s="8"/>
      <c r="R5" s="8"/>
      <c r="S5" s="8"/>
      <c r="T5" s="8"/>
      <c r="U5" s="8"/>
      <c r="V5" s="9" t="s">
        <v>68</v>
      </c>
      <c r="W5" s="9"/>
      <c r="X5" s="9"/>
      <c r="Y5" s="9"/>
      <c r="Z5" s="9"/>
      <c r="AA5" s="9"/>
      <c r="AB5" s="10" t="s">
        <v>71</v>
      </c>
      <c r="AC5" s="10"/>
      <c r="AD5" s="10"/>
      <c r="AE5" s="10"/>
      <c r="AF5" s="10"/>
      <c r="AG5" s="10"/>
    </row>
    <row r="6" spans="1:33">
      <c r="A6" s="11" t="s">
        <v>6</v>
      </c>
      <c r="B6" s="11" t="s">
        <v>4</v>
      </c>
      <c r="C6" s="11" t="s">
        <v>8</v>
      </c>
      <c r="D6" s="11" t="s">
        <v>9</v>
      </c>
      <c r="E6" s="11" t="s">
        <v>5</v>
      </c>
      <c r="F6" s="11" t="s">
        <v>1</v>
      </c>
      <c r="G6" s="11" t="s">
        <v>2</v>
      </c>
      <c r="H6" s="11" t="s">
        <v>7</v>
      </c>
      <c r="I6" s="11" t="s">
        <v>3</v>
      </c>
      <c r="J6" s="11" t="s">
        <v>55</v>
      </c>
      <c r="K6" s="11" t="s">
        <v>56</v>
      </c>
      <c r="L6" s="11" t="s">
        <v>7</v>
      </c>
      <c r="M6" s="11" t="s">
        <v>3</v>
      </c>
      <c r="N6" s="11" t="s">
        <v>54</v>
      </c>
      <c r="O6" s="11" t="s">
        <v>53</v>
      </c>
      <c r="P6" s="11" t="s">
        <v>55</v>
      </c>
      <c r="Q6" s="11" t="s">
        <v>56</v>
      </c>
      <c r="R6" s="11" t="s">
        <v>7</v>
      </c>
      <c r="S6" s="11" t="s">
        <v>3</v>
      </c>
      <c r="T6" s="11" t="s">
        <v>54</v>
      </c>
      <c r="U6" s="11" t="s">
        <v>53</v>
      </c>
      <c r="V6" s="11" t="s">
        <v>55</v>
      </c>
      <c r="W6" s="11" t="s">
        <v>56</v>
      </c>
      <c r="X6" s="11" t="s">
        <v>7</v>
      </c>
      <c r="Y6" s="11" t="s">
        <v>3</v>
      </c>
      <c r="Z6" s="11" t="s">
        <v>54</v>
      </c>
      <c r="AA6" s="11" t="s">
        <v>53</v>
      </c>
      <c r="AB6" s="11" t="s">
        <v>55</v>
      </c>
      <c r="AC6" s="11" t="s">
        <v>56</v>
      </c>
      <c r="AD6" s="11" t="s">
        <v>7</v>
      </c>
      <c r="AE6" s="11" t="s">
        <v>3</v>
      </c>
      <c r="AF6" s="11" t="s">
        <v>54</v>
      </c>
      <c r="AG6" s="11" t="s">
        <v>53</v>
      </c>
    </row>
    <row r="7" spans="1:33">
      <c r="A7" t="s">
        <v>10</v>
      </c>
      <c r="B7" t="s">
        <v>11</v>
      </c>
      <c r="D7" t="s">
        <v>12</v>
      </c>
      <c r="G7">
        <f>BoardQty*10</f>
        <v>0</v>
      </c>
      <c r="H7" s="12">
        <f>MINA(INDIRECT(ADDRESS(ROW(),COLUMN(newark_part_data)+2)),INDIRECT(ADDRESS(ROW(),COLUMN(digikey_part_data)+2)),INDIRECT(ADDRESS(ROW(),COLUMN(mouser_part_data)+2)),INDIRECT(ADDRESS(ROW(),COLUMN(local_part_data)+2)))</f>
        <v>0</v>
      </c>
      <c r="I7" s="12">
        <f>iferror(G7*H7,"")</f>
        <v>0</v>
      </c>
      <c r="AB7">
        <v>0</v>
      </c>
      <c r="AD7" s="12">
        <f>iferror(lookup(if(AC7="",G7,AC7),{0,1},{0.0,0.01}),"")</f>
        <v>0</v>
      </c>
      <c r="AE7" s="12">
        <f>iferror(if(AC7="",G7,AC7)*AD7,"")</f>
        <v>0</v>
      </c>
      <c r="AF7" t="s">
        <v>72</v>
      </c>
    </row>
    <row r="8" spans="1:33">
      <c r="A8" t="s">
        <v>13</v>
      </c>
      <c r="B8" t="s">
        <v>14</v>
      </c>
      <c r="D8" t="s">
        <v>15</v>
      </c>
      <c r="G8">
        <f>BoardQty*1</f>
        <v>0</v>
      </c>
      <c r="H8" s="12">
        <f>MINA(INDIRECT(ADDRESS(ROW(),COLUMN(newark_part_data)+2)),INDIRECT(ADDRESS(ROW(),COLUMN(digikey_part_data)+2)),INDIRECT(ADDRESS(ROW(),COLUMN(mouser_part_data)+2)),INDIRECT(ADDRESS(ROW(),COLUMN(local_part_data)+2)))</f>
        <v>0</v>
      </c>
      <c r="I8" s="12">
        <f>iferror(G8*H8,"")</f>
        <v>0</v>
      </c>
      <c r="AB8">
        <v>0</v>
      </c>
      <c r="AD8" s="12">
        <f>iferror(lookup(if(AC8="",G8,AC8),{0,1},{0.0,0.09}),"")</f>
        <v>0</v>
      </c>
      <c r="AE8" s="12">
        <f>iferror(if(AC8="",G8,AC8)*AD8,"")</f>
        <v>0</v>
      </c>
      <c r="AF8" t="s">
        <v>73</v>
      </c>
    </row>
    <row r="9" spans="1:33">
      <c r="A9" t="s">
        <v>16</v>
      </c>
      <c r="B9" t="s">
        <v>18</v>
      </c>
      <c r="D9" t="s">
        <v>19</v>
      </c>
      <c r="F9" t="s">
        <v>17</v>
      </c>
      <c r="G9">
        <f>BoardQty*1</f>
        <v>0</v>
      </c>
      <c r="H9" s="12">
        <f>MINA(INDIRECT(ADDRESS(ROW(),COLUMN(newark_part_data)+2)),INDIRECT(ADDRESS(ROW(),COLUMN(digikey_part_data)+2)),INDIRECT(ADDRESS(ROW(),COLUMN(mouser_part_data)+2)),INDIRECT(ADDRESS(ROW(),COLUMN(local_part_data)+2)))</f>
        <v>0</v>
      </c>
      <c r="I9" s="12">
        <f>iferror(G9*H9,"")</f>
        <v>0</v>
      </c>
      <c r="J9">
        <v>24405</v>
      </c>
      <c r="L9" s="12">
        <f>iferror(lookup(if(K9="",G9,K9),{0,1,10,25,50,100,250,500,1000,5000,10000,25000,50000,125000},{0.0,0.1,0.075,0.052,0.0404,0.0289,0.02252,0.0179,0.01271,0.00893,0.00801,0.00735,0.0069,0.00675}),"")</f>
        <v>0</v>
      </c>
      <c r="M9" s="12">
        <f>iferror(if(K9="",G9,K9)*L9,"")</f>
        <v>0</v>
      </c>
      <c r="N9" t="s">
        <v>58</v>
      </c>
      <c r="O9" s="13" t="s">
        <v>57</v>
      </c>
      <c r="P9">
        <v>0</v>
      </c>
      <c r="R9" s="12">
        <f>iferror(lookup(if(Q9="",G9,Q9),{0,1,100,1000,5000,10000,50000},{0.0,0.099,0.017,0.013,0.009,0.008,0.007}),"")</f>
        <v>0</v>
      </c>
      <c r="S9" s="12">
        <f>iferror(if(Q9="",G9,Q9)*R9,"")</f>
        <v>0</v>
      </c>
      <c r="T9" t="s">
        <v>64</v>
      </c>
      <c r="U9" s="13" t="s">
        <v>57</v>
      </c>
    </row>
    <row r="10" spans="1:33">
      <c r="A10" t="s">
        <v>20</v>
      </c>
      <c r="B10" t="s">
        <v>22</v>
      </c>
      <c r="D10" t="s">
        <v>24</v>
      </c>
      <c r="E10" t="s">
        <v>23</v>
      </c>
      <c r="F10" t="s">
        <v>21</v>
      </c>
      <c r="G10">
        <f>BoardQty*1</f>
        <v>0</v>
      </c>
      <c r="H10" s="12">
        <f>MINA(INDIRECT(ADDRESS(ROW(),COLUMN(newark_part_data)+2)),INDIRECT(ADDRESS(ROW(),COLUMN(digikey_part_data)+2)),INDIRECT(ADDRESS(ROW(),COLUMN(mouser_part_data)+2)),INDIRECT(ADDRESS(ROW(),COLUMN(local_part_data)+2)))</f>
        <v>0</v>
      </c>
      <c r="I10" s="12">
        <f>iferror(G10*H10,"")</f>
        <v>0</v>
      </c>
      <c r="J10">
        <v>0</v>
      </c>
      <c r="L10" s="12">
        <f>iferror(lookup(if(K10="",G10,K10),{0,1,25,100,2500},{0.0,1.48,1.23,1.12,1.12}),"")</f>
        <v>0</v>
      </c>
      <c r="M10" s="12">
        <f>iferror(if(K10="",G10,K10)*L10,"")</f>
        <v>0</v>
      </c>
      <c r="N10" t="s">
        <v>59</v>
      </c>
      <c r="O10" s="13" t="s">
        <v>57</v>
      </c>
      <c r="P10">
        <v>402</v>
      </c>
      <c r="R10" s="12">
        <f>iferror(lookup(if(Q10="",G10,Q10),{0,1,10,25,100},{0.0,1.6,1.46,1.21,1.1}),"")</f>
        <v>0</v>
      </c>
      <c r="S10" s="12">
        <f>iferror(if(Q10="",G10,Q10)*R10,"")</f>
        <v>0</v>
      </c>
      <c r="T10" t="s">
        <v>65</v>
      </c>
      <c r="U10" s="13" t="s">
        <v>57</v>
      </c>
      <c r="AA10" s="13" t="s">
        <v>57</v>
      </c>
    </row>
    <row r="11" spans="1:33">
      <c r="A11" t="s">
        <v>25</v>
      </c>
      <c r="B11" t="s">
        <v>27</v>
      </c>
      <c r="D11" t="s">
        <v>29</v>
      </c>
      <c r="E11" t="s">
        <v>28</v>
      </c>
      <c r="F11" t="s">
        <v>26</v>
      </c>
      <c r="G11">
        <f>BoardQty*1</f>
        <v>0</v>
      </c>
      <c r="H11" s="12">
        <f>MINA(INDIRECT(ADDRESS(ROW(),COLUMN(newark_part_data)+2)),INDIRECT(ADDRESS(ROW(),COLUMN(digikey_part_data)+2)),INDIRECT(ADDRESS(ROW(),COLUMN(mouser_part_data)+2)),INDIRECT(ADDRESS(ROW(),COLUMN(local_part_data)+2)))</f>
        <v>0</v>
      </c>
      <c r="I11" s="12">
        <f>iferror(G11*H11,"")</f>
        <v>0</v>
      </c>
      <c r="J11">
        <v>2903</v>
      </c>
      <c r="L11" s="12">
        <f>iferror(lookup(if(K11="",G11,K11),{0,1,10,50,100,250,500,1000,2500,5000},{0.0,7.03,6.739,5.86,5.567,4.981,4.688,4.102,3.8969,3.809}),"")</f>
        <v>0</v>
      </c>
      <c r="M11" s="12">
        <f>iferror(if(K11="",G11,K11)*L11,"")</f>
        <v>0</v>
      </c>
      <c r="N11" t="s">
        <v>60</v>
      </c>
      <c r="O11" s="13" t="s">
        <v>57</v>
      </c>
      <c r="P11">
        <v>637</v>
      </c>
      <c r="R11" s="12">
        <f>iferror(lookup(if(Q11="",G11,Q11),{0,1,10,25,50,100,250,500,1000},{0.0,6.94,6.59,6.02,5.73,5.62,5.23,5.06,4.79}),"")</f>
        <v>0</v>
      </c>
      <c r="S11" s="12">
        <f>iferror(if(Q11="",G11,Q11)*R11,"")</f>
        <v>0</v>
      </c>
      <c r="T11" t="s">
        <v>66</v>
      </c>
      <c r="U11" s="13" t="s">
        <v>57</v>
      </c>
      <c r="V11">
        <v>112</v>
      </c>
      <c r="X11" s="12">
        <f>iferror(lookup(if(W11="",G11,W11),{0,1,10,25,50,100,250,500,1000},{0.0,6.87,6.53,5.95,5.67,5.57,5.18,5.0,4.65}),"")</f>
        <v>0</v>
      </c>
      <c r="Y11" s="12">
        <f>iferror(if(W11="",G11,W11)*X11,"")</f>
        <v>0</v>
      </c>
      <c r="Z11" t="s">
        <v>69</v>
      </c>
      <c r="AA11" s="13" t="s">
        <v>57</v>
      </c>
      <c r="AB11">
        <v>0</v>
      </c>
      <c r="AD11" s="12">
        <f>iferror(lookup(if(AC11="",G11,AC11),{0,1},{0.0,0.244}),"")</f>
        <v>0</v>
      </c>
      <c r="AE11" s="12">
        <f>iferror(if(AC11="",G11,AC11)*AD11,"")</f>
        <v>0</v>
      </c>
      <c r="AF11" t="s">
        <v>26</v>
      </c>
      <c r="AG11" s="13" t="s">
        <v>57</v>
      </c>
    </row>
    <row r="12" spans="1:33">
      <c r="A12" t="s">
        <v>30</v>
      </c>
      <c r="B12" t="s">
        <v>32</v>
      </c>
      <c r="D12" t="s">
        <v>34</v>
      </c>
      <c r="E12" t="s">
        <v>33</v>
      </c>
      <c r="F12" t="s">
        <v>31</v>
      </c>
      <c r="G12">
        <f>BoardQty*1</f>
        <v>0</v>
      </c>
      <c r="H12" s="12">
        <f>MINA(INDIRECT(ADDRESS(ROW(),COLUMN(newark_part_data)+2)),INDIRECT(ADDRESS(ROW(),COLUMN(digikey_part_data)+2)),INDIRECT(ADDRESS(ROW(),COLUMN(mouser_part_data)+2)),INDIRECT(ADDRESS(ROW(),COLUMN(local_part_data)+2)))</f>
        <v>0</v>
      </c>
      <c r="I12" s="12">
        <f>iferror(G12*H12,"")</f>
        <v>0</v>
      </c>
      <c r="AB12">
        <v>0</v>
      </c>
      <c r="AD12" s="12">
        <f>iferror(lookup(if(AC12="",G12,AC12),{0,1},{0.0,0.21}),"")</f>
        <v>0</v>
      </c>
      <c r="AE12" s="12">
        <f>iferror(if(AC12="",G12,AC12)*AD12,"")</f>
        <v>0</v>
      </c>
      <c r="AF12" t="s">
        <v>31</v>
      </c>
      <c r="AG12" s="13" t="s">
        <v>57</v>
      </c>
    </row>
    <row r="13" spans="1:33">
      <c r="A13" t="s">
        <v>35</v>
      </c>
      <c r="B13" t="s">
        <v>37</v>
      </c>
      <c r="D13" t="s">
        <v>39</v>
      </c>
      <c r="E13" t="s">
        <v>38</v>
      </c>
      <c r="F13" t="s">
        <v>36</v>
      </c>
      <c r="G13">
        <f>BoardQty*7</f>
        <v>0</v>
      </c>
      <c r="H13" s="12">
        <f>MINA(INDIRECT(ADDRESS(ROW(),COLUMN(newark_part_data)+2)),INDIRECT(ADDRESS(ROW(),COLUMN(digikey_part_data)+2)),INDIRECT(ADDRESS(ROW(),COLUMN(mouser_part_data)+2)),INDIRECT(ADDRESS(ROW(),COLUMN(local_part_data)+2)))</f>
        <v>0</v>
      </c>
      <c r="I13" s="12">
        <f>iferror(G13*H13,"")</f>
        <v>0</v>
      </c>
      <c r="J13">
        <v>73962</v>
      </c>
      <c r="L13" s="12">
        <f>iferror(lookup(if(K13="",G13,K13),{0,1,10,25,100,250,500,1000,2500,5000,15000,30000,75000,105000},{0.0,0.1,0.012,0.0084,0.0054,0.0044,0.00376,0.00293,0.00264,0.00244,0.00195,0.00186,0.00166,0.00134}),"")</f>
        <v>0</v>
      </c>
      <c r="M13" s="12">
        <f>iferror(if(K13="",G13,K13)*L13,"")</f>
        <v>0</v>
      </c>
      <c r="N13" t="s">
        <v>61</v>
      </c>
      <c r="O13" s="13" t="s">
        <v>57</v>
      </c>
      <c r="P13">
        <v>28840</v>
      </c>
      <c r="R13" s="12">
        <f>iferror(lookup(if(Q13="",G13,Q13),{0,1,10,100,1000,2500,15000},{0.0,0.099,0.009,0.004,0.003,0.002,0.002}),"")</f>
        <v>0</v>
      </c>
      <c r="S13" s="12">
        <f>iferror(if(Q13="",G13,Q13)*R13,"")</f>
        <v>0</v>
      </c>
      <c r="T13" t="s">
        <v>67</v>
      </c>
      <c r="U13" s="13" t="s">
        <v>57</v>
      </c>
      <c r="AA13" s="13" t="s">
        <v>57</v>
      </c>
    </row>
    <row r="14" spans="1:33">
      <c r="A14" t="s">
        <v>40</v>
      </c>
      <c r="B14" t="s">
        <v>42</v>
      </c>
      <c r="C14" t="s">
        <v>43</v>
      </c>
      <c r="D14" t="s">
        <v>44</v>
      </c>
      <c r="E14" t="s">
        <v>23</v>
      </c>
      <c r="F14" t="s">
        <v>41</v>
      </c>
      <c r="G14">
        <f>BoardQty*1</f>
        <v>0</v>
      </c>
      <c r="H14" s="12">
        <f>MINA(INDIRECT(ADDRESS(ROW(),COLUMN(newark_part_data)+2)),INDIRECT(ADDRESS(ROW(),COLUMN(digikey_part_data)+2)),INDIRECT(ADDRESS(ROW(),COLUMN(mouser_part_data)+2)),INDIRECT(ADDRESS(ROW(),COLUMN(local_part_data)+2)))</f>
        <v>0</v>
      </c>
      <c r="I14" s="12">
        <f>iferror(G14*H14,"")</f>
        <v>0</v>
      </c>
      <c r="J14">
        <v>955</v>
      </c>
      <c r="L14" s="12">
        <f>iferror(lookup(if(K14="",G14,K14),{0,1,25,100,2500},{0.0,1.88,1.57,1.42,1.42}),"")</f>
        <v>0</v>
      </c>
      <c r="M14" s="12">
        <f>iferror(if(K14="",G14,K14)*L14,"")</f>
        <v>0</v>
      </c>
      <c r="N14" t="s">
        <v>62</v>
      </c>
      <c r="O14" s="13" t="s">
        <v>57</v>
      </c>
      <c r="U14" s="13" t="s">
        <v>57</v>
      </c>
      <c r="V14">
        <v>54</v>
      </c>
      <c r="X14" s="12">
        <f>iferror(lookup(if(W14="",G14,W14),{0,1},{0.0,1.51}),"")</f>
        <v>0</v>
      </c>
      <c r="Y14" s="12">
        <f>iferror(if(W14="",G14,W14)*X14,"")</f>
        <v>0</v>
      </c>
      <c r="Z14" t="s">
        <v>70</v>
      </c>
      <c r="AA14" s="13" t="s">
        <v>57</v>
      </c>
    </row>
    <row r="15" spans="1:33">
      <c r="A15" t="s">
        <v>45</v>
      </c>
      <c r="B15" t="s">
        <v>22</v>
      </c>
      <c r="C15" t="s">
        <v>46</v>
      </c>
      <c r="D15" t="s">
        <v>24</v>
      </c>
      <c r="E15" t="s">
        <v>23</v>
      </c>
      <c r="F15" t="s">
        <v>21</v>
      </c>
      <c r="G15">
        <f>BoardQty*1</f>
        <v>0</v>
      </c>
      <c r="H15" s="12">
        <f>MINA(INDIRECT(ADDRESS(ROW(),COLUMN(newark_part_data)+2)),INDIRECT(ADDRESS(ROW(),COLUMN(digikey_part_data)+2)),INDIRECT(ADDRESS(ROW(),COLUMN(mouser_part_data)+2)),INDIRECT(ADDRESS(ROW(),COLUMN(local_part_data)+2)))</f>
        <v>0</v>
      </c>
      <c r="I15" s="12">
        <f>iferror(G15*H15,"")</f>
        <v>0</v>
      </c>
      <c r="J15">
        <v>0</v>
      </c>
      <c r="L15" s="12">
        <f>iferror(lookup(if(K15="",G15,K15),{0,1,25,100,2500},{0.0,1.48,1.23,1.12,1.12}),"")</f>
        <v>0</v>
      </c>
      <c r="M15" s="12">
        <f>iferror(if(K15="",G15,K15)*L15,"")</f>
        <v>0</v>
      </c>
      <c r="N15" t="s">
        <v>59</v>
      </c>
      <c r="O15" s="13" t="s">
        <v>57</v>
      </c>
      <c r="P15">
        <v>402</v>
      </c>
      <c r="R15" s="12">
        <f>iferror(lookup(if(Q15="",G15,Q15),{0,1,10,25,100},{0.0,1.6,1.46,1.21,1.1}),"")</f>
        <v>0</v>
      </c>
      <c r="S15" s="12">
        <f>iferror(if(Q15="",G15,Q15)*R15,"")</f>
        <v>0</v>
      </c>
      <c r="T15" t="s">
        <v>65</v>
      </c>
      <c r="U15" s="13" t="s">
        <v>57</v>
      </c>
      <c r="AA15" s="13" t="s">
        <v>57</v>
      </c>
    </row>
    <row r="16" spans="1:33">
      <c r="A16" t="s">
        <v>47</v>
      </c>
      <c r="B16" t="s">
        <v>48</v>
      </c>
      <c r="G16">
        <f>BoardQty*1</f>
        <v>0</v>
      </c>
      <c r="H16" s="12">
        <f>MINA(INDIRECT(ADDRESS(ROW(),COLUMN(newark_part_data)+2)),INDIRECT(ADDRESS(ROW(),COLUMN(digikey_part_data)+2)),INDIRECT(ADDRESS(ROW(),COLUMN(mouser_part_data)+2)),INDIRECT(ADDRESS(ROW(),COLUMN(local_part_data)+2)))</f>
        <v>0</v>
      </c>
      <c r="I16" s="12">
        <f>iferror(G16*H16,"")</f>
        <v>0</v>
      </c>
      <c r="AB16">
        <v>0</v>
      </c>
      <c r="AD16" s="12">
        <f>iferror(lookup(if(AC16="",G16,AC16),{0,1},{0.0,0.32}),"")</f>
        <v>0</v>
      </c>
      <c r="AE16" s="12">
        <f>iferror(if(AC16="",G16,AC16)*AD16,"")</f>
        <v>0</v>
      </c>
      <c r="AF16" t="s">
        <v>74</v>
      </c>
    </row>
    <row r="18" spans="11:31">
      <c r="K18">
        <f t="array" ref="K18">IFERROR(CONCATENATE(TEXT(INDEX($K$7:$K$16,SMALL(IF($N$7:$N$16&lt;&gt;"",IF($K$7:$K$16&lt;&gt;"",ROW($K$7:$K$16)-MIN(ROW($K$7:$K$16))+1,""),""),ROW()-ROW(A$18)+1)),"##0"),","),"")</f>
        <v>0</v>
      </c>
      <c r="L18">
        <f t="array" ref="L18">IFERROR(CONCATENATE((INDEX($N$7:$N$16,SMALL(IF($N$7:$N$16&lt;&gt;"",IF($K$7:$K$16&lt;&gt;"",ROW($K$7:$K$16)-MIN(ROW($K$7:$K$16))+1,""),""),ROW()-ROW(A$18)+1))),","),"")</f>
        <v>0</v>
      </c>
      <c r="M18">
        <f t="array" ref="M18">IFERROR(CONCATENATE((INDEX($A$7:$A$16,SMALL(IF($N$7:$N$16&lt;&gt;"",IF($K$7:$K$16&lt;&gt;"",ROW($K$7:$K$16)-MIN(ROW($K$7:$K$16))+1,""),""),ROW()-ROW(A$18)+1))),),"")</f>
        <v>0</v>
      </c>
      <c r="Q18">
        <f t="array" ref="Q18">IFERROR(CONCATENATE((INDEX($T$7:$T$16,SMALL(IF($T$7:$T$16&lt;&gt;"",IF($Q$7:$Q$16&lt;&gt;"",ROW($Q$7:$Q$16)-MIN(ROW($Q$7:$Q$16))+1,""),""),ROW()-ROW(A$18)+1)))," "),"")</f>
        <v>0</v>
      </c>
      <c r="R18">
        <f t="array" ref="R18">IFERROR(CONCATENATE(TEXT(INDEX($Q$7:$Q$16,SMALL(IF($T$7:$T$16&lt;&gt;"",IF($Q$7:$Q$16&lt;&gt;"",ROW($Q$7:$Q$16)-MIN(ROW($Q$7:$Q$16))+1,""),""),ROW()-ROW(A$18)+1)),"##0")," "),"")</f>
        <v>0</v>
      </c>
      <c r="S18">
        <f t="array" ref="S18">IFERROR(CONCATENATE((INDEX($A$7:$A$16,SMALL(IF($T$7:$T$16&lt;&gt;"",IF($Q$7:$Q$16&lt;&gt;"",ROW($Q$7:$Q$16)-MIN(ROW($Q$7:$Q$16))+1,""),""),ROW()-ROW(A$18)+1))),),"")</f>
        <v>0</v>
      </c>
      <c r="W18">
        <f t="array" ref="W18">IFERROR(CONCATENATE((INDEX($Z$7:$Z$16,SMALL(IF($Z$7:$Z$16&lt;&gt;"",IF($W$7:$W$16&lt;&gt;"",ROW($W$7:$W$16)-MIN(ROW($W$7:$W$16))+1,""),""),ROW()-ROW(A$18)+1))),","),"")</f>
        <v>0</v>
      </c>
      <c r="X18">
        <f t="array" ref="X18">IFERROR(CONCATENATE(TEXT(INDEX($W$7:$W$16,SMALL(IF($Z$7:$Z$16&lt;&gt;"",IF($W$7:$W$16&lt;&gt;"",ROW($W$7:$W$16)-MIN(ROW($W$7:$W$16))+1,""),""),ROW()-ROW(A$18)+1)),"##0"),","),"")</f>
        <v>0</v>
      </c>
      <c r="Y18">
        <f t="array" ref="Y18">IFERROR(CONCATENATE((INDEX($A$7:$A$16,SMALL(IF($Z$7:$Z$16&lt;&gt;"",IF($W$7:$W$16&lt;&gt;"",ROW($W$7:$W$16)-MIN(ROW($W$7:$W$16))+1,""),""),ROW()-ROW(A$18)+1))),),"")</f>
        <v>0</v>
      </c>
      <c r="AC18">
        <f t="array" ref="AC18">IFERROR(CONCATENATE(TEXT(INDEX($AC$7:$AC$16,SMALL(IF($AF$7:$AF$16&lt;&gt;"",IF($AC$7:$AC$16&lt;&gt;"",ROW($AC$7:$AC$16)-MIN(ROW($AC$7:$AC$16))+1,""),""),ROW()-ROW(A$18)+1)),"##0"),),"")</f>
        <v>0</v>
      </c>
      <c r="AD18">
        <f t="array" ref="AD18">IFERROR(CONCATENATE((INDEX($AF$7:$AF$16,SMALL(IF($AF$7:$AF$16&lt;&gt;"",IF($AC$7:$AC$16&lt;&gt;"",ROW($AC$7:$AC$16)-MIN(ROW($AC$7:$AC$16))+1,""),""),ROW()-ROW(A$18)+1))),),"")</f>
        <v>0</v>
      </c>
      <c r="AE18">
        <f t="array" ref="AE18">IFERROR(CONCATENATE((INDEX($A$7:$A$16,SMALL(IF($AF$7:$AF$16&lt;&gt;"",IF($AC$7:$AC$16&lt;&gt;"",ROW($AC$7:$AC$16)-MIN(ROW($AC$7:$AC$16))+1,""),""),ROW()-ROW(A$18)+1))),),"")</f>
        <v>0</v>
      </c>
    </row>
    <row r="19" spans="11:31">
      <c r="K19">
        <f t="array" ref="K19">IFERROR(CONCATENATE(TEXT(INDEX($K$7:$K$16,SMALL(IF($N$7:$N$16&lt;&gt;"",IF($K$7:$K$16&lt;&gt;"",ROW($K$7:$K$16)-MIN(ROW($K$7:$K$16))+1,""),""),ROW()-ROW(A$18)+1)),"##0"),","),"")</f>
        <v>0</v>
      </c>
      <c r="L19">
        <f t="array" ref="L19">IFERROR(CONCATENATE((INDEX($N$7:$N$16,SMALL(IF($N$7:$N$16&lt;&gt;"",IF($K$7:$K$16&lt;&gt;"",ROW($K$7:$K$16)-MIN(ROW($K$7:$K$16))+1,""),""),ROW()-ROW(A$18)+1))),","),"")</f>
        <v>0</v>
      </c>
      <c r="M19">
        <f t="array" ref="M19">IFERROR(CONCATENATE((INDEX($A$7:$A$16,SMALL(IF($N$7:$N$16&lt;&gt;"",IF($K$7:$K$16&lt;&gt;"",ROW($K$7:$K$16)-MIN(ROW($K$7:$K$16))+1,""),""),ROW()-ROW(A$18)+1))),),"")</f>
        <v>0</v>
      </c>
      <c r="Q19">
        <f t="array" ref="Q19">IFERROR(CONCATENATE((INDEX($T$7:$T$16,SMALL(IF($T$7:$T$16&lt;&gt;"",IF($Q$7:$Q$16&lt;&gt;"",ROW($Q$7:$Q$16)-MIN(ROW($Q$7:$Q$16))+1,""),""),ROW()-ROW(A$18)+1)))," "),"")</f>
        <v>0</v>
      </c>
      <c r="R19">
        <f t="array" ref="R19">IFERROR(CONCATENATE(TEXT(INDEX($Q$7:$Q$16,SMALL(IF($T$7:$T$16&lt;&gt;"",IF($Q$7:$Q$16&lt;&gt;"",ROW($Q$7:$Q$16)-MIN(ROW($Q$7:$Q$16))+1,""),""),ROW()-ROW(A$18)+1)),"##0")," "),"")</f>
        <v>0</v>
      </c>
      <c r="S19">
        <f t="array" ref="S19">IFERROR(CONCATENATE((INDEX($A$7:$A$16,SMALL(IF($T$7:$T$16&lt;&gt;"",IF($Q$7:$Q$16&lt;&gt;"",ROW($Q$7:$Q$16)-MIN(ROW($Q$7:$Q$16))+1,""),""),ROW()-ROW(A$18)+1))),),"")</f>
        <v>0</v>
      </c>
      <c r="W19">
        <f t="array" ref="W19">IFERROR(CONCATENATE((INDEX($Z$7:$Z$16,SMALL(IF($Z$7:$Z$16&lt;&gt;"",IF($W$7:$W$16&lt;&gt;"",ROW($W$7:$W$16)-MIN(ROW($W$7:$W$16))+1,""),""),ROW()-ROW(A$18)+1))),","),"")</f>
        <v>0</v>
      </c>
      <c r="X19">
        <f t="array" ref="X19">IFERROR(CONCATENATE(TEXT(INDEX($W$7:$W$16,SMALL(IF($Z$7:$Z$16&lt;&gt;"",IF($W$7:$W$16&lt;&gt;"",ROW($W$7:$W$16)-MIN(ROW($W$7:$W$16))+1,""),""),ROW()-ROW(A$18)+1)),"##0"),","),"")</f>
        <v>0</v>
      </c>
      <c r="Y19">
        <f t="array" ref="Y19">IFERROR(CONCATENATE((INDEX($A$7:$A$16,SMALL(IF($Z$7:$Z$16&lt;&gt;"",IF($W$7:$W$16&lt;&gt;"",ROW($W$7:$W$16)-MIN(ROW($W$7:$W$16))+1,""),""),ROW()-ROW(A$18)+1))),),"")</f>
        <v>0</v>
      </c>
      <c r="AC19">
        <f t="array" ref="AC19">IFERROR(CONCATENATE(TEXT(INDEX($AC$7:$AC$16,SMALL(IF($AF$7:$AF$16&lt;&gt;"",IF($AC$7:$AC$16&lt;&gt;"",ROW($AC$7:$AC$16)-MIN(ROW($AC$7:$AC$16))+1,""),""),ROW()-ROW(A$18)+1)),"##0"),),"")</f>
        <v>0</v>
      </c>
      <c r="AD19">
        <f t="array" ref="AD19">IFERROR(CONCATENATE((INDEX($AF$7:$AF$16,SMALL(IF($AF$7:$AF$16&lt;&gt;"",IF($AC$7:$AC$16&lt;&gt;"",ROW($AC$7:$AC$16)-MIN(ROW($AC$7:$AC$16))+1,""),""),ROW()-ROW(A$18)+1))),),"")</f>
        <v>0</v>
      </c>
      <c r="AE19">
        <f t="array" ref="AE19">IFERROR(CONCATENATE((INDEX($A$7:$A$16,SMALL(IF($AF$7:$AF$16&lt;&gt;"",IF($AC$7:$AC$16&lt;&gt;"",ROW($AC$7:$AC$16)-MIN(ROW($AC$7:$AC$16))+1,""),""),ROW()-ROW(A$18)+1))),),"")</f>
        <v>0</v>
      </c>
    </row>
    <row r="20" spans="11:31">
      <c r="K20">
        <f t="array" ref="K20">IFERROR(CONCATENATE(TEXT(INDEX($K$7:$K$16,SMALL(IF($N$7:$N$16&lt;&gt;"",IF($K$7:$K$16&lt;&gt;"",ROW($K$7:$K$16)-MIN(ROW($K$7:$K$16))+1,""),""),ROW()-ROW(A$18)+1)),"##0"),","),"")</f>
        <v>0</v>
      </c>
      <c r="L20">
        <f t="array" ref="L20">IFERROR(CONCATENATE((INDEX($N$7:$N$16,SMALL(IF($N$7:$N$16&lt;&gt;"",IF($K$7:$K$16&lt;&gt;"",ROW($K$7:$K$16)-MIN(ROW($K$7:$K$16))+1,""),""),ROW()-ROW(A$18)+1))),","),"")</f>
        <v>0</v>
      </c>
      <c r="M20">
        <f t="array" ref="M20">IFERROR(CONCATENATE((INDEX($A$7:$A$16,SMALL(IF($N$7:$N$16&lt;&gt;"",IF($K$7:$K$16&lt;&gt;"",ROW($K$7:$K$16)-MIN(ROW($K$7:$K$16))+1,""),""),ROW()-ROW(A$18)+1))),),"")</f>
        <v>0</v>
      </c>
      <c r="Q20">
        <f t="array" ref="Q20">IFERROR(CONCATENATE((INDEX($T$7:$T$16,SMALL(IF($T$7:$T$16&lt;&gt;"",IF($Q$7:$Q$16&lt;&gt;"",ROW($Q$7:$Q$16)-MIN(ROW($Q$7:$Q$16))+1,""),""),ROW()-ROW(A$18)+1)))," "),"")</f>
        <v>0</v>
      </c>
      <c r="R20">
        <f t="array" ref="R20">IFERROR(CONCATENATE(TEXT(INDEX($Q$7:$Q$16,SMALL(IF($T$7:$T$16&lt;&gt;"",IF($Q$7:$Q$16&lt;&gt;"",ROW($Q$7:$Q$16)-MIN(ROW($Q$7:$Q$16))+1,""),""),ROW()-ROW(A$18)+1)),"##0")," "),"")</f>
        <v>0</v>
      </c>
      <c r="S20">
        <f t="array" ref="S20">IFERROR(CONCATENATE((INDEX($A$7:$A$16,SMALL(IF($T$7:$T$16&lt;&gt;"",IF($Q$7:$Q$16&lt;&gt;"",ROW($Q$7:$Q$16)-MIN(ROW($Q$7:$Q$16))+1,""),""),ROW()-ROW(A$18)+1))),),"")</f>
        <v>0</v>
      </c>
      <c r="W20">
        <f t="array" ref="W20">IFERROR(CONCATENATE((INDEX($Z$7:$Z$16,SMALL(IF($Z$7:$Z$16&lt;&gt;"",IF($W$7:$W$16&lt;&gt;"",ROW($W$7:$W$16)-MIN(ROW($W$7:$W$16))+1,""),""),ROW()-ROW(A$18)+1))),","),"")</f>
        <v>0</v>
      </c>
      <c r="X20">
        <f t="array" ref="X20">IFERROR(CONCATENATE(TEXT(INDEX($W$7:$W$16,SMALL(IF($Z$7:$Z$16&lt;&gt;"",IF($W$7:$W$16&lt;&gt;"",ROW($W$7:$W$16)-MIN(ROW($W$7:$W$16))+1,""),""),ROW()-ROW(A$18)+1)),"##0"),","),"")</f>
        <v>0</v>
      </c>
      <c r="Y20">
        <f t="array" ref="Y20">IFERROR(CONCATENATE((INDEX($A$7:$A$16,SMALL(IF($Z$7:$Z$16&lt;&gt;"",IF($W$7:$W$16&lt;&gt;"",ROW($W$7:$W$16)-MIN(ROW($W$7:$W$16))+1,""),""),ROW()-ROW(A$18)+1))),),"")</f>
        <v>0</v>
      </c>
      <c r="AC20">
        <f t="array" ref="AC20">IFERROR(CONCATENATE(TEXT(INDEX($AC$7:$AC$16,SMALL(IF($AF$7:$AF$16&lt;&gt;"",IF($AC$7:$AC$16&lt;&gt;"",ROW($AC$7:$AC$16)-MIN(ROW($AC$7:$AC$16))+1,""),""),ROW()-ROW(A$18)+1)),"##0"),),"")</f>
        <v>0</v>
      </c>
      <c r="AD20">
        <f t="array" ref="AD20">IFERROR(CONCATENATE((INDEX($AF$7:$AF$16,SMALL(IF($AF$7:$AF$16&lt;&gt;"",IF($AC$7:$AC$16&lt;&gt;"",ROW($AC$7:$AC$16)-MIN(ROW($AC$7:$AC$16))+1,""),""),ROW()-ROW(A$18)+1))),),"")</f>
        <v>0</v>
      </c>
      <c r="AE20">
        <f t="array" ref="AE20">IFERROR(CONCATENATE((INDEX($A$7:$A$16,SMALL(IF($AF$7:$AF$16&lt;&gt;"",IF($AC$7:$AC$16&lt;&gt;"",ROW($AC$7:$AC$16)-MIN(ROW($AC$7:$AC$16))+1,""),""),ROW()-ROW(A$18)+1))),),"")</f>
        <v>0</v>
      </c>
    </row>
    <row r="21" spans="11:31">
      <c r="K21">
        <f t="array" ref="K21">IFERROR(CONCATENATE(TEXT(INDEX($K$7:$K$16,SMALL(IF($N$7:$N$16&lt;&gt;"",IF($K$7:$K$16&lt;&gt;"",ROW($K$7:$K$16)-MIN(ROW($K$7:$K$16))+1,""),""),ROW()-ROW(A$18)+1)),"##0"),","),"")</f>
        <v>0</v>
      </c>
      <c r="L21">
        <f t="array" ref="L21">IFERROR(CONCATENATE((INDEX($N$7:$N$16,SMALL(IF($N$7:$N$16&lt;&gt;"",IF($K$7:$K$16&lt;&gt;"",ROW($K$7:$K$16)-MIN(ROW($K$7:$K$16))+1,""),""),ROW()-ROW(A$18)+1))),","),"")</f>
        <v>0</v>
      </c>
      <c r="M21">
        <f t="array" ref="M21">IFERROR(CONCATENATE((INDEX($A$7:$A$16,SMALL(IF($N$7:$N$16&lt;&gt;"",IF($K$7:$K$16&lt;&gt;"",ROW($K$7:$K$16)-MIN(ROW($K$7:$K$16))+1,""),""),ROW()-ROW(A$18)+1))),),"")</f>
        <v>0</v>
      </c>
      <c r="Q21">
        <f t="array" ref="Q21">IFERROR(CONCATENATE((INDEX($T$7:$T$16,SMALL(IF($T$7:$T$16&lt;&gt;"",IF($Q$7:$Q$16&lt;&gt;"",ROW($Q$7:$Q$16)-MIN(ROW($Q$7:$Q$16))+1,""),""),ROW()-ROW(A$18)+1)))," "),"")</f>
        <v>0</v>
      </c>
      <c r="R21">
        <f t="array" ref="R21">IFERROR(CONCATENATE(TEXT(INDEX($Q$7:$Q$16,SMALL(IF($T$7:$T$16&lt;&gt;"",IF($Q$7:$Q$16&lt;&gt;"",ROW($Q$7:$Q$16)-MIN(ROW($Q$7:$Q$16))+1,""),""),ROW()-ROW(A$18)+1)),"##0")," "),"")</f>
        <v>0</v>
      </c>
      <c r="S21">
        <f t="array" ref="S21">IFERROR(CONCATENATE((INDEX($A$7:$A$16,SMALL(IF($T$7:$T$16&lt;&gt;"",IF($Q$7:$Q$16&lt;&gt;"",ROW($Q$7:$Q$16)-MIN(ROW($Q$7:$Q$16))+1,""),""),ROW()-ROW(A$18)+1))),),"")</f>
        <v>0</v>
      </c>
      <c r="W21">
        <f t="array" ref="W21">IFERROR(CONCATENATE((INDEX($Z$7:$Z$16,SMALL(IF($Z$7:$Z$16&lt;&gt;"",IF($W$7:$W$16&lt;&gt;"",ROW($W$7:$W$16)-MIN(ROW($W$7:$W$16))+1,""),""),ROW()-ROW(A$18)+1))),","),"")</f>
        <v>0</v>
      </c>
      <c r="X21">
        <f t="array" ref="X21">IFERROR(CONCATENATE(TEXT(INDEX($W$7:$W$16,SMALL(IF($Z$7:$Z$16&lt;&gt;"",IF($W$7:$W$16&lt;&gt;"",ROW($W$7:$W$16)-MIN(ROW($W$7:$W$16))+1,""),""),ROW()-ROW(A$18)+1)),"##0"),","),"")</f>
        <v>0</v>
      </c>
      <c r="Y21">
        <f t="array" ref="Y21">IFERROR(CONCATENATE((INDEX($A$7:$A$16,SMALL(IF($Z$7:$Z$16&lt;&gt;"",IF($W$7:$W$16&lt;&gt;"",ROW($W$7:$W$16)-MIN(ROW($W$7:$W$16))+1,""),""),ROW()-ROW(A$18)+1))),),"")</f>
        <v>0</v>
      </c>
      <c r="AC21">
        <f t="array" ref="AC21">IFERROR(CONCATENATE(TEXT(INDEX($AC$7:$AC$16,SMALL(IF($AF$7:$AF$16&lt;&gt;"",IF($AC$7:$AC$16&lt;&gt;"",ROW($AC$7:$AC$16)-MIN(ROW($AC$7:$AC$16))+1,""),""),ROW()-ROW(A$18)+1)),"##0"),),"")</f>
        <v>0</v>
      </c>
      <c r="AD21">
        <f t="array" ref="AD21">IFERROR(CONCATENATE((INDEX($AF$7:$AF$16,SMALL(IF($AF$7:$AF$16&lt;&gt;"",IF($AC$7:$AC$16&lt;&gt;"",ROW($AC$7:$AC$16)-MIN(ROW($AC$7:$AC$16))+1,""),""),ROW()-ROW(A$18)+1))),),"")</f>
        <v>0</v>
      </c>
      <c r="AE21">
        <f t="array" ref="AE21">IFERROR(CONCATENATE((INDEX($A$7:$A$16,SMALL(IF($AF$7:$AF$16&lt;&gt;"",IF($AC$7:$AC$16&lt;&gt;"",ROW($AC$7:$AC$16)-MIN(ROW($AC$7:$AC$16))+1,""),""),ROW()-ROW(A$18)+1))),),"")</f>
        <v>0</v>
      </c>
    </row>
    <row r="22" spans="11:31">
      <c r="K22">
        <f t="array" ref="K22">IFERROR(CONCATENATE(TEXT(INDEX($K$7:$K$16,SMALL(IF($N$7:$N$16&lt;&gt;"",IF($K$7:$K$16&lt;&gt;"",ROW($K$7:$K$16)-MIN(ROW($K$7:$K$16))+1,""),""),ROW()-ROW(A$18)+1)),"##0"),","),"")</f>
        <v>0</v>
      </c>
      <c r="L22">
        <f t="array" ref="L22">IFERROR(CONCATENATE((INDEX($N$7:$N$16,SMALL(IF($N$7:$N$16&lt;&gt;"",IF($K$7:$K$16&lt;&gt;"",ROW($K$7:$K$16)-MIN(ROW($K$7:$K$16))+1,""),""),ROW()-ROW(A$18)+1))),","),"")</f>
        <v>0</v>
      </c>
      <c r="M22">
        <f t="array" ref="M22">IFERROR(CONCATENATE((INDEX($A$7:$A$16,SMALL(IF($N$7:$N$16&lt;&gt;"",IF($K$7:$K$16&lt;&gt;"",ROW($K$7:$K$16)-MIN(ROW($K$7:$K$16))+1,""),""),ROW()-ROW(A$18)+1))),),"")</f>
        <v>0</v>
      </c>
      <c r="Q22">
        <f t="array" ref="Q22">IFERROR(CONCATENATE((INDEX($T$7:$T$16,SMALL(IF($T$7:$T$16&lt;&gt;"",IF($Q$7:$Q$16&lt;&gt;"",ROW($Q$7:$Q$16)-MIN(ROW($Q$7:$Q$16))+1,""),""),ROW()-ROW(A$18)+1)))," "),"")</f>
        <v>0</v>
      </c>
      <c r="R22">
        <f t="array" ref="R22">IFERROR(CONCATENATE(TEXT(INDEX($Q$7:$Q$16,SMALL(IF($T$7:$T$16&lt;&gt;"",IF($Q$7:$Q$16&lt;&gt;"",ROW($Q$7:$Q$16)-MIN(ROW($Q$7:$Q$16))+1,""),""),ROW()-ROW(A$18)+1)),"##0")," "),"")</f>
        <v>0</v>
      </c>
      <c r="S22">
        <f t="array" ref="S22">IFERROR(CONCATENATE((INDEX($A$7:$A$16,SMALL(IF($T$7:$T$16&lt;&gt;"",IF($Q$7:$Q$16&lt;&gt;"",ROW($Q$7:$Q$16)-MIN(ROW($Q$7:$Q$16))+1,""),""),ROW()-ROW(A$18)+1))),),"")</f>
        <v>0</v>
      </c>
      <c r="W22">
        <f t="array" ref="W22">IFERROR(CONCATENATE((INDEX($Z$7:$Z$16,SMALL(IF($Z$7:$Z$16&lt;&gt;"",IF($W$7:$W$16&lt;&gt;"",ROW($W$7:$W$16)-MIN(ROW($W$7:$W$16))+1,""),""),ROW()-ROW(A$18)+1))),","),"")</f>
        <v>0</v>
      </c>
      <c r="X22">
        <f t="array" ref="X22">IFERROR(CONCATENATE(TEXT(INDEX($W$7:$W$16,SMALL(IF($Z$7:$Z$16&lt;&gt;"",IF($W$7:$W$16&lt;&gt;"",ROW($W$7:$W$16)-MIN(ROW($W$7:$W$16))+1,""),""),ROW()-ROW(A$18)+1)),"##0"),","),"")</f>
        <v>0</v>
      </c>
      <c r="Y22">
        <f t="array" ref="Y22">IFERROR(CONCATENATE((INDEX($A$7:$A$16,SMALL(IF($Z$7:$Z$16&lt;&gt;"",IF($W$7:$W$16&lt;&gt;"",ROW($W$7:$W$16)-MIN(ROW($W$7:$W$16))+1,""),""),ROW()-ROW(A$18)+1))),),"")</f>
        <v>0</v>
      </c>
      <c r="AC22">
        <f t="array" ref="AC22">IFERROR(CONCATENATE(TEXT(INDEX($AC$7:$AC$16,SMALL(IF($AF$7:$AF$16&lt;&gt;"",IF($AC$7:$AC$16&lt;&gt;"",ROW($AC$7:$AC$16)-MIN(ROW($AC$7:$AC$16))+1,""),""),ROW()-ROW(A$18)+1)),"##0"),),"")</f>
        <v>0</v>
      </c>
      <c r="AD22">
        <f t="array" ref="AD22">IFERROR(CONCATENATE((INDEX($AF$7:$AF$16,SMALL(IF($AF$7:$AF$16&lt;&gt;"",IF($AC$7:$AC$16&lt;&gt;"",ROW($AC$7:$AC$16)-MIN(ROW($AC$7:$AC$16))+1,""),""),ROW()-ROW(A$18)+1))),),"")</f>
        <v>0</v>
      </c>
      <c r="AE22">
        <f t="array" ref="AE22">IFERROR(CONCATENATE((INDEX($A$7:$A$16,SMALL(IF($AF$7:$AF$16&lt;&gt;"",IF($AC$7:$AC$16&lt;&gt;"",ROW($AC$7:$AC$16)-MIN(ROW($AC$7:$AC$16))+1,""),""),ROW()-ROW(A$18)+1))),),"")</f>
        <v>0</v>
      </c>
    </row>
    <row r="23" spans="11:31">
      <c r="K23">
        <f t="array" ref="K23">IFERROR(CONCATENATE(TEXT(INDEX($K$7:$K$16,SMALL(IF($N$7:$N$16&lt;&gt;"",IF($K$7:$K$16&lt;&gt;"",ROW($K$7:$K$16)-MIN(ROW($K$7:$K$16))+1,""),""),ROW()-ROW(A$18)+1)),"##0"),","),"")</f>
        <v>0</v>
      </c>
      <c r="L23">
        <f t="array" ref="L23">IFERROR(CONCATENATE((INDEX($N$7:$N$16,SMALL(IF($N$7:$N$16&lt;&gt;"",IF($K$7:$K$16&lt;&gt;"",ROW($K$7:$K$16)-MIN(ROW($K$7:$K$16))+1,""),""),ROW()-ROW(A$18)+1))),","),"")</f>
        <v>0</v>
      </c>
      <c r="M23">
        <f t="array" ref="M23">IFERROR(CONCATENATE((INDEX($A$7:$A$16,SMALL(IF($N$7:$N$16&lt;&gt;"",IF($K$7:$K$16&lt;&gt;"",ROW($K$7:$K$16)-MIN(ROW($K$7:$K$16))+1,""),""),ROW()-ROW(A$18)+1))),),"")</f>
        <v>0</v>
      </c>
      <c r="Q23">
        <f t="array" ref="Q23">IFERROR(CONCATENATE((INDEX($T$7:$T$16,SMALL(IF($T$7:$T$16&lt;&gt;"",IF($Q$7:$Q$16&lt;&gt;"",ROW($Q$7:$Q$16)-MIN(ROW($Q$7:$Q$16))+1,""),""),ROW()-ROW(A$18)+1)))," "),"")</f>
        <v>0</v>
      </c>
      <c r="R23">
        <f t="array" ref="R23">IFERROR(CONCATENATE(TEXT(INDEX($Q$7:$Q$16,SMALL(IF($T$7:$T$16&lt;&gt;"",IF($Q$7:$Q$16&lt;&gt;"",ROW($Q$7:$Q$16)-MIN(ROW($Q$7:$Q$16))+1,""),""),ROW()-ROW(A$18)+1)),"##0")," "),"")</f>
        <v>0</v>
      </c>
      <c r="S23">
        <f t="array" ref="S23">IFERROR(CONCATENATE((INDEX($A$7:$A$16,SMALL(IF($T$7:$T$16&lt;&gt;"",IF($Q$7:$Q$16&lt;&gt;"",ROW($Q$7:$Q$16)-MIN(ROW($Q$7:$Q$16))+1,""),""),ROW()-ROW(A$18)+1))),),"")</f>
        <v>0</v>
      </c>
      <c r="W23">
        <f t="array" ref="W23">IFERROR(CONCATENATE((INDEX($Z$7:$Z$16,SMALL(IF($Z$7:$Z$16&lt;&gt;"",IF($W$7:$W$16&lt;&gt;"",ROW($W$7:$W$16)-MIN(ROW($W$7:$W$16))+1,""),""),ROW()-ROW(A$18)+1))),","),"")</f>
        <v>0</v>
      </c>
      <c r="X23">
        <f t="array" ref="X23">IFERROR(CONCATENATE(TEXT(INDEX($W$7:$W$16,SMALL(IF($Z$7:$Z$16&lt;&gt;"",IF($W$7:$W$16&lt;&gt;"",ROW($W$7:$W$16)-MIN(ROW($W$7:$W$16))+1,""),""),ROW()-ROW(A$18)+1)),"##0"),","),"")</f>
        <v>0</v>
      </c>
      <c r="Y23">
        <f t="array" ref="Y23">IFERROR(CONCATENATE((INDEX($A$7:$A$16,SMALL(IF($Z$7:$Z$16&lt;&gt;"",IF($W$7:$W$16&lt;&gt;"",ROW($W$7:$W$16)-MIN(ROW($W$7:$W$16))+1,""),""),ROW()-ROW(A$18)+1))),),"")</f>
        <v>0</v>
      </c>
      <c r="AC23">
        <f t="array" ref="AC23">IFERROR(CONCATENATE(TEXT(INDEX($AC$7:$AC$16,SMALL(IF($AF$7:$AF$16&lt;&gt;"",IF($AC$7:$AC$16&lt;&gt;"",ROW($AC$7:$AC$16)-MIN(ROW($AC$7:$AC$16))+1,""),""),ROW()-ROW(A$18)+1)),"##0"),),"")</f>
        <v>0</v>
      </c>
      <c r="AD23">
        <f t="array" ref="AD23">IFERROR(CONCATENATE((INDEX($AF$7:$AF$16,SMALL(IF($AF$7:$AF$16&lt;&gt;"",IF($AC$7:$AC$16&lt;&gt;"",ROW($AC$7:$AC$16)-MIN(ROW($AC$7:$AC$16))+1,""),""),ROW()-ROW(A$18)+1))),),"")</f>
        <v>0</v>
      </c>
      <c r="AE23">
        <f t="array" ref="AE23">IFERROR(CONCATENATE((INDEX($A$7:$A$16,SMALL(IF($AF$7:$AF$16&lt;&gt;"",IF($AC$7:$AC$16&lt;&gt;"",ROW($AC$7:$AC$16)-MIN(ROW($AC$7:$AC$16))+1,""),""),ROW()-ROW(A$18)+1))),),"")</f>
        <v>0</v>
      </c>
    </row>
    <row r="24" spans="11:31">
      <c r="K24">
        <f t="array" ref="K24">IFERROR(CONCATENATE(TEXT(INDEX($K$7:$K$16,SMALL(IF($N$7:$N$16&lt;&gt;"",IF($K$7:$K$16&lt;&gt;"",ROW($K$7:$K$16)-MIN(ROW($K$7:$K$16))+1,""),""),ROW()-ROW(A$18)+1)),"##0"),","),"")</f>
        <v>0</v>
      </c>
      <c r="L24">
        <f t="array" ref="L24">IFERROR(CONCATENATE((INDEX($N$7:$N$16,SMALL(IF($N$7:$N$16&lt;&gt;"",IF($K$7:$K$16&lt;&gt;"",ROW($K$7:$K$16)-MIN(ROW($K$7:$K$16))+1,""),""),ROW()-ROW(A$18)+1))),","),"")</f>
        <v>0</v>
      </c>
      <c r="M24">
        <f t="array" ref="M24">IFERROR(CONCATENATE((INDEX($A$7:$A$16,SMALL(IF($N$7:$N$16&lt;&gt;"",IF($K$7:$K$16&lt;&gt;"",ROW($K$7:$K$16)-MIN(ROW($K$7:$K$16))+1,""),""),ROW()-ROW(A$18)+1))),),"")</f>
        <v>0</v>
      </c>
      <c r="Q24">
        <f t="array" ref="Q24">IFERROR(CONCATENATE((INDEX($T$7:$T$16,SMALL(IF($T$7:$T$16&lt;&gt;"",IF($Q$7:$Q$16&lt;&gt;"",ROW($Q$7:$Q$16)-MIN(ROW($Q$7:$Q$16))+1,""),""),ROW()-ROW(A$18)+1)))," "),"")</f>
        <v>0</v>
      </c>
      <c r="R24">
        <f t="array" ref="R24">IFERROR(CONCATENATE(TEXT(INDEX($Q$7:$Q$16,SMALL(IF($T$7:$T$16&lt;&gt;"",IF($Q$7:$Q$16&lt;&gt;"",ROW($Q$7:$Q$16)-MIN(ROW($Q$7:$Q$16))+1,""),""),ROW()-ROW(A$18)+1)),"##0")," "),"")</f>
        <v>0</v>
      </c>
      <c r="S24">
        <f t="array" ref="S24">IFERROR(CONCATENATE((INDEX($A$7:$A$16,SMALL(IF($T$7:$T$16&lt;&gt;"",IF($Q$7:$Q$16&lt;&gt;"",ROW($Q$7:$Q$16)-MIN(ROW($Q$7:$Q$16))+1,""),""),ROW()-ROW(A$18)+1))),),"")</f>
        <v>0</v>
      </c>
      <c r="W24">
        <f t="array" ref="W24">IFERROR(CONCATENATE((INDEX($Z$7:$Z$16,SMALL(IF($Z$7:$Z$16&lt;&gt;"",IF($W$7:$W$16&lt;&gt;"",ROW($W$7:$W$16)-MIN(ROW($W$7:$W$16))+1,""),""),ROW()-ROW(A$18)+1))),","),"")</f>
        <v>0</v>
      </c>
      <c r="X24">
        <f t="array" ref="X24">IFERROR(CONCATENATE(TEXT(INDEX($W$7:$W$16,SMALL(IF($Z$7:$Z$16&lt;&gt;"",IF($W$7:$W$16&lt;&gt;"",ROW($W$7:$W$16)-MIN(ROW($W$7:$W$16))+1,""),""),ROW()-ROW(A$18)+1)),"##0"),","),"")</f>
        <v>0</v>
      </c>
      <c r="Y24">
        <f t="array" ref="Y24">IFERROR(CONCATENATE((INDEX($A$7:$A$16,SMALL(IF($Z$7:$Z$16&lt;&gt;"",IF($W$7:$W$16&lt;&gt;"",ROW($W$7:$W$16)-MIN(ROW($W$7:$W$16))+1,""),""),ROW()-ROW(A$18)+1))),),"")</f>
        <v>0</v>
      </c>
      <c r="AC24">
        <f t="array" ref="AC24">IFERROR(CONCATENATE(TEXT(INDEX($AC$7:$AC$16,SMALL(IF($AF$7:$AF$16&lt;&gt;"",IF($AC$7:$AC$16&lt;&gt;"",ROW($AC$7:$AC$16)-MIN(ROW($AC$7:$AC$16))+1,""),""),ROW()-ROW(A$18)+1)),"##0"),),"")</f>
        <v>0</v>
      </c>
      <c r="AD24">
        <f t="array" ref="AD24">IFERROR(CONCATENATE((INDEX($AF$7:$AF$16,SMALL(IF($AF$7:$AF$16&lt;&gt;"",IF($AC$7:$AC$16&lt;&gt;"",ROW($AC$7:$AC$16)-MIN(ROW($AC$7:$AC$16))+1,""),""),ROW()-ROW(A$18)+1))),),"")</f>
        <v>0</v>
      </c>
      <c r="AE24">
        <f t="array" ref="AE24">IFERROR(CONCATENATE((INDEX($A$7:$A$16,SMALL(IF($AF$7:$AF$16&lt;&gt;"",IF($AC$7:$AC$16&lt;&gt;"",ROW($AC$7:$AC$16)-MIN(ROW($AC$7:$AC$16))+1,""),""),ROW()-ROW(A$18)+1))),),"")</f>
        <v>0</v>
      </c>
    </row>
    <row r="25" spans="11:31">
      <c r="K25">
        <f t="array" ref="K25">IFERROR(CONCATENATE(TEXT(INDEX($K$7:$K$16,SMALL(IF($N$7:$N$16&lt;&gt;"",IF($K$7:$K$16&lt;&gt;"",ROW($K$7:$K$16)-MIN(ROW($K$7:$K$16))+1,""),""),ROW()-ROW(A$18)+1)),"##0"),","),"")</f>
        <v>0</v>
      </c>
      <c r="L25">
        <f t="array" ref="L25">IFERROR(CONCATENATE((INDEX($N$7:$N$16,SMALL(IF($N$7:$N$16&lt;&gt;"",IF($K$7:$K$16&lt;&gt;"",ROW($K$7:$K$16)-MIN(ROW($K$7:$K$16))+1,""),""),ROW()-ROW(A$18)+1))),","),"")</f>
        <v>0</v>
      </c>
      <c r="M25">
        <f t="array" ref="M25">IFERROR(CONCATENATE((INDEX($A$7:$A$16,SMALL(IF($N$7:$N$16&lt;&gt;"",IF($K$7:$K$16&lt;&gt;"",ROW($K$7:$K$16)-MIN(ROW($K$7:$K$16))+1,""),""),ROW()-ROW(A$18)+1))),),"")</f>
        <v>0</v>
      </c>
      <c r="Q25">
        <f t="array" ref="Q25">IFERROR(CONCATENATE((INDEX($T$7:$T$16,SMALL(IF($T$7:$T$16&lt;&gt;"",IF($Q$7:$Q$16&lt;&gt;"",ROW($Q$7:$Q$16)-MIN(ROW($Q$7:$Q$16))+1,""),""),ROW()-ROW(A$18)+1)))," "),"")</f>
        <v>0</v>
      </c>
      <c r="R25">
        <f t="array" ref="R25">IFERROR(CONCATENATE(TEXT(INDEX($Q$7:$Q$16,SMALL(IF($T$7:$T$16&lt;&gt;"",IF($Q$7:$Q$16&lt;&gt;"",ROW($Q$7:$Q$16)-MIN(ROW($Q$7:$Q$16))+1,""),""),ROW()-ROW(A$18)+1)),"##0")," "),"")</f>
        <v>0</v>
      </c>
      <c r="S25">
        <f t="array" ref="S25">IFERROR(CONCATENATE((INDEX($A$7:$A$16,SMALL(IF($T$7:$T$16&lt;&gt;"",IF($Q$7:$Q$16&lt;&gt;"",ROW($Q$7:$Q$16)-MIN(ROW($Q$7:$Q$16))+1,""),""),ROW()-ROW(A$18)+1))),),"")</f>
        <v>0</v>
      </c>
      <c r="W25">
        <f t="array" ref="W25">IFERROR(CONCATENATE((INDEX($Z$7:$Z$16,SMALL(IF($Z$7:$Z$16&lt;&gt;"",IF($W$7:$W$16&lt;&gt;"",ROW($W$7:$W$16)-MIN(ROW($W$7:$W$16))+1,""),""),ROW()-ROW(A$18)+1))),","),"")</f>
        <v>0</v>
      </c>
      <c r="X25">
        <f t="array" ref="X25">IFERROR(CONCATENATE(TEXT(INDEX($W$7:$W$16,SMALL(IF($Z$7:$Z$16&lt;&gt;"",IF($W$7:$W$16&lt;&gt;"",ROW($W$7:$W$16)-MIN(ROW($W$7:$W$16))+1,""),""),ROW()-ROW(A$18)+1)),"##0"),","),"")</f>
        <v>0</v>
      </c>
      <c r="Y25">
        <f t="array" ref="Y25">IFERROR(CONCATENATE((INDEX($A$7:$A$16,SMALL(IF($Z$7:$Z$16&lt;&gt;"",IF($W$7:$W$16&lt;&gt;"",ROW($W$7:$W$16)-MIN(ROW($W$7:$W$16))+1,""),""),ROW()-ROW(A$18)+1))),),"")</f>
        <v>0</v>
      </c>
      <c r="AC25">
        <f t="array" ref="AC25">IFERROR(CONCATENATE(TEXT(INDEX($AC$7:$AC$16,SMALL(IF($AF$7:$AF$16&lt;&gt;"",IF($AC$7:$AC$16&lt;&gt;"",ROW($AC$7:$AC$16)-MIN(ROW($AC$7:$AC$16))+1,""),""),ROW()-ROW(A$18)+1)),"##0"),),"")</f>
        <v>0</v>
      </c>
      <c r="AD25">
        <f t="array" ref="AD25">IFERROR(CONCATENATE((INDEX($AF$7:$AF$16,SMALL(IF($AF$7:$AF$16&lt;&gt;"",IF($AC$7:$AC$16&lt;&gt;"",ROW($AC$7:$AC$16)-MIN(ROW($AC$7:$AC$16))+1,""),""),ROW()-ROW(A$18)+1))),),"")</f>
        <v>0</v>
      </c>
      <c r="AE25">
        <f t="array" ref="AE25">IFERROR(CONCATENATE((INDEX($A$7:$A$16,SMALL(IF($AF$7:$AF$16&lt;&gt;"",IF($AC$7:$AC$16&lt;&gt;"",ROW($AC$7:$AC$16)-MIN(ROW($AC$7:$AC$16))+1,""),""),ROW()-ROW(A$18)+1))),),"")</f>
        <v>0</v>
      </c>
    </row>
    <row r="26" spans="11:31">
      <c r="K26">
        <f t="array" ref="K26">IFERROR(CONCATENATE(TEXT(INDEX($K$7:$K$16,SMALL(IF($N$7:$N$16&lt;&gt;"",IF($K$7:$K$16&lt;&gt;"",ROW($K$7:$K$16)-MIN(ROW($K$7:$K$16))+1,""),""),ROW()-ROW(A$18)+1)),"##0"),","),"")</f>
        <v>0</v>
      </c>
      <c r="L26">
        <f t="array" ref="L26">IFERROR(CONCATENATE((INDEX($N$7:$N$16,SMALL(IF($N$7:$N$16&lt;&gt;"",IF($K$7:$K$16&lt;&gt;"",ROW($K$7:$K$16)-MIN(ROW($K$7:$K$16))+1,""),""),ROW()-ROW(A$18)+1))),","),"")</f>
        <v>0</v>
      </c>
      <c r="M26">
        <f t="array" ref="M26">IFERROR(CONCATENATE((INDEX($A$7:$A$16,SMALL(IF($N$7:$N$16&lt;&gt;"",IF($K$7:$K$16&lt;&gt;"",ROW($K$7:$K$16)-MIN(ROW($K$7:$K$16))+1,""),""),ROW()-ROW(A$18)+1))),),"")</f>
        <v>0</v>
      </c>
      <c r="Q26">
        <f t="array" ref="Q26">IFERROR(CONCATENATE((INDEX($T$7:$T$16,SMALL(IF($T$7:$T$16&lt;&gt;"",IF($Q$7:$Q$16&lt;&gt;"",ROW($Q$7:$Q$16)-MIN(ROW($Q$7:$Q$16))+1,""),""),ROW()-ROW(A$18)+1)))," "),"")</f>
        <v>0</v>
      </c>
      <c r="R26">
        <f t="array" ref="R26">IFERROR(CONCATENATE(TEXT(INDEX($Q$7:$Q$16,SMALL(IF($T$7:$T$16&lt;&gt;"",IF($Q$7:$Q$16&lt;&gt;"",ROW($Q$7:$Q$16)-MIN(ROW($Q$7:$Q$16))+1,""),""),ROW()-ROW(A$18)+1)),"##0")," "),"")</f>
        <v>0</v>
      </c>
      <c r="S26">
        <f t="array" ref="S26">IFERROR(CONCATENATE((INDEX($A$7:$A$16,SMALL(IF($T$7:$T$16&lt;&gt;"",IF($Q$7:$Q$16&lt;&gt;"",ROW($Q$7:$Q$16)-MIN(ROW($Q$7:$Q$16))+1,""),""),ROW()-ROW(A$18)+1))),),"")</f>
        <v>0</v>
      </c>
      <c r="W26">
        <f t="array" ref="W26">IFERROR(CONCATENATE((INDEX($Z$7:$Z$16,SMALL(IF($Z$7:$Z$16&lt;&gt;"",IF($W$7:$W$16&lt;&gt;"",ROW($W$7:$W$16)-MIN(ROW($W$7:$W$16))+1,""),""),ROW()-ROW(A$18)+1))),","),"")</f>
        <v>0</v>
      </c>
      <c r="X26">
        <f t="array" ref="X26">IFERROR(CONCATENATE(TEXT(INDEX($W$7:$W$16,SMALL(IF($Z$7:$Z$16&lt;&gt;"",IF($W$7:$W$16&lt;&gt;"",ROW($W$7:$W$16)-MIN(ROW($W$7:$W$16))+1,""),""),ROW()-ROW(A$18)+1)),"##0"),","),"")</f>
        <v>0</v>
      </c>
      <c r="Y26">
        <f t="array" ref="Y26">IFERROR(CONCATENATE((INDEX($A$7:$A$16,SMALL(IF($Z$7:$Z$16&lt;&gt;"",IF($W$7:$W$16&lt;&gt;"",ROW($W$7:$W$16)-MIN(ROW($W$7:$W$16))+1,""),""),ROW()-ROW(A$18)+1))),),"")</f>
        <v>0</v>
      </c>
      <c r="AC26">
        <f t="array" ref="AC26">IFERROR(CONCATENATE(TEXT(INDEX($AC$7:$AC$16,SMALL(IF($AF$7:$AF$16&lt;&gt;"",IF($AC$7:$AC$16&lt;&gt;"",ROW($AC$7:$AC$16)-MIN(ROW($AC$7:$AC$16))+1,""),""),ROW()-ROW(A$18)+1)),"##0"),),"")</f>
        <v>0</v>
      </c>
      <c r="AD26">
        <f t="array" ref="AD26">IFERROR(CONCATENATE((INDEX($AF$7:$AF$16,SMALL(IF($AF$7:$AF$16&lt;&gt;"",IF($AC$7:$AC$16&lt;&gt;"",ROW($AC$7:$AC$16)-MIN(ROW($AC$7:$AC$16))+1,""),""),ROW()-ROW(A$18)+1))),),"")</f>
        <v>0</v>
      </c>
      <c r="AE26">
        <f t="array" ref="AE26">IFERROR(CONCATENATE((INDEX($A$7:$A$16,SMALL(IF($AF$7:$AF$16&lt;&gt;"",IF($AC$7:$AC$16&lt;&gt;"",ROW($AC$7:$AC$16)-MIN(ROW($AC$7:$AC$16))+1,""),""),ROW()-ROW(A$18)+1))),),"")</f>
        <v>0</v>
      </c>
    </row>
    <row r="27" spans="11:31">
      <c r="K27">
        <f t="array" ref="K27">IFERROR(CONCATENATE(TEXT(INDEX($K$7:$K$16,SMALL(IF($N$7:$N$16&lt;&gt;"",IF($K$7:$K$16&lt;&gt;"",ROW($K$7:$K$16)-MIN(ROW($K$7:$K$16))+1,""),""),ROW()-ROW(A$18)+1)),"##0"),","),"")</f>
        <v>0</v>
      </c>
      <c r="L27">
        <f t="array" ref="L27">IFERROR(CONCATENATE((INDEX($N$7:$N$16,SMALL(IF($N$7:$N$16&lt;&gt;"",IF($K$7:$K$16&lt;&gt;"",ROW($K$7:$K$16)-MIN(ROW($K$7:$K$16))+1,""),""),ROW()-ROW(A$18)+1))),","),"")</f>
        <v>0</v>
      </c>
      <c r="M27">
        <f t="array" ref="M27">IFERROR(CONCATENATE((INDEX($A$7:$A$16,SMALL(IF($N$7:$N$16&lt;&gt;"",IF($K$7:$K$16&lt;&gt;"",ROW($K$7:$K$16)-MIN(ROW($K$7:$K$16))+1,""),""),ROW()-ROW(A$18)+1))),),"")</f>
        <v>0</v>
      </c>
      <c r="Q27">
        <f t="array" ref="Q27">IFERROR(CONCATENATE((INDEX($T$7:$T$16,SMALL(IF($T$7:$T$16&lt;&gt;"",IF($Q$7:$Q$16&lt;&gt;"",ROW($Q$7:$Q$16)-MIN(ROW($Q$7:$Q$16))+1,""),""),ROW()-ROW(A$18)+1)))," "),"")</f>
        <v>0</v>
      </c>
      <c r="R27">
        <f t="array" ref="R27">IFERROR(CONCATENATE(TEXT(INDEX($Q$7:$Q$16,SMALL(IF($T$7:$T$16&lt;&gt;"",IF($Q$7:$Q$16&lt;&gt;"",ROW($Q$7:$Q$16)-MIN(ROW($Q$7:$Q$16))+1,""),""),ROW()-ROW(A$18)+1)),"##0")," "),"")</f>
        <v>0</v>
      </c>
      <c r="S27">
        <f t="array" ref="S27">IFERROR(CONCATENATE((INDEX($A$7:$A$16,SMALL(IF($T$7:$T$16&lt;&gt;"",IF($Q$7:$Q$16&lt;&gt;"",ROW($Q$7:$Q$16)-MIN(ROW($Q$7:$Q$16))+1,""),""),ROW()-ROW(A$18)+1))),),"")</f>
        <v>0</v>
      </c>
      <c r="W27">
        <f t="array" ref="W27">IFERROR(CONCATENATE((INDEX($Z$7:$Z$16,SMALL(IF($Z$7:$Z$16&lt;&gt;"",IF($W$7:$W$16&lt;&gt;"",ROW($W$7:$W$16)-MIN(ROW($W$7:$W$16))+1,""),""),ROW()-ROW(A$18)+1))),","),"")</f>
        <v>0</v>
      </c>
      <c r="X27">
        <f t="array" ref="X27">IFERROR(CONCATENATE(TEXT(INDEX($W$7:$W$16,SMALL(IF($Z$7:$Z$16&lt;&gt;"",IF($W$7:$W$16&lt;&gt;"",ROW($W$7:$W$16)-MIN(ROW($W$7:$W$16))+1,""),""),ROW()-ROW(A$18)+1)),"##0"),","),"")</f>
        <v>0</v>
      </c>
      <c r="Y27">
        <f t="array" ref="Y27">IFERROR(CONCATENATE((INDEX($A$7:$A$16,SMALL(IF($Z$7:$Z$16&lt;&gt;"",IF($W$7:$W$16&lt;&gt;"",ROW($W$7:$W$16)-MIN(ROW($W$7:$W$16))+1,""),""),ROW()-ROW(A$18)+1))),),"")</f>
        <v>0</v>
      </c>
      <c r="AC27">
        <f t="array" ref="AC27">IFERROR(CONCATENATE(TEXT(INDEX($AC$7:$AC$16,SMALL(IF($AF$7:$AF$16&lt;&gt;"",IF($AC$7:$AC$16&lt;&gt;"",ROW($AC$7:$AC$16)-MIN(ROW($AC$7:$AC$16))+1,""),""),ROW()-ROW(A$18)+1)),"##0"),),"")</f>
        <v>0</v>
      </c>
      <c r="AD27">
        <f t="array" ref="AD27">IFERROR(CONCATENATE((INDEX($AF$7:$AF$16,SMALL(IF($AF$7:$AF$16&lt;&gt;"",IF($AC$7:$AC$16&lt;&gt;"",ROW($AC$7:$AC$16)-MIN(ROW($AC$7:$AC$16))+1,""),""),ROW()-ROW(A$18)+1))),),"")</f>
        <v>0</v>
      </c>
      <c r="AE27">
        <f t="array" ref="AE27">IFERROR(CONCATENATE((INDEX($A$7:$A$16,SMALL(IF($AF$7:$AF$16&lt;&gt;"",IF($AC$7:$AC$16&lt;&gt;"",ROW($AC$7:$AC$16)-MIN(ROW($AC$7:$AC$16))+1,""),""),ROW()-ROW(A$18)+1))),),"")</f>
        <v>0</v>
      </c>
    </row>
  </sheetData>
  <mergeCells count="5">
    <mergeCell ref="A5:I5"/>
    <mergeCell ref="J5:O5"/>
    <mergeCell ref="P5:U5"/>
    <mergeCell ref="V5:AA5"/>
    <mergeCell ref="AB5:AG5"/>
  </mergeCells>
  <conditionalFormatting sqref="AD11">
    <cfRule type="cellIs" dxfId="0" priority="31" operator="lessThanOrEqual">
      <formula>H11</formula>
    </cfRule>
  </conditionalFormatting>
  <conditionalFormatting sqref="AD12">
    <cfRule type="cellIs" dxfId="0" priority="33" operator="lessThanOrEqual">
      <formula>H12</formula>
    </cfRule>
  </conditionalFormatting>
  <conditionalFormatting sqref="AD16">
    <cfRule type="cellIs" dxfId="0" priority="35" operator="lessThanOrEqual">
      <formula>H16</formula>
    </cfRule>
  </conditionalFormatting>
  <conditionalFormatting sqref="AD7">
    <cfRule type="cellIs" dxfId="0" priority="27" operator="lessThanOrEqual">
      <formula>H7</formula>
    </cfRule>
  </conditionalFormatting>
  <conditionalFormatting sqref="AD8">
    <cfRule type="cellIs" dxfId="0" priority="29" operator="lessThanOrEqual">
      <formula>H8</formula>
    </cfRule>
  </conditionalFormatting>
  <conditionalFormatting sqref="AE11">
    <cfRule type="cellIs" dxfId="0" priority="32" operator="lessThanOrEqual">
      <formula>I11</formula>
    </cfRule>
  </conditionalFormatting>
  <conditionalFormatting sqref="AE12">
    <cfRule type="cellIs" dxfId="0" priority="34" operator="lessThanOrEqual">
      <formula>I12</formula>
    </cfRule>
  </conditionalFormatting>
  <conditionalFormatting sqref="AE16">
    <cfRule type="cellIs" dxfId="0" priority="36" operator="lessThanOrEqual">
      <formula>I16</formula>
    </cfRule>
  </conditionalFormatting>
  <conditionalFormatting sqref="AE7">
    <cfRule type="cellIs" dxfId="0" priority="28" operator="lessThanOrEqual">
      <formula>I7</formula>
    </cfRule>
  </conditionalFormatting>
  <conditionalFormatting sqref="AE8">
    <cfRule type="cellIs" dxfId="0" priority="30" operator="lessThanOrEqual">
      <formula>I8</formula>
    </cfRule>
  </conditionalFormatting>
  <conditionalFormatting sqref="L10">
    <cfRule type="cellIs" dxfId="0" priority="3" operator="lessThanOrEqual">
      <formula>H10</formula>
    </cfRule>
  </conditionalFormatting>
  <conditionalFormatting sqref="L11">
    <cfRule type="cellIs" dxfId="0" priority="5" operator="lessThanOrEqual">
      <formula>H11</formula>
    </cfRule>
  </conditionalFormatting>
  <conditionalFormatting sqref="L13">
    <cfRule type="cellIs" dxfId="0" priority="7" operator="lessThanOrEqual">
      <formula>H13</formula>
    </cfRule>
  </conditionalFormatting>
  <conditionalFormatting sqref="L14">
    <cfRule type="cellIs" dxfId="0" priority="9" operator="lessThanOrEqual">
      <formula>H14</formula>
    </cfRule>
  </conditionalFormatting>
  <conditionalFormatting sqref="L15">
    <cfRule type="cellIs" dxfId="0" priority="11" operator="lessThanOrEqual">
      <formula>H15</formula>
    </cfRule>
  </conditionalFormatting>
  <conditionalFormatting sqref="L9">
    <cfRule type="cellIs" dxfId="0" priority="1" operator="lessThanOrEqual">
      <formula>H9</formula>
    </cfRule>
  </conditionalFormatting>
  <conditionalFormatting sqref="M10">
    <cfRule type="cellIs" dxfId="0" priority="4" operator="lessThanOrEqual">
      <formula>I10</formula>
    </cfRule>
  </conditionalFormatting>
  <conditionalFormatting sqref="M11">
    <cfRule type="cellIs" dxfId="0" priority="6" operator="lessThanOrEqual">
      <formula>I11</formula>
    </cfRule>
  </conditionalFormatting>
  <conditionalFormatting sqref="M13">
    <cfRule type="cellIs" dxfId="0" priority="8" operator="lessThanOrEqual">
      <formula>I13</formula>
    </cfRule>
  </conditionalFormatting>
  <conditionalFormatting sqref="M14">
    <cfRule type="cellIs" dxfId="0" priority="10" operator="lessThanOrEqual">
      <formula>I14</formula>
    </cfRule>
  </conditionalFormatting>
  <conditionalFormatting sqref="M15">
    <cfRule type="cellIs" dxfId="0" priority="12" operator="lessThanOrEqual">
      <formula>I15</formula>
    </cfRule>
  </conditionalFormatting>
  <conditionalFormatting sqref="M9">
    <cfRule type="cellIs" dxfId="0" priority="2" operator="lessThanOrEqual">
      <formula>I9</formula>
    </cfRule>
  </conditionalFormatting>
  <conditionalFormatting sqref="R10">
    <cfRule type="cellIs" dxfId="0" priority="15" operator="lessThanOrEqual">
      <formula>H10</formula>
    </cfRule>
  </conditionalFormatting>
  <conditionalFormatting sqref="R11">
    <cfRule type="cellIs" dxfId="0" priority="17" operator="lessThanOrEqual">
      <formula>H11</formula>
    </cfRule>
  </conditionalFormatting>
  <conditionalFormatting sqref="R13">
    <cfRule type="cellIs" dxfId="0" priority="19" operator="lessThanOrEqual">
      <formula>H13</formula>
    </cfRule>
  </conditionalFormatting>
  <conditionalFormatting sqref="R15">
    <cfRule type="cellIs" dxfId="0" priority="21" operator="lessThanOrEqual">
      <formula>H15</formula>
    </cfRule>
  </conditionalFormatting>
  <conditionalFormatting sqref="R9">
    <cfRule type="cellIs" dxfId="0" priority="13" operator="lessThanOrEqual">
      <formula>H9</formula>
    </cfRule>
  </conditionalFormatting>
  <conditionalFormatting sqref="S10">
    <cfRule type="cellIs" dxfId="0" priority="16" operator="lessThanOrEqual">
      <formula>I10</formula>
    </cfRule>
  </conditionalFormatting>
  <conditionalFormatting sqref="S11">
    <cfRule type="cellIs" dxfId="0" priority="18" operator="lessThanOrEqual">
      <formula>I11</formula>
    </cfRule>
  </conditionalFormatting>
  <conditionalFormatting sqref="S13">
    <cfRule type="cellIs" dxfId="0" priority="20" operator="lessThanOrEqual">
      <formula>I13</formula>
    </cfRule>
  </conditionalFormatting>
  <conditionalFormatting sqref="S15">
    <cfRule type="cellIs" dxfId="0" priority="22" operator="lessThanOrEqual">
      <formula>I15</formula>
    </cfRule>
  </conditionalFormatting>
  <conditionalFormatting sqref="S9">
    <cfRule type="cellIs" dxfId="0" priority="14" operator="lessThanOrEqual">
      <formula>I9</formula>
    </cfRule>
  </conditionalFormatting>
  <conditionalFormatting sqref="X11">
    <cfRule type="cellIs" dxfId="0" priority="23" operator="lessThanOrEqual">
      <formula>H11</formula>
    </cfRule>
  </conditionalFormatting>
  <conditionalFormatting sqref="X14">
    <cfRule type="cellIs" dxfId="0" priority="25" operator="lessThanOrEqual">
      <formula>H14</formula>
    </cfRule>
  </conditionalFormatting>
  <conditionalFormatting sqref="Y11">
    <cfRule type="cellIs" dxfId="0" priority="24" operator="lessThanOrEqual">
      <formula>I11</formula>
    </cfRule>
  </conditionalFormatting>
  <conditionalFormatting sqref="Y14">
    <cfRule type="cellIs" dxfId="0" priority="26" operator="lessThanOrEqual">
      <formula>I14</formula>
    </cfRule>
  </conditionalFormatting>
  <hyperlinks>
    <hyperlink ref="O9" r:id="rId1"/>
    <hyperlink ref="U9" r:id="rId2"/>
    <hyperlink ref="O10" r:id="rId3"/>
    <hyperlink ref="U10" r:id="rId4"/>
    <hyperlink ref="AA10" r:id="rId5"/>
    <hyperlink ref="O11" r:id="rId6"/>
    <hyperlink ref="U11" r:id="rId7"/>
    <hyperlink ref="AA11" r:id="rId8"/>
    <hyperlink ref="AG11" r:id="rId9"/>
    <hyperlink ref="AG12" r:id="rId10"/>
    <hyperlink ref="O13" r:id="rId11"/>
    <hyperlink ref="U13" r:id="rId12"/>
    <hyperlink ref="AA13" r:id="rId13"/>
    <hyperlink ref="O14" r:id="rId14"/>
    <hyperlink ref="U14" r:id="rId15"/>
    <hyperlink ref="AA14" r:id="rId16"/>
    <hyperlink ref="O15" r:id="rId17"/>
    <hyperlink ref="U15" r:id="rId18"/>
    <hyperlink ref="AA15" r:id="rId19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KiCost</vt:lpstr>
      <vt:lpstr>BoardQty</vt:lpstr>
      <vt:lpstr>digikey_part_data</vt:lpstr>
      <vt:lpstr>global_part_data</vt:lpstr>
      <vt:lpstr>local_part_data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2016-06-13T03:02:06Z</dcterms:created>
  <dcterms:modified xsi:type="dcterms:W3CDTF">2016-06-13T03:02:06Z</dcterms:modified>
</cp:coreProperties>
</file>