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KiCost!$J$5:$O$36</definedName>
    <definedName name="global_part_data">KiCost!$A$5:$I$36</definedName>
    <definedName name="mouser_part_data">KiCost!$P$5:$U$36</definedName>
    <definedName name="newark_part_data">KiCost!$V$5:$AA$36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<sst xmlns="http://schemas.openxmlformats.org/spreadsheetml/2006/main" count="263" uniqueCount="166">
  <si>
    <t>Global Part Info</t>
  </si>
  <si>
    <t>Ext$</t>
  </si>
  <si>
    <t>Value</t>
  </si>
  <si>
    <t>Unit$</t>
  </si>
  <si>
    <t>Refs</t>
  </si>
  <si>
    <t>Manf#</t>
  </si>
  <si>
    <t>Desc</t>
  </si>
  <si>
    <t>Footprint</t>
  </si>
  <si>
    <t>Manf</t>
  </si>
  <si>
    <t>Qty</t>
  </si>
  <si>
    <t>R1,R26,R60,R61</t>
  </si>
  <si>
    <t>0</t>
  </si>
  <si>
    <t>Footprints:SM0402_r_YDF</t>
  </si>
  <si>
    <t>Yageo</t>
  </si>
  <si>
    <t>RC0402JR-070RL</t>
  </si>
  <si>
    <t>J5</t>
  </si>
  <si>
    <t>MOLEX_TH_USB</t>
  </si>
  <si>
    <t>Footprints:MOLEX-MINIB-USB-TH</t>
  </si>
  <si>
    <t>Molex</t>
  </si>
  <si>
    <t>500075-1517</t>
  </si>
  <si>
    <t>R2,R25</t>
  </si>
  <si>
    <t>4.7k</t>
  </si>
  <si>
    <t>Panasonic</t>
  </si>
  <si>
    <t>ERJ-2RKF4701X</t>
  </si>
  <si>
    <t>R69</t>
  </si>
  <si>
    <t>1M</t>
  </si>
  <si>
    <t>NO-INSTALL</t>
  </si>
  <si>
    <t>Footprints:SM0805_YDF_Sunnee</t>
  </si>
  <si>
    <t>C35,C37</t>
  </si>
  <si>
    <t>0.1 uF</t>
  </si>
  <si>
    <t>Footprints:SM0402_c_YDF_Sunnee</t>
  </si>
  <si>
    <t>TDK</t>
  </si>
  <si>
    <t>C1005X7R1E104K050BB</t>
  </si>
  <si>
    <t>R27,R53-R55</t>
  </si>
  <si>
    <t>R8</t>
  </si>
  <si>
    <t>100k</t>
  </si>
  <si>
    <t>U6</t>
  </si>
  <si>
    <t>LP3982IMMX-3.3</t>
  </si>
  <si>
    <t>Footprints:LP3982-VSSOP8</t>
  </si>
  <si>
    <t>TI</t>
  </si>
  <si>
    <t>LP3982IMM-3.3/NOPB</t>
  </si>
  <si>
    <t>C10,C16,C18,C20,C21</t>
  </si>
  <si>
    <t>10 uF</t>
  </si>
  <si>
    <t>Footprints:SM0603_Capa_ydf_sunnee</t>
  </si>
  <si>
    <t>Samsung</t>
  </si>
  <si>
    <t>CL10A106MQ8NNNC</t>
  </si>
  <si>
    <t>R22,R70</t>
  </si>
  <si>
    <t>R28</t>
  </si>
  <si>
    <t>330</t>
  </si>
  <si>
    <t>RC0402FR-07330RL</t>
  </si>
  <si>
    <t>R3</t>
  </si>
  <si>
    <t>0.05</t>
  </si>
  <si>
    <t>Vishay Dale</t>
  </si>
  <si>
    <t>CRCW08050000Z0EAHP</t>
  </si>
  <si>
    <t>C13</t>
  </si>
  <si>
    <t>Taiyo-Yuden</t>
  </si>
  <si>
    <t>TMK107BJ104KA-T</t>
  </si>
  <si>
    <t>J6</t>
  </si>
  <si>
    <t>CONN_4</t>
  </si>
  <si>
    <t>Footprints:HIROSE_FH19C_YDF_Sunnee</t>
  </si>
  <si>
    <t>Hirose</t>
  </si>
  <si>
    <t>FH19C-4S-0.5SH(05)</t>
  </si>
  <si>
    <t>R6,R9,R21</t>
  </si>
  <si>
    <t>RC0402FR-07100KL</t>
  </si>
  <si>
    <t>R62,R64</t>
  </si>
  <si>
    <t>U7</t>
  </si>
  <si>
    <t>MCP98243-BE/ST</t>
  </si>
  <si>
    <t>Footprints:SOIC8_MICROCHIP_YDF</t>
  </si>
  <si>
    <t>Microchip</t>
  </si>
  <si>
    <t xml:space="preserve">MCP98243-BE/ST    </t>
  </si>
  <si>
    <t>C12</t>
  </si>
  <si>
    <t>22 pF</t>
  </si>
  <si>
    <t>Yaego</t>
  </si>
  <si>
    <t>CC0402JRNPO9BN220</t>
  </si>
  <si>
    <t>D2</t>
  </si>
  <si>
    <t>RED</t>
  </si>
  <si>
    <t>Footprints:LED-0603_YDF_Sunnee</t>
  </si>
  <si>
    <t>Lumex Opto</t>
  </si>
  <si>
    <t>SML-LX0603SRW-TR</t>
  </si>
  <si>
    <t>R30,R32,R52</t>
  </si>
  <si>
    <t>10k</t>
  </si>
  <si>
    <t>C19</t>
  </si>
  <si>
    <t>0.033 uF</t>
  </si>
  <si>
    <t>Kemet</t>
  </si>
  <si>
    <t>C0402C333K4RACTU</t>
  </si>
  <si>
    <t>U9</t>
  </si>
  <si>
    <t>24AA128ISN</t>
  </si>
  <si>
    <t>Footprints:SO8_YDF</t>
  </si>
  <si>
    <t>C5,C7</t>
  </si>
  <si>
    <t>8 pF</t>
  </si>
  <si>
    <t>C1005C0G1H040B050BA</t>
  </si>
  <si>
    <t>R23,R24,R31,R33,R47</t>
  </si>
  <si>
    <t>RC0402FR-0710KL</t>
  </si>
  <si>
    <t>DH1-DH4</t>
  </si>
  <si>
    <t>YDF_TAU_HOLE</t>
  </si>
  <si>
    <t>Footprints:YDF_TAU_HOLE</t>
  </si>
  <si>
    <t>R20</t>
  </si>
  <si>
    <t>RC0402FR-071ML</t>
  </si>
  <si>
    <t>C4,C6,C14,C15,C26-C29,C32</t>
  </si>
  <si>
    <t>LMK105BJ104KV-F</t>
  </si>
  <si>
    <t>C17</t>
  </si>
  <si>
    <t>4700 pF</t>
  </si>
  <si>
    <t>Footprints:SM1812</t>
  </si>
  <si>
    <t>Murata</t>
  </si>
  <si>
    <t>GA343DR7GD472KW01L</t>
  </si>
  <si>
    <t>TP3,TP4</t>
  </si>
  <si>
    <t>TESTPOINT</t>
  </si>
  <si>
    <t>Footprints:TESTPOINT2</t>
  </si>
  <si>
    <t>C1,C30,C31</t>
  </si>
  <si>
    <t>2.2 uF</t>
  </si>
  <si>
    <t>JMK107BJ225KA-T</t>
  </si>
  <si>
    <t>Board Qty:</t>
  </si>
  <si>
    <t>Total Cost:</t>
  </si>
  <si>
    <t>Unit Cost:</t>
  </si>
  <si>
    <t>Digi-Key</t>
  </si>
  <si>
    <t>Purch</t>
  </si>
  <si>
    <t>Cat#</t>
  </si>
  <si>
    <t>Avail</t>
  </si>
  <si>
    <t>Doc</t>
  </si>
  <si>
    <t>311-0.0JRCT-ND</t>
  </si>
  <si>
    <t>Link</t>
  </si>
  <si>
    <t>WM2072-ND</t>
  </si>
  <si>
    <t>P4.70KLCT-ND</t>
  </si>
  <si>
    <t>445-7348-1-ND</t>
  </si>
  <si>
    <t>LP3982IMM-3.3/NOPBCT-ND</t>
  </si>
  <si>
    <t>1276-1119-1-ND</t>
  </si>
  <si>
    <t>311-330LRCT-ND</t>
  </si>
  <si>
    <t>541-0.0TBCT-ND</t>
  </si>
  <si>
    <t>587-1245-1-ND</t>
  </si>
  <si>
    <t>HFN404CT-ND</t>
  </si>
  <si>
    <t>311-100KLRCT-ND</t>
  </si>
  <si>
    <t>MCP98243-BE/ST-ND</t>
  </si>
  <si>
    <t>311-1018-1-ND</t>
  </si>
  <si>
    <t>67-1551-1-ND</t>
  </si>
  <si>
    <t>399-4891-1-ND</t>
  </si>
  <si>
    <t>24AA128-I/SN-ND</t>
  </si>
  <si>
    <t>445-4876-1-ND</t>
  </si>
  <si>
    <t>311-10.0KLRCT-ND</t>
  </si>
  <si>
    <t>311-1.00MLRCT-ND</t>
  </si>
  <si>
    <t>587-1227-1-ND</t>
  </si>
  <si>
    <t>490-3493-1-ND</t>
  </si>
  <si>
    <t>587-1254-1-ND</t>
  </si>
  <si>
    <t>Mouser</t>
  </si>
  <si>
    <t>Newark</t>
  </si>
  <si>
    <t>67R9963</t>
  </si>
  <si>
    <t>93K4120</t>
  </si>
  <si>
    <t>64R5288</t>
  </si>
  <si>
    <t>04X3227</t>
  </si>
  <si>
    <t>41K7927</t>
  </si>
  <si>
    <t>30K5476</t>
  </si>
  <si>
    <t>67R9927</t>
  </si>
  <si>
    <t>68R2993</t>
  </si>
  <si>
    <t>86H5300</t>
  </si>
  <si>
    <t>68X2657</t>
  </si>
  <si>
    <t>67R9887</t>
  </si>
  <si>
    <t>14R8886</t>
  </si>
  <si>
    <t>68R4606</t>
  </si>
  <si>
    <t>09J9551</t>
  </si>
  <si>
    <t>53M7167</t>
  </si>
  <si>
    <t>92C6842</t>
  </si>
  <si>
    <t>91R0018</t>
  </si>
  <si>
    <t>67R9884</t>
  </si>
  <si>
    <t>67R9882</t>
  </si>
  <si>
    <t>86H5618</t>
  </si>
  <si>
    <t>31Y1700</t>
  </si>
  <si>
    <t>86H5268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</si>
</sst>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RC0402JR-070RL/311-0.0JRCT-ND/729353" TargetMode="External"/><Relationship Id="rId2" Type="http://schemas.openxmlformats.org/officeDocument/2006/relationships/hyperlink" Target="http://www.newark.com/yageo/rc0402jr-070rl/res-thick-film-0r-0-0625w-0402/dp/67R9963" TargetMode="External"/><Relationship Id="rId3" Type="http://schemas.openxmlformats.org/officeDocument/2006/relationships/hyperlink" Target="http://www.digikey.com/scripts/DkSearch/dksus.dll?WT.z_header=search_go&amp;lang=en&amp;keywords=500075-1517" TargetMode="External"/><Relationship Id="rId4" Type="http://schemas.openxmlformats.org/officeDocument/2006/relationships/hyperlink" Target="http://www.newark.com/webapp/wcs/stores/servlet/Search?catalogId=15003&amp;langId=-1&amp;storeId=10194&amp;gs=true&amp;st=500075-1517" TargetMode="External"/><Relationship Id="rId5" Type="http://schemas.openxmlformats.org/officeDocument/2006/relationships/hyperlink" Target="http://www.digikey.com/product-detail/en/ERJ-2RKF4701X/P4.70KLCT-ND/1746692" TargetMode="External"/><Relationship Id="rId6" Type="http://schemas.openxmlformats.org/officeDocument/2006/relationships/hyperlink" Target="http://www.newark.com/panasonic-electronic-components/erj-2rkf4701x/res-thick-film-4k7-1-0-1w-0402/dp/64R5288" TargetMode="External"/><Relationship Id="rId7" Type="http://schemas.openxmlformats.org/officeDocument/2006/relationships/hyperlink" Target="http://www.digikey.com/product-detail/en/C1005X7R1E104K050BB/445-7348-1-ND/2733420" TargetMode="External"/><Relationship Id="rId8" Type="http://schemas.openxmlformats.org/officeDocument/2006/relationships/hyperlink" Target="http://www.newark.com/tdk/c1005x7r1e104k050bb/ceramic-capacitor-0-1uf-25v-x7r/dp/04X3227" TargetMode="External"/><Relationship Id="rId9" Type="http://schemas.openxmlformats.org/officeDocument/2006/relationships/hyperlink" Target="http://www.digikey.com/product-detail/en/LP3982IMM-3.3%2FNOPB/LP3982IMM-3.3%2FNOPBCT-ND/570192" TargetMode="External"/><Relationship Id="rId10" Type="http://schemas.openxmlformats.org/officeDocument/2006/relationships/hyperlink" Target="http://www.newark.com/texas-instruments/lp3982imm-3-3-nopb/ldo-voltage-regulator-3-3v-0-3a/dp/41K7927" TargetMode="External"/><Relationship Id="rId11" Type="http://schemas.openxmlformats.org/officeDocument/2006/relationships/hyperlink" Target="http://www.digikey.com/product-detail/en/CL10A106MQ8NNNC/1276-1119-1-ND/3889205" TargetMode="External"/><Relationship Id="rId12" Type="http://schemas.openxmlformats.org/officeDocument/2006/relationships/hyperlink" Target="http://www.newark.com/taiyo-yuden/jmk107bj106ma-t/ceramic-capacitor-10uf-6-3v-x5r/dp/30K5476" TargetMode="External"/><Relationship Id="rId13" Type="http://schemas.openxmlformats.org/officeDocument/2006/relationships/hyperlink" Target="http://www.digikey.com/product-detail/en/RC0402FR-07330RL/311-330LRCT-ND/729541" TargetMode="External"/><Relationship Id="rId14" Type="http://schemas.openxmlformats.org/officeDocument/2006/relationships/hyperlink" Target="http://www.newark.com/yageo/rc0402fr-07330rl/res-thick-film-330r-1-0-0625w/dp/67R9927" TargetMode="External"/><Relationship Id="rId15" Type="http://schemas.openxmlformats.org/officeDocument/2006/relationships/hyperlink" Target="http://www.digikey.com/product-detail/en/CRCW08050000Z0EAHP/541-0.0TBCT-ND/2222831" TargetMode="External"/><Relationship Id="rId16" Type="http://schemas.openxmlformats.org/officeDocument/2006/relationships/hyperlink" Target="http://www.newark.com/vishay-dale/crcw08050000z0eahp/res-thick-film-0r-0-33w-0805/dp/68R2993" TargetMode="External"/><Relationship Id="rId17" Type="http://schemas.openxmlformats.org/officeDocument/2006/relationships/hyperlink" Target="http://www.digikey.com/product-detail/en/TMK107BJ104KA-T/587-1245-1-ND/931022" TargetMode="External"/><Relationship Id="rId18" Type="http://schemas.openxmlformats.org/officeDocument/2006/relationships/hyperlink" Target="http://www.newark.com/taiyo-yuden/tmk107bj104ka-t/ceramic-capacitor-0-1uf-25v-x5r/dp/86H5300" TargetMode="External"/><Relationship Id="rId19" Type="http://schemas.openxmlformats.org/officeDocument/2006/relationships/hyperlink" Target="http://www.digikey.com/product-detail/en/FH19C-4S-0.5SH(05)/HFN404CT-ND/1124164" TargetMode="External"/><Relationship Id="rId20" Type="http://schemas.openxmlformats.org/officeDocument/2006/relationships/hyperlink" Target="http://www.newark.com/webapp/wcs/stores/servlet/Search?catalogId=15003&amp;langId=-1&amp;storeId=10194&amp;gs=true&amp;st=FH19C-4S-0.5SH%2805%29" TargetMode="External"/><Relationship Id="rId21" Type="http://schemas.openxmlformats.org/officeDocument/2006/relationships/hyperlink" Target="http://www.digikey.com/product-detail/en/RC0402FR-07100KL/311-100KLRCT-ND/729473" TargetMode="External"/><Relationship Id="rId22" Type="http://schemas.openxmlformats.org/officeDocument/2006/relationships/hyperlink" Target="http://www.newark.com/yageo/rc0402fr-07100kl/res-thick-film-100k-1-0-0625w/dp/67R9887" TargetMode="External"/><Relationship Id="rId23" Type="http://schemas.openxmlformats.org/officeDocument/2006/relationships/hyperlink" Target="http://www.digikey.com/scripts/DkSearch/dksus.dll?WT.z_header=search_go&amp;lang=en&amp;keywords=MCP98243-BE%2FST%20%20%20%20" TargetMode="External"/><Relationship Id="rId24" Type="http://schemas.openxmlformats.org/officeDocument/2006/relationships/hyperlink" Target="http://www.newark.com/webapp/wcs/stores/servlet/Search?catalogId=15003&amp;langId=-1&amp;storeId=10194&amp;gs=true&amp;st=MCP98243-BE%2FST%20%20%20%20" TargetMode="External"/><Relationship Id="rId25" Type="http://schemas.openxmlformats.org/officeDocument/2006/relationships/hyperlink" Target="http://www.digikey.com/product-detail/en/CC0402JRNPO9BN220/311-1018-1-ND/302935" TargetMode="External"/><Relationship Id="rId26" Type="http://schemas.openxmlformats.org/officeDocument/2006/relationships/hyperlink" Target="http://www.newark.com/yageo/cc0402jrnpo9bn220/ceramic-capacitor-22pf-50v-c0g/dp/68R4606" TargetMode="External"/><Relationship Id="rId27" Type="http://schemas.openxmlformats.org/officeDocument/2006/relationships/hyperlink" Target="http://www.digikey.com/product-detail/en/SML-LX0603SRW-TR/67-1551-1-ND/304364" TargetMode="External"/><Relationship Id="rId28" Type="http://schemas.openxmlformats.org/officeDocument/2006/relationships/hyperlink" Target="http://www.newark.com/lumex/sml-lx0603srw-tr/led-red-0-8mm-x-1mm-45mcd-660nm/dp/09J9551" TargetMode="External"/><Relationship Id="rId29" Type="http://schemas.openxmlformats.org/officeDocument/2006/relationships/hyperlink" Target="http://www.digikey.com/product-detail/en/C0402C333K4RACTU/399-4891-1-ND/1090886" TargetMode="External"/><Relationship Id="rId30" Type="http://schemas.openxmlformats.org/officeDocument/2006/relationships/hyperlink" Target="http://www.newark.com/webapp/wcs/stores/servlet/Search?catalogId=15003&amp;langId=-1&amp;storeId=10194&amp;gs=true&amp;st=C0402C333K4RACTU" TargetMode="External"/><Relationship Id="rId31" Type="http://schemas.openxmlformats.org/officeDocument/2006/relationships/hyperlink" Target="http://www.digikey.com/product-detail/en/24AA128-I%2FSN/24AA128-I%2FSN-ND/442845" TargetMode="External"/><Relationship Id="rId32" Type="http://schemas.openxmlformats.org/officeDocument/2006/relationships/hyperlink" Target="http://www.newark.com/webapp/wcs/stores/servlet/Search?catalogId=15003&amp;langId=-1&amp;storeId=10194&amp;gs=true&amp;st=24AA128ISN" TargetMode="External"/><Relationship Id="rId33" Type="http://schemas.openxmlformats.org/officeDocument/2006/relationships/hyperlink" Target="http://www.digikey.com/product-detail/en/C1005C0G1H040B050BA/445-4876-1-ND/2093490" TargetMode="External"/><Relationship Id="rId34" Type="http://schemas.openxmlformats.org/officeDocument/2006/relationships/hyperlink" Target="http://www.newark.com/webapp/wcs/stores/servlet/Search?catalogId=15003&amp;langId=-1&amp;storeId=10194&amp;gs=true&amp;st=C1005C0G1H040B050BA" TargetMode="External"/><Relationship Id="rId35" Type="http://schemas.openxmlformats.org/officeDocument/2006/relationships/hyperlink" Target="http://www.digikey.com/product-detail/en/RC0402FR-0710KL/311-10.0KLRCT-ND/729470" TargetMode="External"/><Relationship Id="rId36" Type="http://schemas.openxmlformats.org/officeDocument/2006/relationships/hyperlink" Target="http://www.newark.com/yageo/rc0402fr-0710kl/res-thick-film-10k-1-0-0625w-0402/dp/67R9884" TargetMode="External"/><Relationship Id="rId37" Type="http://schemas.openxmlformats.org/officeDocument/2006/relationships/hyperlink" Target="http://www.digikey.com/product-detail/en/RC0402FR-071ML/311-1.00MLRCT-ND/729462" TargetMode="External"/><Relationship Id="rId38" Type="http://schemas.openxmlformats.org/officeDocument/2006/relationships/hyperlink" Target="http://www.newark.com/yageo/rc0402fr-071ml/res-thick-film-1m-1-0-0625w-0402/dp/67R9882" TargetMode="External"/><Relationship Id="rId39" Type="http://schemas.openxmlformats.org/officeDocument/2006/relationships/hyperlink" Target="http://www.digikey.com/product-detail/en/LMK105BJ104KV-F/587-1227-1-ND/931004" TargetMode="External"/><Relationship Id="rId40" Type="http://schemas.openxmlformats.org/officeDocument/2006/relationships/hyperlink" Target="http://www.newark.com/taiyo-yuden/lmk105bj104kv-f/ceramic-capacitor-0-1uf-10v-x5r/dp/86H5618" TargetMode="External"/><Relationship Id="rId41" Type="http://schemas.openxmlformats.org/officeDocument/2006/relationships/hyperlink" Target="http://www.digikey.com/product-detail/en/GA343DR7GD472KW01L/490-3493-1-ND/789327" TargetMode="External"/><Relationship Id="rId42" Type="http://schemas.openxmlformats.org/officeDocument/2006/relationships/hyperlink" Target="http://www.newark.com/webapp/wcs/stores/servlet/Search?catalogId=15003&amp;langId=-1&amp;storeId=10194&amp;gs=true&amp;st=GA343DR7GD472KW01L" TargetMode="External"/><Relationship Id="rId43" Type="http://schemas.openxmlformats.org/officeDocument/2006/relationships/hyperlink" Target="http://www.digikey.com/product-detail/en/JMK107BJ225KA-T/587-1254-1-ND/931031" TargetMode="External"/><Relationship Id="rId44" Type="http://schemas.openxmlformats.org/officeDocument/2006/relationships/hyperlink" Target="http://www.newark.com/taiyo-yuden/jmk107bj225ka-t/ceramic-capacitor-2-2uf-6-3v-x5r/dp/86H5268" TargetMode="External"/><Relationship Id="rId45" Type="http://schemas.openxmlformats.org/officeDocument/2006/relationships/vmlDrawing" Target="../drawings/vmlDrawing1.vml"/><Relationship Id="rId4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7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111</v>
      </c>
      <c r="I1" s="2">
        <v>100</v>
      </c>
    </row>
    <row r="2" spans="1:27">
      <c r="H2" s="3" t="s">
        <v>112</v>
      </c>
      <c r="I2" s="4">
        <f>sum(I7:I36)</f>
        <v>0</v>
      </c>
      <c r="M2" s="4">
        <f>sum(M7:M36)</f>
        <v>0</v>
      </c>
      <c r="S2" s="4">
        <f>sum(S7:S36)</f>
        <v>0</v>
      </c>
      <c r="Y2" s="4">
        <f>sum(Y7:Y36)</f>
        <v>0</v>
      </c>
    </row>
    <row r="3" spans="1:27">
      <c r="H3" s="3" t="s">
        <v>113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114</v>
      </c>
      <c r="K5" s="7"/>
      <c r="L5" s="7"/>
      <c r="M5" s="7"/>
      <c r="N5" s="7"/>
      <c r="O5" s="7"/>
      <c r="P5" s="8" t="s">
        <v>142</v>
      </c>
      <c r="Q5" s="8"/>
      <c r="R5" s="8"/>
      <c r="S5" s="8"/>
      <c r="T5" s="8"/>
      <c r="U5" s="8"/>
      <c r="V5" s="9" t="s">
        <v>143</v>
      </c>
      <c r="W5" s="9"/>
      <c r="X5" s="9"/>
      <c r="Y5" s="9"/>
      <c r="Z5" s="9"/>
      <c r="AA5" s="9"/>
    </row>
    <row r="6" spans="1:27">
      <c r="A6" s="10" t="s">
        <v>4</v>
      </c>
      <c r="B6" s="10" t="s">
        <v>2</v>
      </c>
      <c r="C6" s="10" t="s">
        <v>6</v>
      </c>
      <c r="D6" s="10" t="s">
        <v>7</v>
      </c>
      <c r="E6" s="10" t="s">
        <v>8</v>
      </c>
      <c r="F6" s="10" t="s">
        <v>5</v>
      </c>
      <c r="G6" s="10" t="s">
        <v>9</v>
      </c>
      <c r="H6" s="10" t="s">
        <v>3</v>
      </c>
      <c r="I6" s="10" t="s">
        <v>1</v>
      </c>
      <c r="J6" s="10" t="s">
        <v>117</v>
      </c>
      <c r="K6" s="10" t="s">
        <v>115</v>
      </c>
      <c r="L6" s="10" t="s">
        <v>3</v>
      </c>
      <c r="M6" s="10" t="s">
        <v>1</v>
      </c>
      <c r="N6" s="10" t="s">
        <v>116</v>
      </c>
      <c r="O6" s="10" t="s">
        <v>118</v>
      </c>
      <c r="P6" s="10" t="s">
        <v>117</v>
      </c>
      <c r="Q6" s="10" t="s">
        <v>115</v>
      </c>
      <c r="R6" s="10" t="s">
        <v>3</v>
      </c>
      <c r="S6" s="10" t="s">
        <v>1</v>
      </c>
      <c r="T6" s="10" t="s">
        <v>116</v>
      </c>
      <c r="U6" s="10" t="s">
        <v>118</v>
      </c>
      <c r="V6" s="10" t="s">
        <v>117</v>
      </c>
      <c r="W6" s="10" t="s">
        <v>115</v>
      </c>
      <c r="X6" s="10" t="s">
        <v>3</v>
      </c>
      <c r="Y6" s="10" t="s">
        <v>1</v>
      </c>
      <c r="Z6" s="10" t="s">
        <v>116</v>
      </c>
      <c r="AA6" s="10" t="s">
        <v>118</v>
      </c>
    </row>
    <row r="7" spans="1:27">
      <c r="A7" t="s">
        <v>10</v>
      </c>
      <c r="B7" t="s">
        <v>11</v>
      </c>
      <c r="D7" t="s">
        <v>12</v>
      </c>
      <c r="E7" t="s">
        <v>13</v>
      </c>
      <c r="F7" t="s">
        <v>14</v>
      </c>
      <c r="G7">
        <f>BoardQty*4</f>
        <v>0</v>
      </c>
      <c r="H7" s="11">
        <f>MINA(INDIRECT(ADDRESS(ROW(),COLUMN(newark_part_data)+2)),INDIRECT(ADDRESS(ROW(),COLUMN(mouser_part_data)+2)),INDIRECT(ADDRESS(ROW(),COLUMN(digikey_part_data)+2)))</f>
        <v>0</v>
      </c>
      <c r="I7" s="11">
        <f>iferror(G7*H7,"")</f>
        <v>0</v>
      </c>
      <c r="J7">
        <v>8962</v>
      </c>
      <c r="L7" s="11">
        <f>iferror(lookup(if(K7="",G7,K7),{0,1,10,25,100,250,500,1000,2500,5000,10000,30000,50000,100000},{0.0,0.1,0.013,0.0092,0.0053,0.004,0.0032,0.00236,0.00205,0.00169,0.00134,0.00117,0.00108,0.00106}),"")</f>
        <v>0</v>
      </c>
      <c r="M7" s="11">
        <f>iferror(if(K7="",G7,K7)*L7,"")</f>
        <v>0</v>
      </c>
      <c r="N7" t="s">
        <v>119</v>
      </c>
      <c r="O7" s="12" t="s">
        <v>120</v>
      </c>
      <c r="V7">
        <v>4259</v>
      </c>
      <c r="X7" s="11">
        <f>iferror(lookup(if(W7="",G7,W7),{0,1,10,25,100,250,1000},{0.0,0.08,0.014,0.009,0.006,0.004,0.002}),"")</f>
        <v>0</v>
      </c>
      <c r="Y7" s="11">
        <f>iferror(if(W7="",G7,W7)*X7,"")</f>
        <v>0</v>
      </c>
      <c r="Z7" t="s">
        <v>144</v>
      </c>
      <c r="AA7" s="12" t="s">
        <v>120</v>
      </c>
    </row>
    <row r="8" spans="1:27">
      <c r="A8" t="s">
        <v>15</v>
      </c>
      <c r="B8" t="s">
        <v>16</v>
      </c>
      <c r="D8" t="s">
        <v>17</v>
      </c>
      <c r="E8" t="s">
        <v>18</v>
      </c>
      <c r="F8" t="s">
        <v>19</v>
      </c>
      <c r="G8">
        <f>BoardQty*1</f>
        <v>0</v>
      </c>
      <c r="H8" s="11">
        <f>MINA(INDIRECT(ADDRESS(ROW(),COLUMN(newark_part_data)+2)),INDIRECT(ADDRESS(ROW(),COLUMN(mouser_part_data)+2)),INDIRECT(ADDRESS(ROW(),COLUMN(digikey_part_data)+2)))</f>
        <v>0</v>
      </c>
      <c r="I8" s="11">
        <f>iferror(G8*H8,"")</f>
        <v>0</v>
      </c>
      <c r="J8">
        <v>5256</v>
      </c>
      <c r="L8" s="11">
        <f>iferror(lookup(if(K8="",G8,K8),{0,1,10,50,100,250,500,1000,2500,5000},{0.0,4.77,4.577,4.0044,3.8138,3.33708,3.24174,2.76501,2.57432,2.47897}),"")</f>
        <v>0</v>
      </c>
      <c r="M8" s="11">
        <f>iferror(if(K8="",G8,K8)*L8,"")</f>
        <v>0</v>
      </c>
      <c r="N8" t="s">
        <v>121</v>
      </c>
      <c r="O8" s="12" t="s">
        <v>120</v>
      </c>
      <c r="V8">
        <v>673</v>
      </c>
      <c r="X8" s="11">
        <f>iferror(lookup(if(W8="",G8,W8),{0,1,10,25,50,100,250,500,1000},{0.0,4.69,4.52,4.31,4.0,3.81,3.33,3.24,2.71}),"")</f>
        <v>0</v>
      </c>
      <c r="Y8" s="11">
        <f>iferror(if(W8="",G8,W8)*X8,"")</f>
        <v>0</v>
      </c>
      <c r="Z8" t="s">
        <v>145</v>
      </c>
      <c r="AA8" s="12" t="s">
        <v>120</v>
      </c>
    </row>
    <row r="9" spans="1:27">
      <c r="A9" t="s">
        <v>20</v>
      </c>
      <c r="B9" t="s">
        <v>21</v>
      </c>
      <c r="D9" t="s">
        <v>12</v>
      </c>
      <c r="E9" t="s">
        <v>22</v>
      </c>
      <c r="F9" t="s">
        <v>23</v>
      </c>
      <c r="G9">
        <f>BoardQty*2</f>
        <v>0</v>
      </c>
      <c r="H9" s="11">
        <f>MINA(INDIRECT(ADDRESS(ROW(),COLUMN(newark_part_data)+2)),INDIRECT(ADDRESS(ROW(),COLUMN(mouser_part_data)+2)),INDIRECT(ADDRESS(ROW(),COLUMN(digikey_part_data)+2)))</f>
        <v>0</v>
      </c>
      <c r="I9" s="11">
        <f>iferror(G9*H9,"")</f>
        <v>0</v>
      </c>
      <c r="J9">
        <v>3654012</v>
      </c>
      <c r="L9" s="11">
        <f>iferror(lookup(if(K9="",G9,K9),{0,1,50,100,250,500,1000,5000,10000,30000,50000,100000},{0.0,0.1,0.015,0.011,0.0084,0.00674,0.00496,0.00355,0.00281,0.00247,0.00226,0.00222}),"")</f>
        <v>0</v>
      </c>
      <c r="M9" s="11">
        <f>iferror(if(K9="",G9,K9)*L9,"")</f>
        <v>0</v>
      </c>
      <c r="N9" t="s">
        <v>122</v>
      </c>
      <c r="O9" s="12" t="s">
        <v>120</v>
      </c>
      <c r="V9">
        <v>9015</v>
      </c>
      <c r="X9" s="11">
        <f>iferror(lookup(if(W9="",G9,W9),{0,1,50,100,250,500,1000,5000},{0.0,0.1,0.019,0.014,0.011,0.008,0.005,0.004}),"")</f>
        <v>0</v>
      </c>
      <c r="Y9" s="11">
        <f>iferror(if(W9="",G9,W9)*X9,"")</f>
        <v>0</v>
      </c>
      <c r="Z9" t="s">
        <v>146</v>
      </c>
      <c r="AA9" s="12" t="s">
        <v>120</v>
      </c>
    </row>
    <row r="10" spans="1:27">
      <c r="A10" t="s">
        <v>24</v>
      </c>
      <c r="B10" t="s">
        <v>25</v>
      </c>
      <c r="C10" t="s">
        <v>26</v>
      </c>
      <c r="D10" t="s">
        <v>27</v>
      </c>
      <c r="G10">
        <f>BoardQty*1</f>
        <v>0</v>
      </c>
      <c r="H10" s="11">
        <f>MINA(INDIRECT(ADDRESS(ROW(),COLUMN(newark_part_data)+2)),INDIRECT(ADDRESS(ROW(),COLUMN(mouser_part_data)+2)),INDIRECT(ADDRESS(ROW(),COLUMN(digikey_part_data)+2)))</f>
        <v>0</v>
      </c>
      <c r="I10" s="11">
        <f>iferror(G10*H10,"")</f>
        <v>0</v>
      </c>
    </row>
    <row r="11" spans="1:27">
      <c r="A11" t="s">
        <v>28</v>
      </c>
      <c r="B11" t="s">
        <v>29</v>
      </c>
      <c r="D11" t="s">
        <v>30</v>
      </c>
      <c r="E11" t="s">
        <v>31</v>
      </c>
      <c r="F11" t="s">
        <v>32</v>
      </c>
      <c r="G11">
        <f>BoardQty*2</f>
        <v>0</v>
      </c>
      <c r="H11" s="11">
        <f>MINA(INDIRECT(ADDRESS(ROW(),COLUMN(newark_part_data)+2)),INDIRECT(ADDRESS(ROW(),COLUMN(mouser_part_data)+2)),INDIRECT(ADDRESS(ROW(),COLUMN(digikey_part_data)+2)))</f>
        <v>0</v>
      </c>
      <c r="I11" s="11">
        <f>iferror(G11*H11,"")</f>
        <v>0</v>
      </c>
      <c r="J11">
        <v>661941</v>
      </c>
      <c r="L11" s="11">
        <f>iferror(lookup(if(K11="",G11,K11),{0,1,10,100,250,500,1000,5000,10000,20000,30000,50000,100000},{0.0,0.12,0.084,0.0385,0.03152,0.02696,0.021,0.0175,0.0147,0.014,0.0133,0.0119,0.00963}),"")</f>
        <v>0</v>
      </c>
      <c r="M11" s="11">
        <f>iferror(if(K11="",G11,K11)*L11,"")</f>
        <v>0</v>
      </c>
      <c r="N11" t="s">
        <v>123</v>
      </c>
      <c r="O11" s="12" t="s">
        <v>120</v>
      </c>
      <c r="V11">
        <v>59214</v>
      </c>
      <c r="X11" s="11">
        <f>iferror(lookup(if(W11="",G11,W11),{0,1,10,100,250,500,1000,5000},{0.0,0.077,0.054,0.025,0.021,0.018,0.014,0.011}),"")</f>
        <v>0</v>
      </c>
      <c r="Y11" s="11">
        <f>iferror(if(W11="",G11,W11)*X11,"")</f>
        <v>0</v>
      </c>
      <c r="Z11" t="s">
        <v>147</v>
      </c>
      <c r="AA11" s="12" t="s">
        <v>120</v>
      </c>
    </row>
    <row r="12" spans="1:27">
      <c r="A12" t="s">
        <v>33</v>
      </c>
      <c r="B12" t="s">
        <v>11</v>
      </c>
      <c r="C12" t="s">
        <v>26</v>
      </c>
      <c r="D12" t="s">
        <v>12</v>
      </c>
      <c r="G12">
        <f>BoardQty*4</f>
        <v>0</v>
      </c>
      <c r="H12" s="11">
        <f>MINA(INDIRECT(ADDRESS(ROW(),COLUMN(newark_part_data)+2)),INDIRECT(ADDRESS(ROW(),COLUMN(mouser_part_data)+2)),INDIRECT(ADDRESS(ROW(),COLUMN(digikey_part_data)+2)))</f>
        <v>0</v>
      </c>
      <c r="I12" s="11">
        <f>iferror(G12*H12,"")</f>
        <v>0</v>
      </c>
    </row>
    <row r="13" spans="1:27">
      <c r="A13" t="s">
        <v>34</v>
      </c>
      <c r="B13" t="s">
        <v>35</v>
      </c>
      <c r="C13" t="s">
        <v>26</v>
      </c>
      <c r="D13" t="s">
        <v>12</v>
      </c>
      <c r="G13">
        <f>BoardQty*1</f>
        <v>0</v>
      </c>
      <c r="H13" s="11">
        <f>MINA(INDIRECT(ADDRESS(ROW(),COLUMN(newark_part_data)+2)),INDIRECT(ADDRESS(ROW(),COLUMN(mouser_part_data)+2)),INDIRECT(ADDRESS(ROW(),COLUMN(digikey_part_data)+2)))</f>
        <v>0</v>
      </c>
      <c r="I13" s="11">
        <f>iferror(G13*H13,"")</f>
        <v>0</v>
      </c>
    </row>
    <row r="14" spans="1:27">
      <c r="A14" t="s">
        <v>36</v>
      </c>
      <c r="B14" t="s">
        <v>37</v>
      </c>
      <c r="D14" t="s">
        <v>38</v>
      </c>
      <c r="E14" t="s">
        <v>39</v>
      </c>
      <c r="F14" t="s">
        <v>40</v>
      </c>
      <c r="G14">
        <f>BoardQty*1</f>
        <v>0</v>
      </c>
      <c r="H14" s="11">
        <f>MINA(INDIRECT(ADDRESS(ROW(),COLUMN(newark_part_data)+2)),INDIRECT(ADDRESS(ROW(),COLUMN(mouser_part_data)+2)),INDIRECT(ADDRESS(ROW(),COLUMN(digikey_part_data)+2)))</f>
        <v>0</v>
      </c>
      <c r="I14" s="11">
        <f>iferror(G14*H14,"")</f>
        <v>0</v>
      </c>
      <c r="J14">
        <v>4186</v>
      </c>
      <c r="L14" s="11">
        <f>iferror(lookup(if(K14="",G14,K14),{0,1,10,100,500,1000,2000,5000,10000,25000},{0.0,0.66,0.578,0.442,0.3502,0.272,0.2465,0.2295,0.221,0.2125}),"")</f>
        <v>0</v>
      </c>
      <c r="M14" s="11">
        <f>iferror(if(K14="",G14,K14)*L14,"")</f>
        <v>0</v>
      </c>
      <c r="N14" t="s">
        <v>124</v>
      </c>
      <c r="O14" s="12" t="s">
        <v>120</v>
      </c>
      <c r="V14">
        <v>809</v>
      </c>
      <c r="X14" s="11">
        <f>iferror(lookup(if(W14="",G14,W14),{0,1,10,100,1000},{0.0,0.628,0.5,0.373,0.259}),"")</f>
        <v>0</v>
      </c>
      <c r="Y14" s="11">
        <f>iferror(if(W14="",G14,W14)*X14,"")</f>
        <v>0</v>
      </c>
      <c r="Z14" t="s">
        <v>148</v>
      </c>
      <c r="AA14" s="12" t="s">
        <v>120</v>
      </c>
    </row>
    <row r="15" spans="1:27">
      <c r="A15" t="s">
        <v>41</v>
      </c>
      <c r="B15" t="s">
        <v>42</v>
      </c>
      <c r="D15" t="s">
        <v>43</v>
      </c>
      <c r="E15" t="s">
        <v>44</v>
      </c>
      <c r="F15" t="s">
        <v>45</v>
      </c>
      <c r="G15">
        <f>BoardQty*5</f>
        <v>0</v>
      </c>
      <c r="H15" s="11">
        <f>MINA(INDIRECT(ADDRESS(ROW(),COLUMN(newark_part_data)+2)),INDIRECT(ADDRESS(ROW(),COLUMN(mouser_part_data)+2)),INDIRECT(ADDRESS(ROW(),COLUMN(digikey_part_data)+2)))</f>
        <v>0</v>
      </c>
      <c r="I15" s="11">
        <f>iferror(G15*H15,"")</f>
        <v>0</v>
      </c>
      <c r="J15">
        <v>527190</v>
      </c>
      <c r="L15" s="11">
        <f>iferror(lookup(if(K15="",G15,K15),{0,1,10,25,50,100,500,1000,4000,8000,12000,28000,100000},{0.0,0.18,0.128,0.0956,0.0734,0.0606,0.04272,0.03506,0.02741,0.0255,0.02423,0.02295,0.01738}),"")</f>
        <v>0</v>
      </c>
      <c r="M15" s="11">
        <f>iferror(if(K15="",G15,K15)*L15,"")</f>
        <v>0</v>
      </c>
      <c r="N15" t="s">
        <v>125</v>
      </c>
      <c r="O15" s="12" t="s">
        <v>120</v>
      </c>
      <c r="V15">
        <v>7294</v>
      </c>
      <c r="X15" s="11">
        <f>iferror(lookup(if(W15="",G15,W15),{0,1,10,50,100,500,1000},{0.0,0.238,0.22,0.206,0.192,0.151,0.124}),"")</f>
        <v>0</v>
      </c>
      <c r="Y15" s="11">
        <f>iferror(if(W15="",G15,W15)*X15,"")</f>
        <v>0</v>
      </c>
      <c r="Z15" t="s">
        <v>149</v>
      </c>
      <c r="AA15" s="12" t="s">
        <v>120</v>
      </c>
    </row>
    <row r="16" spans="1:27">
      <c r="A16" t="s">
        <v>46</v>
      </c>
      <c r="B16" t="s">
        <v>25</v>
      </c>
      <c r="D16" t="s">
        <v>27</v>
      </c>
      <c r="G16">
        <f>BoardQty*2</f>
        <v>0</v>
      </c>
      <c r="H16" s="11">
        <f>MINA(INDIRECT(ADDRESS(ROW(),COLUMN(newark_part_data)+2)),INDIRECT(ADDRESS(ROW(),COLUMN(mouser_part_data)+2)),INDIRECT(ADDRESS(ROW(),COLUMN(digikey_part_data)+2)))</f>
        <v>0</v>
      </c>
      <c r="I16" s="11">
        <f>iferror(G16*H16,"")</f>
        <v>0</v>
      </c>
    </row>
    <row r="17" spans="1:27">
      <c r="A17" t="s">
        <v>47</v>
      </c>
      <c r="B17" t="s">
        <v>48</v>
      </c>
      <c r="D17" t="s">
        <v>12</v>
      </c>
      <c r="E17" t="s">
        <v>13</v>
      </c>
      <c r="F17" t="s">
        <v>49</v>
      </c>
      <c r="G17">
        <f>BoardQty*1</f>
        <v>0</v>
      </c>
      <c r="H17" s="11">
        <f>MINA(INDIRECT(ADDRESS(ROW(),COLUMN(newark_part_data)+2)),INDIRECT(ADDRESS(ROW(),COLUMN(mouser_part_data)+2)),INDIRECT(ADDRESS(ROW(),COLUMN(digikey_part_data)+2)))</f>
        <v>0</v>
      </c>
      <c r="I17" s="11">
        <f>iferror(G17*H17,"")</f>
        <v>0</v>
      </c>
      <c r="J17">
        <v>584902</v>
      </c>
      <c r="L17" s="11">
        <f>iferror(lookup(if(K17="",G17,K17),{0,1,10,25,100,250,500,1000,2500,5000,10000,30000,50000,100000},{0.0,0.1,0.013,0.0096,0.0054,0.00412,0.00328,0.00242,0.0021,0.00173,0.00137,0.0012,0.0011,0.00108}),"")</f>
        <v>0</v>
      </c>
      <c r="M17" s="11">
        <f>iferror(if(K17="",G17,K17)*L17,"")</f>
        <v>0</v>
      </c>
      <c r="N17" t="s">
        <v>126</v>
      </c>
      <c r="O17" s="12" t="s">
        <v>120</v>
      </c>
      <c r="V17">
        <v>18162</v>
      </c>
      <c r="X17" s="11">
        <f>iferror(lookup(if(W17="",G17,W17),{0,1,10,25,100,250,1000},{0.0,0.09,0.015,0.011,0.006,0.005,0.003}),"")</f>
        <v>0</v>
      </c>
      <c r="Y17" s="11">
        <f>iferror(if(W17="",G17,W17)*X17,"")</f>
        <v>0</v>
      </c>
      <c r="Z17" t="s">
        <v>150</v>
      </c>
      <c r="AA17" s="12" t="s">
        <v>120</v>
      </c>
    </row>
    <row r="18" spans="1:27">
      <c r="A18" t="s">
        <v>50</v>
      </c>
      <c r="B18" t="s">
        <v>51</v>
      </c>
      <c r="D18" t="s">
        <v>27</v>
      </c>
      <c r="E18" t="s">
        <v>52</v>
      </c>
      <c r="F18" t="s">
        <v>53</v>
      </c>
      <c r="G18">
        <f>BoardQty*1</f>
        <v>0</v>
      </c>
      <c r="H18" s="11">
        <f>MINA(INDIRECT(ADDRESS(ROW(),COLUMN(newark_part_data)+2)),INDIRECT(ADDRESS(ROW(),COLUMN(mouser_part_data)+2)),INDIRECT(ADDRESS(ROW(),COLUMN(digikey_part_data)+2)))</f>
        <v>0</v>
      </c>
      <c r="I18" s="11">
        <f>iferror(G18*H18,"")</f>
        <v>0</v>
      </c>
      <c r="J18">
        <v>131833</v>
      </c>
      <c r="L18" s="11">
        <f>iferror(lookup(if(K18="",G18,K18),{0,1,10,25,50,100,250,500,1000,2500,5000,10000,25000,50000,125000},{0.0,0.29,0.242,0.176,0.1276,0.0946,0.0726,0.0572,0.0396,0.0363,0.024,0.0224,0.02128,0.02085,0.0204}),"")</f>
        <v>0</v>
      </c>
      <c r="M18" s="11">
        <f>iferror(if(K18="",G18,K18)*L18,"")</f>
        <v>0</v>
      </c>
      <c r="N18" t="s">
        <v>127</v>
      </c>
      <c r="O18" s="12" t="s">
        <v>120</v>
      </c>
      <c r="V18">
        <v>4271</v>
      </c>
      <c r="X18" s="11">
        <f>iferror(lookup(if(W18="",G18,W18),{0,1,10,100,1000},{0.0,0.264,0.143,0.082,0.056}),"")</f>
        <v>0</v>
      </c>
      <c r="Y18" s="11">
        <f>iferror(if(W18="",G18,W18)*X18,"")</f>
        <v>0</v>
      </c>
      <c r="Z18" t="s">
        <v>151</v>
      </c>
      <c r="AA18" s="12" t="s">
        <v>120</v>
      </c>
    </row>
    <row r="19" spans="1:27">
      <c r="A19" t="s">
        <v>54</v>
      </c>
      <c r="B19" t="s">
        <v>29</v>
      </c>
      <c r="D19" t="s">
        <v>43</v>
      </c>
      <c r="E19" t="s">
        <v>55</v>
      </c>
      <c r="F19" t="s">
        <v>56</v>
      </c>
      <c r="G19">
        <f>BoardQty*1</f>
        <v>0</v>
      </c>
      <c r="H19" s="11">
        <f>MINA(INDIRECT(ADDRESS(ROW(),COLUMN(newark_part_data)+2)),INDIRECT(ADDRESS(ROW(),COLUMN(mouser_part_data)+2)),INDIRECT(ADDRESS(ROW(),COLUMN(digikey_part_data)+2)))</f>
        <v>0</v>
      </c>
      <c r="I19" s="11">
        <f>iferror(G19*H19,"")</f>
        <v>0</v>
      </c>
      <c r="J19">
        <v>552319</v>
      </c>
      <c r="L19" s="11">
        <f>iferror(lookup(if(K19="",G19,K19),{0,1,10,50,100,250,500,1000,4000,8000,12000,28000},{0.0,0.12,0.075,0.036,0.027,0.01952,0.0144,0.00975,0.0069,0.0063,0.006,0.0057}),"")</f>
        <v>0</v>
      </c>
      <c r="M19" s="11">
        <f>iferror(if(K19="",G19,K19)*L19,"")</f>
        <v>0</v>
      </c>
      <c r="N19" t="s">
        <v>128</v>
      </c>
      <c r="O19" s="12" t="s">
        <v>120</v>
      </c>
      <c r="V19">
        <v>2283</v>
      </c>
      <c r="X19" s="11">
        <f>iferror(lookup(if(W19="",G19,W19),{0,1,10,50,100,250,500,1000},{0.0,0.12,0.075,0.036,0.027,0.019,0.014,0.009}),"")</f>
        <v>0</v>
      </c>
      <c r="Y19" s="11">
        <f>iferror(if(W19="",G19,W19)*X19,"")</f>
        <v>0</v>
      </c>
      <c r="Z19" t="s">
        <v>152</v>
      </c>
      <c r="AA19" s="12" t="s">
        <v>120</v>
      </c>
    </row>
    <row r="20" spans="1:27">
      <c r="A20" t="s">
        <v>57</v>
      </c>
      <c r="B20" t="s">
        <v>58</v>
      </c>
      <c r="D20" t="s">
        <v>59</v>
      </c>
      <c r="E20" t="s">
        <v>60</v>
      </c>
      <c r="F20" t="s">
        <v>61</v>
      </c>
      <c r="G20">
        <f>BoardQty*1</f>
        <v>0</v>
      </c>
      <c r="H20" s="11">
        <f>MINA(INDIRECT(ADDRESS(ROW(),COLUMN(newark_part_data)+2)),INDIRECT(ADDRESS(ROW(),COLUMN(mouser_part_data)+2)),INDIRECT(ADDRESS(ROW(),COLUMN(digikey_part_data)+2)))</f>
        <v>0</v>
      </c>
      <c r="I20" s="11">
        <f>iferror(G20*H20,"")</f>
        <v>0</v>
      </c>
      <c r="J20">
        <v>18103</v>
      </c>
      <c r="L20" s="11">
        <f>iferror(lookup(if(K20="",G20,K20),{0,1,10,25,50,100,250,500,1000,2500,5000,10000,15000},{0.0,1.37,1.206,1.1352,1.088,1.0406,0.946,0.8514,0.7568,0.68585,0.602,0.5719,0.559}),"")</f>
        <v>0</v>
      </c>
      <c r="M20" s="11">
        <f>iferror(if(K20="",G20,K20)*L20,"")</f>
        <v>0</v>
      </c>
      <c r="N20" t="s">
        <v>129</v>
      </c>
      <c r="O20" s="12" t="s">
        <v>120</v>
      </c>
      <c r="V20">
        <v>740</v>
      </c>
      <c r="X20" s="11">
        <f>iferror(lookup(if(W20="",G20,W20),{0,1,100,250,500,1000},{0.0,1.19,0.919,0.831,0.75,0.691}),"")</f>
        <v>0</v>
      </c>
      <c r="Y20" s="11">
        <f>iferror(if(W20="",G20,W20)*X20,"")</f>
        <v>0</v>
      </c>
      <c r="Z20" t="s">
        <v>153</v>
      </c>
      <c r="AA20" s="12" t="s">
        <v>120</v>
      </c>
    </row>
    <row r="21" spans="1:27">
      <c r="A21" t="s">
        <v>62</v>
      </c>
      <c r="B21" t="s">
        <v>35</v>
      </c>
      <c r="D21" t="s">
        <v>12</v>
      </c>
      <c r="E21" t="s">
        <v>13</v>
      </c>
      <c r="F21" t="s">
        <v>63</v>
      </c>
      <c r="G21">
        <f>BoardQty*3</f>
        <v>0</v>
      </c>
      <c r="H21" s="11">
        <f>MINA(INDIRECT(ADDRESS(ROW(),COLUMN(newark_part_data)+2)),INDIRECT(ADDRESS(ROW(),COLUMN(mouser_part_data)+2)),INDIRECT(ADDRESS(ROW(),COLUMN(digikey_part_data)+2)))</f>
        <v>0</v>
      </c>
      <c r="I21" s="11">
        <f>iferror(G21*H21,"")</f>
        <v>0</v>
      </c>
      <c r="J21">
        <v>2726770</v>
      </c>
      <c r="L21" s="11">
        <f>iferror(lookup(if(K21="",G21,K21),{0,1,10,25,100,250,500,1000,2500,5000,10000,30000,50000,100000},{0.0,0.1,0.013,0.0096,0.0054,0.00412,0.00328,0.00242,0.0021,0.00173,0.00137,0.0012,0.0011,0.00108}),"")</f>
        <v>0</v>
      </c>
      <c r="M21" s="11">
        <f>iferror(if(K21="",G21,K21)*L21,"")</f>
        <v>0</v>
      </c>
      <c r="N21" t="s">
        <v>130</v>
      </c>
      <c r="O21" s="12" t="s">
        <v>120</v>
      </c>
      <c r="V21">
        <v>8084</v>
      </c>
      <c r="X21" s="11">
        <f>iferror(lookup(if(W21="",G21,W21),{0,1,10,25,100,250,1000},{0.0,0.09,0.015,0.011,0.006,0.005,0.003}),"")</f>
        <v>0</v>
      </c>
      <c r="Y21" s="11">
        <f>iferror(if(W21="",G21,W21)*X21,"")</f>
        <v>0</v>
      </c>
      <c r="Z21" t="s">
        <v>154</v>
      </c>
      <c r="AA21" s="12" t="s">
        <v>120</v>
      </c>
    </row>
    <row r="22" spans="1:27">
      <c r="A22" t="s">
        <v>64</v>
      </c>
      <c r="B22" t="s">
        <v>48</v>
      </c>
      <c r="C22" t="s">
        <v>26</v>
      </c>
      <c r="D22" t="s">
        <v>12</v>
      </c>
      <c r="G22">
        <f>BoardQty*2</f>
        <v>0</v>
      </c>
      <c r="H22" s="11">
        <f>MINA(INDIRECT(ADDRESS(ROW(),COLUMN(newark_part_data)+2)),INDIRECT(ADDRESS(ROW(),COLUMN(mouser_part_data)+2)),INDIRECT(ADDRESS(ROW(),COLUMN(digikey_part_data)+2)))</f>
        <v>0</v>
      </c>
      <c r="I22" s="11">
        <f>iferror(G22*H22,"")</f>
        <v>0</v>
      </c>
    </row>
    <row r="23" spans="1:27">
      <c r="A23" t="s">
        <v>65</v>
      </c>
      <c r="B23" t="s">
        <v>66</v>
      </c>
      <c r="D23" t="s">
        <v>67</v>
      </c>
      <c r="E23" t="s">
        <v>68</v>
      </c>
      <c r="F23" t="s">
        <v>69</v>
      </c>
      <c r="G23">
        <f>BoardQty*1</f>
        <v>0</v>
      </c>
      <c r="H23" s="11">
        <f>MINA(INDIRECT(ADDRESS(ROW(),COLUMN(newark_part_data)+2)),INDIRECT(ADDRESS(ROW(),COLUMN(mouser_part_data)+2)),INDIRECT(ADDRESS(ROW(),COLUMN(digikey_part_data)+2)))</f>
        <v>0</v>
      </c>
      <c r="I23" s="11">
        <f>iferror(G23*H23,"")</f>
        <v>0</v>
      </c>
      <c r="J23">
        <v>5454</v>
      </c>
      <c r="L23" s="11">
        <f>iferror(lookup(if(K23="",G23,K23),{0,1,25,100,2500},{0.0,1.01,0.84,0.76,0.76}),"")</f>
        <v>0</v>
      </c>
      <c r="M23" s="11">
        <f>iferror(if(K23="",G23,K23)*L23,"")</f>
        <v>0</v>
      </c>
      <c r="N23" t="s">
        <v>131</v>
      </c>
      <c r="O23" s="12" t="s">
        <v>120</v>
      </c>
      <c r="V23">
        <v>0</v>
      </c>
      <c r="X23" s="11">
        <f>iferror(lookup(if(W23="",G23,W23),{0,1,100},{0.0,0.76,0.76}),"")</f>
        <v>0</v>
      </c>
      <c r="Y23" s="11">
        <f>iferror(if(W23="",G23,W23)*X23,"")</f>
        <v>0</v>
      </c>
      <c r="Z23" t="s">
        <v>155</v>
      </c>
      <c r="AA23" s="12" t="s">
        <v>120</v>
      </c>
    </row>
    <row r="24" spans="1:27">
      <c r="A24" t="s">
        <v>70</v>
      </c>
      <c r="B24" t="s">
        <v>71</v>
      </c>
      <c r="D24" t="s">
        <v>30</v>
      </c>
      <c r="E24" t="s">
        <v>72</v>
      </c>
      <c r="F24" t="s">
        <v>73</v>
      </c>
      <c r="G24">
        <f>BoardQty*1</f>
        <v>0</v>
      </c>
      <c r="H24" s="11">
        <f>MINA(INDIRECT(ADDRESS(ROW(),COLUMN(newark_part_data)+2)),INDIRECT(ADDRESS(ROW(),COLUMN(mouser_part_data)+2)),INDIRECT(ADDRESS(ROW(),COLUMN(digikey_part_data)+2)))</f>
        <v>0</v>
      </c>
      <c r="I24" s="11">
        <f>iferror(G24*H24,"")</f>
        <v>0</v>
      </c>
      <c r="J24">
        <v>1195324</v>
      </c>
      <c r="L24" s="11">
        <f>iferror(lookup(if(K24="",G24,K24),{0,1,10,25,100,250,500,1000,2500,5000,10000,20000,30000,50000,100000},{0.0,0.1,0.013,0.0092,0.006,0.00492,0.0042,0.00328,0.00295,0.00273,0.00229,0.00218,0.00207,0.00186,0.0015}),"")</f>
        <v>0</v>
      </c>
      <c r="M24" s="11">
        <f>iferror(if(K24="",G24,K24)*L24,"")</f>
        <v>0</v>
      </c>
      <c r="N24" t="s">
        <v>132</v>
      </c>
      <c r="O24" s="12" t="s">
        <v>120</v>
      </c>
      <c r="V24">
        <v>27677</v>
      </c>
      <c r="X24" s="11">
        <f>iferror(lookup(if(W24="",G24,W24),{0,1,10,25,100,250,500,1000},{0.0,0.1,0.013,0.009,0.006,0.005,0.005,0.004}),"")</f>
        <v>0</v>
      </c>
      <c r="Y24" s="11">
        <f>iferror(if(W24="",G24,W24)*X24,"")</f>
        <v>0</v>
      </c>
      <c r="Z24" t="s">
        <v>156</v>
      </c>
      <c r="AA24" s="12" t="s">
        <v>120</v>
      </c>
    </row>
    <row r="25" spans="1:27">
      <c r="A25" t="s">
        <v>74</v>
      </c>
      <c r="B25" t="s">
        <v>75</v>
      </c>
      <c r="D25" t="s">
        <v>76</v>
      </c>
      <c r="E25" t="s">
        <v>77</v>
      </c>
      <c r="F25" t="s">
        <v>78</v>
      </c>
      <c r="G25">
        <f>BoardQty*1</f>
        <v>0</v>
      </c>
      <c r="H25" s="11">
        <f>MINA(INDIRECT(ADDRESS(ROW(),COLUMN(newark_part_data)+2)),INDIRECT(ADDRESS(ROW(),COLUMN(mouser_part_data)+2)),INDIRECT(ADDRESS(ROW(),COLUMN(digikey_part_data)+2)))</f>
        <v>0</v>
      </c>
      <c r="I25" s="11">
        <f>iferror(G25*H25,"")</f>
        <v>0</v>
      </c>
      <c r="J25">
        <v>116455</v>
      </c>
      <c r="L25" s="11">
        <f>iferror(lookup(if(K25="",G25,K25),{0,1,10,100,250,500,1000,4000,8000,12000,28000,100000},{0.0,0.43,0.32,0.1696,0.12,0.1024,0.08,0.064,0.0576,0.0512,0.048,0.0416}),"")</f>
        <v>0</v>
      </c>
      <c r="M25" s="11">
        <f>iferror(if(K25="",G25,K25)*L25,"")</f>
        <v>0</v>
      </c>
      <c r="N25" t="s">
        <v>133</v>
      </c>
      <c r="O25" s="12" t="s">
        <v>120</v>
      </c>
      <c r="V25">
        <v>2218</v>
      </c>
      <c r="X25" s="11">
        <f>iferror(lookup(if(W25="",G25,W25),{0,1,10,100,500,1000,5000},{0.0,0.157,0.13,0.1,0.089,0.085,0.079}),"")</f>
        <v>0</v>
      </c>
      <c r="Y25" s="11">
        <f>iferror(if(W25="",G25,W25)*X25,"")</f>
        <v>0</v>
      </c>
      <c r="Z25" t="s">
        <v>157</v>
      </c>
      <c r="AA25" s="12" t="s">
        <v>120</v>
      </c>
    </row>
    <row r="26" spans="1:27">
      <c r="A26" t="s">
        <v>79</v>
      </c>
      <c r="B26" t="s">
        <v>80</v>
      </c>
      <c r="C26" t="s">
        <v>26</v>
      </c>
      <c r="D26" t="s">
        <v>12</v>
      </c>
      <c r="G26">
        <f>BoardQty*3</f>
        <v>0</v>
      </c>
      <c r="H26" s="11">
        <f>MINA(INDIRECT(ADDRESS(ROW(),COLUMN(newark_part_data)+2)),INDIRECT(ADDRESS(ROW(),COLUMN(mouser_part_data)+2)),INDIRECT(ADDRESS(ROW(),COLUMN(digikey_part_data)+2)))</f>
        <v>0</v>
      </c>
      <c r="I26" s="11">
        <f>iferror(G26*H26,"")</f>
        <v>0</v>
      </c>
    </row>
    <row r="27" spans="1:27">
      <c r="A27" t="s">
        <v>81</v>
      </c>
      <c r="B27" t="s">
        <v>82</v>
      </c>
      <c r="D27" t="s">
        <v>30</v>
      </c>
      <c r="E27" t="s">
        <v>83</v>
      </c>
      <c r="F27" t="s">
        <v>84</v>
      </c>
      <c r="G27">
        <f>BoardQty*1</f>
        <v>0</v>
      </c>
      <c r="H27" s="11">
        <f>MINA(INDIRECT(ADDRESS(ROW(),COLUMN(newark_part_data)+2)),INDIRECT(ADDRESS(ROW(),COLUMN(mouser_part_data)+2)),INDIRECT(ADDRESS(ROW(),COLUMN(digikey_part_data)+2)))</f>
        <v>0</v>
      </c>
      <c r="I27" s="11">
        <f>iferror(G27*H27,"")</f>
        <v>0</v>
      </c>
      <c r="J27">
        <v>8812</v>
      </c>
      <c r="L27" s="11">
        <f>iferror(lookup(if(K27="",G27,K27),{0,1,10,50,100,250,500,1000,2500,5000,10000,20000,30000,50000,100000},{0.0,0.37,0.312,0.1756,0.156,0.117,0.10336,0.09165,0.0819,0.07605,0.06825,0.06474,0.0624,0.0585,0.05168}),"")</f>
        <v>0</v>
      </c>
      <c r="M27" s="11">
        <f>iferror(if(K27="",G27,K27)*L27,"")</f>
        <v>0</v>
      </c>
      <c r="N27" t="s">
        <v>134</v>
      </c>
      <c r="O27" s="12" t="s">
        <v>120</v>
      </c>
      <c r="V27">
        <v>8529</v>
      </c>
      <c r="X27" s="11">
        <f>iferror(lookup(if(W27="",G27,W27),{0,1,10,100,1000},{0.0,0.076,0.076,0.044,0.037}),"")</f>
        <v>0</v>
      </c>
      <c r="Y27" s="11">
        <f>iferror(if(W27="",G27,W27)*X27,"")</f>
        <v>0</v>
      </c>
      <c r="Z27" t="s">
        <v>158</v>
      </c>
      <c r="AA27" s="12" t="s">
        <v>120</v>
      </c>
    </row>
    <row r="28" spans="1:27">
      <c r="A28" t="s">
        <v>85</v>
      </c>
      <c r="B28" t="s">
        <v>86</v>
      </c>
      <c r="D28" t="s">
        <v>87</v>
      </c>
      <c r="E28" t="s">
        <v>68</v>
      </c>
      <c r="F28" t="s">
        <v>86</v>
      </c>
      <c r="G28">
        <f>BoardQty*1</f>
        <v>0</v>
      </c>
      <c r="H28" s="11">
        <f>MINA(INDIRECT(ADDRESS(ROW(),COLUMN(newark_part_data)+2)),INDIRECT(ADDRESS(ROW(),COLUMN(mouser_part_data)+2)),INDIRECT(ADDRESS(ROW(),COLUMN(digikey_part_data)+2)))</f>
        <v>0</v>
      </c>
      <c r="I28" s="11">
        <f>iferror(G28*H28,"")</f>
        <v>0</v>
      </c>
      <c r="J28">
        <v>2132</v>
      </c>
      <c r="L28" s="11">
        <f>iferror(lookup(if(K28="",G28,K28),{0,1,25,100,3300},{0.0,0.54,0.52,0.5,0.5}),"")</f>
        <v>0</v>
      </c>
      <c r="M28" s="11">
        <f>iferror(if(K28="",G28,K28)*L28,"")</f>
        <v>0</v>
      </c>
      <c r="N28" t="s">
        <v>135</v>
      </c>
      <c r="O28" s="12" t="s">
        <v>120</v>
      </c>
      <c r="V28">
        <v>0</v>
      </c>
      <c r="X28" s="11">
        <f>iferror(lookup(if(W28="",G28,W28),{0,1,100},{0.0,0.5,0.5}),"")</f>
        <v>0</v>
      </c>
      <c r="Y28" s="11">
        <f>iferror(if(W28="",G28,W28)*X28,"")</f>
        <v>0</v>
      </c>
      <c r="Z28" t="s">
        <v>159</v>
      </c>
      <c r="AA28" s="12" t="s">
        <v>120</v>
      </c>
    </row>
    <row r="29" spans="1:27">
      <c r="A29" t="s">
        <v>88</v>
      </c>
      <c r="B29" t="s">
        <v>89</v>
      </c>
      <c r="D29" t="s">
        <v>30</v>
      </c>
      <c r="E29" t="s">
        <v>31</v>
      </c>
      <c r="F29" t="s">
        <v>90</v>
      </c>
      <c r="G29">
        <f>BoardQty*2</f>
        <v>0</v>
      </c>
      <c r="H29" s="11">
        <f>MINA(INDIRECT(ADDRESS(ROW(),COLUMN(newark_part_data)+2)),INDIRECT(ADDRESS(ROW(),COLUMN(mouser_part_data)+2)),INDIRECT(ADDRESS(ROW(),COLUMN(digikey_part_data)+2)))</f>
        <v>0</v>
      </c>
      <c r="I29" s="11">
        <f>iferror(G29*H29,"")</f>
        <v>0</v>
      </c>
      <c r="J29">
        <v>32770</v>
      </c>
      <c r="L29" s="11">
        <f>iferror(lookup(if(K29="",G29,K29),{0,1,10,100,250,500,1000,5000,10000,20000,30000,50000,100000},{0.0,0.1,0.026,0.0121,0.00992,0.00848,0.0066,0.0055,0.00462,0.0044,0.00418,0.00374,0.00303}),"")</f>
        <v>0</v>
      </c>
      <c r="M29" s="11">
        <f>iferror(if(K29="",G29,K29)*L29,"")</f>
        <v>0</v>
      </c>
      <c r="N29" t="s">
        <v>136</v>
      </c>
      <c r="O29" s="12" t="s">
        <v>120</v>
      </c>
      <c r="V29">
        <v>8538</v>
      </c>
      <c r="X29" s="11">
        <f>iferror(lookup(if(W29="",G29,W29),{0,1,10,100,250,500,1000,5000},{0.0,0.1,0.026,0.012,0.009,0.008,0.006,0.005}),"")</f>
        <v>0</v>
      </c>
      <c r="Y29" s="11">
        <f>iferror(if(W29="",G29,W29)*X29,"")</f>
        <v>0</v>
      </c>
      <c r="Z29" t="s">
        <v>160</v>
      </c>
      <c r="AA29" s="12" t="s">
        <v>120</v>
      </c>
    </row>
    <row r="30" spans="1:27">
      <c r="A30" t="s">
        <v>91</v>
      </c>
      <c r="B30" t="s">
        <v>80</v>
      </c>
      <c r="D30" t="s">
        <v>12</v>
      </c>
      <c r="E30" t="s">
        <v>13</v>
      </c>
      <c r="F30" t="s">
        <v>92</v>
      </c>
      <c r="G30">
        <f>BoardQty*5</f>
        <v>0</v>
      </c>
      <c r="H30" s="11">
        <f>MINA(INDIRECT(ADDRESS(ROW(),COLUMN(newark_part_data)+2)),INDIRECT(ADDRESS(ROW(),COLUMN(mouser_part_data)+2)),INDIRECT(ADDRESS(ROW(),COLUMN(digikey_part_data)+2)))</f>
        <v>0</v>
      </c>
      <c r="I30" s="11">
        <f>iferror(G30*H30,"")</f>
        <v>0</v>
      </c>
      <c r="J30">
        <v>4805602</v>
      </c>
      <c r="L30" s="11">
        <f>iferror(lookup(if(K30="",G30,K30),{0,1,10,25,100,250,500,1000,2500,5000,10000,30000,50000,100000},{0.0,0.1,0.013,0.0096,0.0054,0.00412,0.00328,0.00242,0.0021,0.00173,0.00137,0.0012,0.0011,0.00108}),"")</f>
        <v>0</v>
      </c>
      <c r="M30" s="11">
        <f>iferror(if(K30="",G30,K30)*L30,"")</f>
        <v>0</v>
      </c>
      <c r="N30" t="s">
        <v>137</v>
      </c>
      <c r="O30" s="12" t="s">
        <v>120</v>
      </c>
      <c r="V30">
        <v>3711</v>
      </c>
      <c r="X30" s="11">
        <f>iferror(lookup(if(W30="",G30,W30),{0,1,10,25,100,250,1000},{0.0,0.09,0.015,0.011,0.006,0.005,0.003}),"")</f>
        <v>0</v>
      </c>
      <c r="Y30" s="11">
        <f>iferror(if(W30="",G30,W30)*X30,"")</f>
        <v>0</v>
      </c>
      <c r="Z30" t="s">
        <v>161</v>
      </c>
      <c r="AA30" s="12" t="s">
        <v>120</v>
      </c>
    </row>
    <row r="31" spans="1:27">
      <c r="A31" t="s">
        <v>93</v>
      </c>
      <c r="B31" t="s">
        <v>94</v>
      </c>
      <c r="C31" t="s">
        <v>26</v>
      </c>
      <c r="D31" t="s">
        <v>95</v>
      </c>
      <c r="G31">
        <f>BoardQty*4</f>
        <v>0</v>
      </c>
      <c r="H31" s="11">
        <f>MINA(INDIRECT(ADDRESS(ROW(),COLUMN(newark_part_data)+2)),INDIRECT(ADDRESS(ROW(),COLUMN(mouser_part_data)+2)),INDIRECT(ADDRESS(ROW(),COLUMN(digikey_part_data)+2)))</f>
        <v>0</v>
      </c>
      <c r="I31" s="11">
        <f>iferror(G31*H31,"")</f>
        <v>0</v>
      </c>
    </row>
    <row r="32" spans="1:27">
      <c r="A32" t="s">
        <v>96</v>
      </c>
      <c r="B32" t="s">
        <v>25</v>
      </c>
      <c r="D32" t="s">
        <v>12</v>
      </c>
      <c r="E32" t="s">
        <v>13</v>
      </c>
      <c r="F32" t="s">
        <v>97</v>
      </c>
      <c r="G32">
        <f>BoardQty*1</f>
        <v>0</v>
      </c>
      <c r="H32" s="11">
        <f>MINA(INDIRECT(ADDRESS(ROW(),COLUMN(newark_part_data)+2)),INDIRECT(ADDRESS(ROW(),COLUMN(mouser_part_data)+2)),INDIRECT(ADDRESS(ROW(),COLUMN(digikey_part_data)+2)))</f>
        <v>0</v>
      </c>
      <c r="I32" s="11">
        <f>iferror(G32*H32,"")</f>
        <v>0</v>
      </c>
      <c r="J32">
        <v>2977544</v>
      </c>
      <c r="L32" s="11">
        <f>iferror(lookup(if(K32="",G32,K32),{0,1,10,25,100,250,500,1000,2500,5000,10000,30000,50000,100000},{0.0,0.1,0.013,0.0096,0.0054,0.00412,0.00328,0.00242,0.0021,0.00173,0.00137,0.0012,0.0011,0.00108}),"")</f>
        <v>0</v>
      </c>
      <c r="M32" s="11">
        <f>iferror(if(K32="",G32,K32)*L32,"")</f>
        <v>0</v>
      </c>
      <c r="N32" t="s">
        <v>138</v>
      </c>
      <c r="O32" s="12" t="s">
        <v>120</v>
      </c>
      <c r="V32">
        <v>4241</v>
      </c>
      <c r="X32" s="11">
        <f>iferror(lookup(if(W32="",G32,W32),{0,1,10,25,100,250,1000},{0.0,0.09,0.015,0.011,0.006,0.005,0.003}),"")</f>
        <v>0</v>
      </c>
      <c r="Y32" s="11">
        <f>iferror(if(W32="",G32,W32)*X32,"")</f>
        <v>0</v>
      </c>
      <c r="Z32" t="s">
        <v>162</v>
      </c>
      <c r="AA32" s="12" t="s">
        <v>120</v>
      </c>
    </row>
    <row r="33" spans="1:27">
      <c r="A33" t="s">
        <v>98</v>
      </c>
      <c r="B33" t="s">
        <v>29</v>
      </c>
      <c r="D33" t="s">
        <v>30</v>
      </c>
      <c r="E33" t="s">
        <v>55</v>
      </c>
      <c r="F33" t="s">
        <v>99</v>
      </c>
      <c r="G33">
        <f>BoardQty*9</f>
        <v>0</v>
      </c>
      <c r="H33" s="11">
        <f>MINA(INDIRECT(ADDRESS(ROW(),COLUMN(newark_part_data)+2)),INDIRECT(ADDRESS(ROW(),COLUMN(mouser_part_data)+2)),INDIRECT(ADDRESS(ROW(),COLUMN(digikey_part_data)+2)))</f>
        <v>0</v>
      </c>
      <c r="I33" s="11">
        <f>iferror(G33*H33,"")</f>
        <v>0</v>
      </c>
      <c r="J33">
        <v>31891785</v>
      </c>
      <c r="L33" s="11">
        <f>iferror(lookup(if(K33="",G33,K33),{0,1,10,50,100,250,500,1000,5000,10000,20000,30000,50000},{0.0,0.1,0.012,0.0066,0.0055,0.00448,0.00386,0.003,0.0025,0.0021,0.002,0.0019,0.0017}),"")</f>
        <v>0</v>
      </c>
      <c r="M33" s="11">
        <f>iferror(if(K33="",G33,K33)*L33,"")</f>
        <v>0</v>
      </c>
      <c r="N33" t="s">
        <v>139</v>
      </c>
      <c r="O33" s="12" t="s">
        <v>120</v>
      </c>
      <c r="V33">
        <v>10870</v>
      </c>
      <c r="X33" s="11">
        <f>iferror(lookup(if(W33="",G33,W33),{0,1,10,50,100,250,500,1000,5000},{0.0,0.108,0.024,0.012,0.011,0.01,0.009,0.008,0.007}),"")</f>
        <v>0</v>
      </c>
      <c r="Y33" s="11">
        <f>iferror(if(W33="",G33,W33)*X33,"")</f>
        <v>0</v>
      </c>
      <c r="Z33" t="s">
        <v>163</v>
      </c>
      <c r="AA33" s="12" t="s">
        <v>120</v>
      </c>
    </row>
    <row r="34" spans="1:27">
      <c r="A34" t="s">
        <v>100</v>
      </c>
      <c r="B34" t="s">
        <v>101</v>
      </c>
      <c r="D34" t="s">
        <v>102</v>
      </c>
      <c r="E34" t="s">
        <v>103</v>
      </c>
      <c r="F34" t="s">
        <v>104</v>
      </c>
      <c r="G34">
        <f>BoardQty*1</f>
        <v>0</v>
      </c>
      <c r="H34" s="11">
        <f>MINA(INDIRECT(ADDRESS(ROW(),COLUMN(newark_part_data)+2)),INDIRECT(ADDRESS(ROW(),COLUMN(mouser_part_data)+2)),INDIRECT(ADDRESS(ROW(),COLUMN(digikey_part_data)+2)))</f>
        <v>0</v>
      </c>
      <c r="I34" s="11">
        <f>iferror(G34*H34,"")</f>
        <v>0</v>
      </c>
      <c r="J34">
        <v>17748</v>
      </c>
      <c r="L34" s="11">
        <f>iferror(lookup(if(K34="",G34,K34),{0,1,10,50,100,250,500,1000,2000,5000,10000,25000,50000,100000},{0.0,0.85,0.811,0.4844,0.3936,0.32696,0.2967,0.20587,0.19376,0.18165,0.16954,0.16349,0.15743,0.15138}),"")</f>
        <v>0</v>
      </c>
      <c r="M34" s="11">
        <f>iferror(if(K34="",G34,K34)*L34,"")</f>
        <v>0</v>
      </c>
      <c r="N34" t="s">
        <v>140</v>
      </c>
      <c r="O34" s="12" t="s">
        <v>120</v>
      </c>
      <c r="V34">
        <v>2198</v>
      </c>
      <c r="X34" s="11">
        <f>iferror(lookup(if(W34="",G34,W34),{0,1,250,500,1000,5000},{0.0,0.407,0.307,0.274,0.247,0.224}),"")</f>
        <v>0</v>
      </c>
      <c r="Y34" s="11">
        <f>iferror(if(W34="",G34,W34)*X34,"")</f>
        <v>0</v>
      </c>
      <c r="Z34" t="s">
        <v>164</v>
      </c>
      <c r="AA34" s="12" t="s">
        <v>120</v>
      </c>
    </row>
    <row r="35" spans="1:27">
      <c r="A35" t="s">
        <v>105</v>
      </c>
      <c r="B35" t="s">
        <v>106</v>
      </c>
      <c r="C35" t="s">
        <v>26</v>
      </c>
      <c r="D35" t="s">
        <v>107</v>
      </c>
      <c r="G35">
        <f>BoardQty*2</f>
        <v>0</v>
      </c>
      <c r="H35" s="11">
        <f>MINA(INDIRECT(ADDRESS(ROW(),COLUMN(newark_part_data)+2)),INDIRECT(ADDRESS(ROW(),COLUMN(mouser_part_data)+2)),INDIRECT(ADDRESS(ROW(),COLUMN(digikey_part_data)+2)))</f>
        <v>0</v>
      </c>
      <c r="I35" s="11">
        <f>iferror(G35*H35,"")</f>
        <v>0</v>
      </c>
    </row>
    <row r="36" spans="1:27">
      <c r="A36" t="s">
        <v>108</v>
      </c>
      <c r="B36" t="s">
        <v>109</v>
      </c>
      <c r="D36" t="s">
        <v>43</v>
      </c>
      <c r="E36" t="s">
        <v>55</v>
      </c>
      <c r="F36" t="s">
        <v>110</v>
      </c>
      <c r="G36">
        <f>BoardQty*3</f>
        <v>0</v>
      </c>
      <c r="H36" s="11">
        <f>MINA(INDIRECT(ADDRESS(ROW(),COLUMN(newark_part_data)+2)),INDIRECT(ADDRESS(ROW(),COLUMN(mouser_part_data)+2)),INDIRECT(ADDRESS(ROW(),COLUMN(digikey_part_data)+2)))</f>
        <v>0</v>
      </c>
      <c r="I36" s="11">
        <f>iferror(G36*H36,"")</f>
        <v>0</v>
      </c>
      <c r="J36">
        <v>104518</v>
      </c>
      <c r="L36" s="11">
        <f>iferror(lookup(if(K36="",G36,K36),{0,1,10,50,100,250,500,1000,4000,8000,12000,28000},{0.0,0.12,0.08,0.046,0.038,0.032,0.0268,0.022,0.0172,0.016,0.0152,0.0144}),"")</f>
        <v>0</v>
      </c>
      <c r="M36" s="11">
        <f>iferror(if(K36="",G36,K36)*L36,"")</f>
        <v>0</v>
      </c>
      <c r="N36" t="s">
        <v>141</v>
      </c>
      <c r="O36" s="12" t="s">
        <v>120</v>
      </c>
      <c r="V36">
        <v>2448</v>
      </c>
      <c r="X36" s="11">
        <f>iferror(lookup(if(W36="",G36,W36),{0,1,10,50,100,250,500,1000},{0.0,0.13,0.09,0.055,0.046,0.036,0.031,0.026}),"")</f>
        <v>0</v>
      </c>
      <c r="Y36" s="11">
        <f>iferror(if(W36="",G36,W36)*X36,"")</f>
        <v>0</v>
      </c>
      <c r="Z36" t="s">
        <v>165</v>
      </c>
      <c r="AA36" s="12" t="s">
        <v>120</v>
      </c>
    </row>
    <row r="38" spans="1:27">
      <c r="K38">
        <f t="array" ref="K38">IFERROR(CONCATENATE(TEXT(INDEX($K$7:$K$36,SMALL(IF($N$7:$N$36&lt;&gt;"",IF($K$7:$K$36&lt;&gt;"",ROW($K$7:$K$36)-MIN(ROW($K$7:$K$36))+1,""),""),ROW()-ROW(A$38)+1)),"##0"),","),"")</f>
        <v>0</v>
      </c>
      <c r="L38">
        <f t="array" ref="L38">IFERROR(CONCATENATE((INDEX($N$7:$N$36,SMALL(IF($N$7:$N$36&lt;&gt;"",IF($K$7:$K$36&lt;&gt;"",ROW($K$7:$K$36)-MIN(ROW($K$7:$K$36))+1,""),""),ROW()-ROW(A$38)+1))),","),"")</f>
        <v>0</v>
      </c>
      <c r="M38">
        <f t="array" ref="M38">IFERROR(CONCATENATE((INDEX($A$7:$A$36,SMALL(IF($N$7:$N$36&lt;&gt;"",IF($K$7:$K$36&lt;&gt;"",ROW($K$7:$K$36)-MIN(ROW($K$7:$K$36))+1,""),""),ROW()-ROW(A$38)+1))),),"")</f>
        <v>0</v>
      </c>
      <c r="Q38">
        <f t="array" ref="Q38">IFERROR(CONCATENATE((INDEX($T$7:$T$36,SMALL(IF($T$7:$T$36&lt;&gt;"",IF($Q$7:$Q$36&lt;&gt;"",ROW($Q$7:$Q$36)-MIN(ROW($Q$7:$Q$36))+1,""),""),ROW()-ROW(A$38)+1)))," "),"")</f>
        <v>0</v>
      </c>
      <c r="R38">
        <f t="array" ref="R38">IFERROR(CONCATENATE(TEXT(INDEX($Q$7:$Q$36,SMALL(IF($T$7:$T$36&lt;&gt;"",IF($Q$7:$Q$36&lt;&gt;"",ROW($Q$7:$Q$36)-MIN(ROW($Q$7:$Q$36))+1,""),""),ROW()-ROW(A$38)+1)),"##0")," "),"")</f>
        <v>0</v>
      </c>
      <c r="S38">
        <f t="array" ref="S38">IFERROR(CONCATENATE((INDEX($A$7:$A$36,SMALL(IF($T$7:$T$36&lt;&gt;"",IF($Q$7:$Q$36&lt;&gt;"",ROW($Q$7:$Q$36)-MIN(ROW($Q$7:$Q$36))+1,""),""),ROW()-ROW(A$38)+1))),),"")</f>
        <v>0</v>
      </c>
      <c r="W38">
        <f t="array" ref="W38">IFERROR(CONCATENATE((INDEX($Z$7:$Z$36,SMALL(IF($Z$7:$Z$36&lt;&gt;"",IF($W$7:$W$36&lt;&gt;"",ROW($W$7:$W$36)-MIN(ROW($W$7:$W$36))+1,""),""),ROW()-ROW(A$38)+1))),","),"")</f>
        <v>0</v>
      </c>
      <c r="X38">
        <f t="array" ref="X38">IFERROR(CONCATENATE(TEXT(INDEX($W$7:$W$36,SMALL(IF($Z$7:$Z$36&lt;&gt;"",IF($W$7:$W$36&lt;&gt;"",ROW($W$7:$W$36)-MIN(ROW($W$7:$W$36))+1,""),""),ROW()-ROW(A$38)+1)),"##0"),","),"")</f>
        <v>0</v>
      </c>
      <c r="Y38">
        <f t="array" ref="Y38">IFERROR(CONCATENATE((INDEX($A$7:$A$36,SMALL(IF($Z$7:$Z$36&lt;&gt;"",IF($W$7:$W$36&lt;&gt;"",ROW($W$7:$W$36)-MIN(ROW($W$7:$W$36))+1,""),""),ROW()-ROW(A$38)+1))),),"")</f>
        <v>0</v>
      </c>
    </row>
    <row r="39" spans="1:27">
      <c r="K39">
        <f t="array" ref="K39">IFERROR(CONCATENATE(TEXT(INDEX($K$7:$K$36,SMALL(IF($N$7:$N$36&lt;&gt;"",IF($K$7:$K$36&lt;&gt;"",ROW($K$7:$K$36)-MIN(ROW($K$7:$K$36))+1,""),""),ROW()-ROW(A$38)+1)),"##0"),","),"")</f>
        <v>0</v>
      </c>
      <c r="L39">
        <f t="array" ref="L39">IFERROR(CONCATENATE((INDEX($N$7:$N$36,SMALL(IF($N$7:$N$36&lt;&gt;"",IF($K$7:$K$36&lt;&gt;"",ROW($K$7:$K$36)-MIN(ROW($K$7:$K$36))+1,""),""),ROW()-ROW(A$38)+1))),","),"")</f>
        <v>0</v>
      </c>
      <c r="M39">
        <f t="array" ref="M39">IFERROR(CONCATENATE((INDEX($A$7:$A$36,SMALL(IF($N$7:$N$36&lt;&gt;"",IF($K$7:$K$36&lt;&gt;"",ROW($K$7:$K$36)-MIN(ROW($K$7:$K$36))+1,""),""),ROW()-ROW(A$38)+1))),),"")</f>
        <v>0</v>
      </c>
      <c r="Q39">
        <f t="array" ref="Q39">IFERROR(CONCATENATE((INDEX($T$7:$T$36,SMALL(IF($T$7:$T$36&lt;&gt;"",IF($Q$7:$Q$36&lt;&gt;"",ROW($Q$7:$Q$36)-MIN(ROW($Q$7:$Q$36))+1,""),""),ROW()-ROW(A$38)+1)))," "),"")</f>
        <v>0</v>
      </c>
      <c r="R39">
        <f t="array" ref="R39">IFERROR(CONCATENATE(TEXT(INDEX($Q$7:$Q$36,SMALL(IF($T$7:$T$36&lt;&gt;"",IF($Q$7:$Q$36&lt;&gt;"",ROW($Q$7:$Q$36)-MIN(ROW($Q$7:$Q$36))+1,""),""),ROW()-ROW(A$38)+1)),"##0")," "),"")</f>
        <v>0</v>
      </c>
      <c r="S39">
        <f t="array" ref="S39">IFERROR(CONCATENATE((INDEX($A$7:$A$36,SMALL(IF($T$7:$T$36&lt;&gt;"",IF($Q$7:$Q$36&lt;&gt;"",ROW($Q$7:$Q$36)-MIN(ROW($Q$7:$Q$36))+1,""),""),ROW()-ROW(A$38)+1))),),"")</f>
        <v>0</v>
      </c>
      <c r="W39">
        <f t="array" ref="W39">IFERROR(CONCATENATE((INDEX($Z$7:$Z$36,SMALL(IF($Z$7:$Z$36&lt;&gt;"",IF($W$7:$W$36&lt;&gt;"",ROW($W$7:$W$36)-MIN(ROW($W$7:$W$36))+1,""),""),ROW()-ROW(A$38)+1))),","),"")</f>
        <v>0</v>
      </c>
      <c r="X39">
        <f t="array" ref="X39">IFERROR(CONCATENATE(TEXT(INDEX($W$7:$W$36,SMALL(IF($Z$7:$Z$36&lt;&gt;"",IF($W$7:$W$36&lt;&gt;"",ROW($W$7:$W$36)-MIN(ROW($W$7:$W$36))+1,""),""),ROW()-ROW(A$38)+1)),"##0"),","),"")</f>
        <v>0</v>
      </c>
      <c r="Y39">
        <f t="array" ref="Y39">IFERROR(CONCATENATE((INDEX($A$7:$A$36,SMALL(IF($Z$7:$Z$36&lt;&gt;"",IF($W$7:$W$36&lt;&gt;"",ROW($W$7:$W$36)-MIN(ROW($W$7:$W$36))+1,""),""),ROW()-ROW(A$38)+1))),),"")</f>
        <v>0</v>
      </c>
    </row>
    <row r="40" spans="1:27">
      <c r="K40">
        <f t="array" ref="K40">IFERROR(CONCATENATE(TEXT(INDEX($K$7:$K$36,SMALL(IF($N$7:$N$36&lt;&gt;"",IF($K$7:$K$36&lt;&gt;"",ROW($K$7:$K$36)-MIN(ROW($K$7:$K$36))+1,""),""),ROW()-ROW(A$38)+1)),"##0"),","),"")</f>
        <v>0</v>
      </c>
      <c r="L40">
        <f t="array" ref="L40">IFERROR(CONCATENATE((INDEX($N$7:$N$36,SMALL(IF($N$7:$N$36&lt;&gt;"",IF($K$7:$K$36&lt;&gt;"",ROW($K$7:$K$36)-MIN(ROW($K$7:$K$36))+1,""),""),ROW()-ROW(A$38)+1))),","),"")</f>
        <v>0</v>
      </c>
      <c r="M40">
        <f t="array" ref="M40">IFERROR(CONCATENATE((INDEX($A$7:$A$36,SMALL(IF($N$7:$N$36&lt;&gt;"",IF($K$7:$K$36&lt;&gt;"",ROW($K$7:$K$36)-MIN(ROW($K$7:$K$36))+1,""),""),ROW()-ROW(A$38)+1))),),"")</f>
        <v>0</v>
      </c>
      <c r="Q40">
        <f t="array" ref="Q40">IFERROR(CONCATENATE((INDEX($T$7:$T$36,SMALL(IF($T$7:$T$36&lt;&gt;"",IF($Q$7:$Q$36&lt;&gt;"",ROW($Q$7:$Q$36)-MIN(ROW($Q$7:$Q$36))+1,""),""),ROW()-ROW(A$38)+1)))," "),"")</f>
        <v>0</v>
      </c>
      <c r="R40">
        <f t="array" ref="R40">IFERROR(CONCATENATE(TEXT(INDEX($Q$7:$Q$36,SMALL(IF($T$7:$T$36&lt;&gt;"",IF($Q$7:$Q$36&lt;&gt;"",ROW($Q$7:$Q$36)-MIN(ROW($Q$7:$Q$36))+1,""),""),ROW()-ROW(A$38)+1)),"##0")," "),"")</f>
        <v>0</v>
      </c>
      <c r="S40">
        <f t="array" ref="S40">IFERROR(CONCATENATE((INDEX($A$7:$A$36,SMALL(IF($T$7:$T$36&lt;&gt;"",IF($Q$7:$Q$36&lt;&gt;"",ROW($Q$7:$Q$36)-MIN(ROW($Q$7:$Q$36))+1,""),""),ROW()-ROW(A$38)+1))),),"")</f>
        <v>0</v>
      </c>
      <c r="W40">
        <f t="array" ref="W40">IFERROR(CONCATENATE((INDEX($Z$7:$Z$36,SMALL(IF($Z$7:$Z$36&lt;&gt;"",IF($W$7:$W$36&lt;&gt;"",ROW($W$7:$W$36)-MIN(ROW($W$7:$W$36))+1,""),""),ROW()-ROW(A$38)+1))),","),"")</f>
        <v>0</v>
      </c>
      <c r="X40">
        <f t="array" ref="X40">IFERROR(CONCATENATE(TEXT(INDEX($W$7:$W$36,SMALL(IF($Z$7:$Z$36&lt;&gt;"",IF($W$7:$W$36&lt;&gt;"",ROW($W$7:$W$36)-MIN(ROW($W$7:$W$36))+1,""),""),ROW()-ROW(A$38)+1)),"##0"),","),"")</f>
        <v>0</v>
      </c>
      <c r="Y40">
        <f t="array" ref="Y40">IFERROR(CONCATENATE((INDEX($A$7:$A$36,SMALL(IF($Z$7:$Z$36&lt;&gt;"",IF($W$7:$W$36&lt;&gt;"",ROW($W$7:$W$36)-MIN(ROW($W$7:$W$36))+1,""),""),ROW()-ROW(A$38)+1))),),"")</f>
        <v>0</v>
      </c>
    </row>
    <row r="41" spans="1:27">
      <c r="K41">
        <f t="array" ref="K41">IFERROR(CONCATENATE(TEXT(INDEX($K$7:$K$36,SMALL(IF($N$7:$N$36&lt;&gt;"",IF($K$7:$K$36&lt;&gt;"",ROW($K$7:$K$36)-MIN(ROW($K$7:$K$36))+1,""),""),ROW()-ROW(A$38)+1)),"##0"),","),"")</f>
        <v>0</v>
      </c>
      <c r="L41">
        <f t="array" ref="L41">IFERROR(CONCATENATE((INDEX($N$7:$N$36,SMALL(IF($N$7:$N$36&lt;&gt;"",IF($K$7:$K$36&lt;&gt;"",ROW($K$7:$K$36)-MIN(ROW($K$7:$K$36))+1,""),""),ROW()-ROW(A$38)+1))),","),"")</f>
        <v>0</v>
      </c>
      <c r="M41">
        <f t="array" ref="M41">IFERROR(CONCATENATE((INDEX($A$7:$A$36,SMALL(IF($N$7:$N$36&lt;&gt;"",IF($K$7:$K$36&lt;&gt;"",ROW($K$7:$K$36)-MIN(ROW($K$7:$K$36))+1,""),""),ROW()-ROW(A$38)+1))),),"")</f>
        <v>0</v>
      </c>
      <c r="Q41">
        <f t="array" ref="Q41">IFERROR(CONCATENATE((INDEX($T$7:$T$36,SMALL(IF($T$7:$T$36&lt;&gt;"",IF($Q$7:$Q$36&lt;&gt;"",ROW($Q$7:$Q$36)-MIN(ROW($Q$7:$Q$36))+1,""),""),ROW()-ROW(A$38)+1)))," "),"")</f>
        <v>0</v>
      </c>
      <c r="R41">
        <f t="array" ref="R41">IFERROR(CONCATENATE(TEXT(INDEX($Q$7:$Q$36,SMALL(IF($T$7:$T$36&lt;&gt;"",IF($Q$7:$Q$36&lt;&gt;"",ROW($Q$7:$Q$36)-MIN(ROW($Q$7:$Q$36))+1,""),""),ROW()-ROW(A$38)+1)),"##0")," "),"")</f>
        <v>0</v>
      </c>
      <c r="S41">
        <f t="array" ref="S41">IFERROR(CONCATENATE((INDEX($A$7:$A$36,SMALL(IF($T$7:$T$36&lt;&gt;"",IF($Q$7:$Q$36&lt;&gt;"",ROW($Q$7:$Q$36)-MIN(ROW($Q$7:$Q$36))+1,""),""),ROW()-ROW(A$38)+1))),),"")</f>
        <v>0</v>
      </c>
      <c r="W41">
        <f t="array" ref="W41">IFERROR(CONCATENATE((INDEX($Z$7:$Z$36,SMALL(IF($Z$7:$Z$36&lt;&gt;"",IF($W$7:$W$36&lt;&gt;"",ROW($W$7:$W$36)-MIN(ROW($W$7:$W$36))+1,""),""),ROW()-ROW(A$38)+1))),","),"")</f>
        <v>0</v>
      </c>
      <c r="X41">
        <f t="array" ref="X41">IFERROR(CONCATENATE(TEXT(INDEX($W$7:$W$36,SMALL(IF($Z$7:$Z$36&lt;&gt;"",IF($W$7:$W$36&lt;&gt;"",ROW($W$7:$W$36)-MIN(ROW($W$7:$W$36))+1,""),""),ROW()-ROW(A$38)+1)),"##0"),","),"")</f>
        <v>0</v>
      </c>
      <c r="Y41">
        <f t="array" ref="Y41">IFERROR(CONCATENATE((INDEX($A$7:$A$36,SMALL(IF($Z$7:$Z$36&lt;&gt;"",IF($W$7:$W$36&lt;&gt;"",ROW($W$7:$W$36)-MIN(ROW($W$7:$W$36))+1,""),""),ROW()-ROW(A$38)+1))),),"")</f>
        <v>0</v>
      </c>
    </row>
    <row r="42" spans="1:27">
      <c r="K42">
        <f t="array" ref="K42">IFERROR(CONCATENATE(TEXT(INDEX($K$7:$K$36,SMALL(IF($N$7:$N$36&lt;&gt;"",IF($K$7:$K$36&lt;&gt;"",ROW($K$7:$K$36)-MIN(ROW($K$7:$K$36))+1,""),""),ROW()-ROW(A$38)+1)),"##0"),","),"")</f>
        <v>0</v>
      </c>
      <c r="L42">
        <f t="array" ref="L42">IFERROR(CONCATENATE((INDEX($N$7:$N$36,SMALL(IF($N$7:$N$36&lt;&gt;"",IF($K$7:$K$36&lt;&gt;"",ROW($K$7:$K$36)-MIN(ROW($K$7:$K$36))+1,""),""),ROW()-ROW(A$38)+1))),","),"")</f>
        <v>0</v>
      </c>
      <c r="M42">
        <f t="array" ref="M42">IFERROR(CONCATENATE((INDEX($A$7:$A$36,SMALL(IF($N$7:$N$36&lt;&gt;"",IF($K$7:$K$36&lt;&gt;"",ROW($K$7:$K$36)-MIN(ROW($K$7:$K$36))+1,""),""),ROW()-ROW(A$38)+1))),),"")</f>
        <v>0</v>
      </c>
      <c r="Q42">
        <f t="array" ref="Q42">IFERROR(CONCATENATE((INDEX($T$7:$T$36,SMALL(IF($T$7:$T$36&lt;&gt;"",IF($Q$7:$Q$36&lt;&gt;"",ROW($Q$7:$Q$36)-MIN(ROW($Q$7:$Q$36))+1,""),""),ROW()-ROW(A$38)+1)))," "),"")</f>
        <v>0</v>
      </c>
      <c r="R42">
        <f t="array" ref="R42">IFERROR(CONCATENATE(TEXT(INDEX($Q$7:$Q$36,SMALL(IF($T$7:$T$36&lt;&gt;"",IF($Q$7:$Q$36&lt;&gt;"",ROW($Q$7:$Q$36)-MIN(ROW($Q$7:$Q$36))+1,""),""),ROW()-ROW(A$38)+1)),"##0")," "),"")</f>
        <v>0</v>
      </c>
      <c r="S42">
        <f t="array" ref="S42">IFERROR(CONCATENATE((INDEX($A$7:$A$36,SMALL(IF($T$7:$T$36&lt;&gt;"",IF($Q$7:$Q$36&lt;&gt;"",ROW($Q$7:$Q$36)-MIN(ROW($Q$7:$Q$36))+1,""),""),ROW()-ROW(A$38)+1))),),"")</f>
        <v>0</v>
      </c>
      <c r="W42">
        <f t="array" ref="W42">IFERROR(CONCATENATE((INDEX($Z$7:$Z$36,SMALL(IF($Z$7:$Z$36&lt;&gt;"",IF($W$7:$W$36&lt;&gt;"",ROW($W$7:$W$36)-MIN(ROW($W$7:$W$36))+1,""),""),ROW()-ROW(A$38)+1))),","),"")</f>
        <v>0</v>
      </c>
      <c r="X42">
        <f t="array" ref="X42">IFERROR(CONCATENATE(TEXT(INDEX($W$7:$W$36,SMALL(IF($Z$7:$Z$36&lt;&gt;"",IF($W$7:$W$36&lt;&gt;"",ROW($W$7:$W$36)-MIN(ROW($W$7:$W$36))+1,""),""),ROW()-ROW(A$38)+1)),"##0"),","),"")</f>
        <v>0</v>
      </c>
      <c r="Y42">
        <f t="array" ref="Y42">IFERROR(CONCATENATE((INDEX($A$7:$A$36,SMALL(IF($Z$7:$Z$36&lt;&gt;"",IF($W$7:$W$36&lt;&gt;"",ROW($W$7:$W$36)-MIN(ROW($W$7:$W$36))+1,""),""),ROW()-ROW(A$38)+1))),),"")</f>
        <v>0</v>
      </c>
    </row>
    <row r="43" spans="1:27">
      <c r="K43">
        <f t="array" ref="K43">IFERROR(CONCATENATE(TEXT(INDEX($K$7:$K$36,SMALL(IF($N$7:$N$36&lt;&gt;"",IF($K$7:$K$36&lt;&gt;"",ROW($K$7:$K$36)-MIN(ROW($K$7:$K$36))+1,""),""),ROW()-ROW(A$38)+1)),"##0"),","),"")</f>
        <v>0</v>
      </c>
      <c r="L43">
        <f t="array" ref="L43">IFERROR(CONCATENATE((INDEX($N$7:$N$36,SMALL(IF($N$7:$N$36&lt;&gt;"",IF($K$7:$K$36&lt;&gt;"",ROW($K$7:$K$36)-MIN(ROW($K$7:$K$36))+1,""),""),ROW()-ROW(A$38)+1))),","),"")</f>
        <v>0</v>
      </c>
      <c r="M43">
        <f t="array" ref="M43">IFERROR(CONCATENATE((INDEX($A$7:$A$36,SMALL(IF($N$7:$N$36&lt;&gt;"",IF($K$7:$K$36&lt;&gt;"",ROW($K$7:$K$36)-MIN(ROW($K$7:$K$36))+1,""),""),ROW()-ROW(A$38)+1))),),"")</f>
        <v>0</v>
      </c>
      <c r="Q43">
        <f t="array" ref="Q43">IFERROR(CONCATENATE((INDEX($T$7:$T$36,SMALL(IF($T$7:$T$36&lt;&gt;"",IF($Q$7:$Q$36&lt;&gt;"",ROW($Q$7:$Q$36)-MIN(ROW($Q$7:$Q$36))+1,""),""),ROW()-ROW(A$38)+1)))," "),"")</f>
        <v>0</v>
      </c>
      <c r="R43">
        <f t="array" ref="R43">IFERROR(CONCATENATE(TEXT(INDEX($Q$7:$Q$36,SMALL(IF($T$7:$T$36&lt;&gt;"",IF($Q$7:$Q$36&lt;&gt;"",ROW($Q$7:$Q$36)-MIN(ROW($Q$7:$Q$36))+1,""),""),ROW()-ROW(A$38)+1)),"##0")," "),"")</f>
        <v>0</v>
      </c>
      <c r="S43">
        <f t="array" ref="S43">IFERROR(CONCATENATE((INDEX($A$7:$A$36,SMALL(IF($T$7:$T$36&lt;&gt;"",IF($Q$7:$Q$36&lt;&gt;"",ROW($Q$7:$Q$36)-MIN(ROW($Q$7:$Q$36))+1,""),""),ROW()-ROW(A$38)+1))),),"")</f>
        <v>0</v>
      </c>
      <c r="W43">
        <f t="array" ref="W43">IFERROR(CONCATENATE((INDEX($Z$7:$Z$36,SMALL(IF($Z$7:$Z$36&lt;&gt;"",IF($W$7:$W$36&lt;&gt;"",ROW($W$7:$W$36)-MIN(ROW($W$7:$W$36))+1,""),""),ROW()-ROW(A$38)+1))),","),"")</f>
        <v>0</v>
      </c>
      <c r="X43">
        <f t="array" ref="X43">IFERROR(CONCATENATE(TEXT(INDEX($W$7:$W$36,SMALL(IF($Z$7:$Z$36&lt;&gt;"",IF($W$7:$W$36&lt;&gt;"",ROW($W$7:$W$36)-MIN(ROW($W$7:$W$36))+1,""),""),ROW()-ROW(A$38)+1)),"##0"),","),"")</f>
        <v>0</v>
      </c>
      <c r="Y43">
        <f t="array" ref="Y43">IFERROR(CONCATENATE((INDEX($A$7:$A$36,SMALL(IF($Z$7:$Z$36&lt;&gt;"",IF($W$7:$W$36&lt;&gt;"",ROW($W$7:$W$36)-MIN(ROW($W$7:$W$36))+1,""),""),ROW()-ROW(A$38)+1))),),"")</f>
        <v>0</v>
      </c>
    </row>
    <row r="44" spans="1:27">
      <c r="K44">
        <f t="array" ref="K44">IFERROR(CONCATENATE(TEXT(INDEX($K$7:$K$36,SMALL(IF($N$7:$N$36&lt;&gt;"",IF($K$7:$K$36&lt;&gt;"",ROW($K$7:$K$36)-MIN(ROW($K$7:$K$36))+1,""),""),ROW()-ROW(A$38)+1)),"##0"),","),"")</f>
        <v>0</v>
      </c>
      <c r="L44">
        <f t="array" ref="L44">IFERROR(CONCATENATE((INDEX($N$7:$N$36,SMALL(IF($N$7:$N$36&lt;&gt;"",IF($K$7:$K$36&lt;&gt;"",ROW($K$7:$K$36)-MIN(ROW($K$7:$K$36))+1,""),""),ROW()-ROW(A$38)+1))),","),"")</f>
        <v>0</v>
      </c>
      <c r="M44">
        <f t="array" ref="M44">IFERROR(CONCATENATE((INDEX($A$7:$A$36,SMALL(IF($N$7:$N$36&lt;&gt;"",IF($K$7:$K$36&lt;&gt;"",ROW($K$7:$K$36)-MIN(ROW($K$7:$K$36))+1,""),""),ROW()-ROW(A$38)+1))),),"")</f>
        <v>0</v>
      </c>
      <c r="Q44">
        <f t="array" ref="Q44">IFERROR(CONCATENATE((INDEX($T$7:$T$36,SMALL(IF($T$7:$T$36&lt;&gt;"",IF($Q$7:$Q$36&lt;&gt;"",ROW($Q$7:$Q$36)-MIN(ROW($Q$7:$Q$36))+1,""),""),ROW()-ROW(A$38)+1)))," "),"")</f>
        <v>0</v>
      </c>
      <c r="R44">
        <f t="array" ref="R44">IFERROR(CONCATENATE(TEXT(INDEX($Q$7:$Q$36,SMALL(IF($T$7:$T$36&lt;&gt;"",IF($Q$7:$Q$36&lt;&gt;"",ROW($Q$7:$Q$36)-MIN(ROW($Q$7:$Q$36))+1,""),""),ROW()-ROW(A$38)+1)),"##0")," "),"")</f>
        <v>0</v>
      </c>
      <c r="S44">
        <f t="array" ref="S44">IFERROR(CONCATENATE((INDEX($A$7:$A$36,SMALL(IF($T$7:$T$36&lt;&gt;"",IF($Q$7:$Q$36&lt;&gt;"",ROW($Q$7:$Q$36)-MIN(ROW($Q$7:$Q$36))+1,""),""),ROW()-ROW(A$38)+1))),),"")</f>
        <v>0</v>
      </c>
      <c r="W44">
        <f t="array" ref="W44">IFERROR(CONCATENATE((INDEX($Z$7:$Z$36,SMALL(IF($Z$7:$Z$36&lt;&gt;"",IF($W$7:$W$36&lt;&gt;"",ROW($W$7:$W$36)-MIN(ROW($W$7:$W$36))+1,""),""),ROW()-ROW(A$38)+1))),","),"")</f>
        <v>0</v>
      </c>
      <c r="X44">
        <f t="array" ref="X44">IFERROR(CONCATENATE(TEXT(INDEX($W$7:$W$36,SMALL(IF($Z$7:$Z$36&lt;&gt;"",IF($W$7:$W$36&lt;&gt;"",ROW($W$7:$W$36)-MIN(ROW($W$7:$W$36))+1,""),""),ROW()-ROW(A$38)+1)),"##0"),","),"")</f>
        <v>0</v>
      </c>
      <c r="Y44">
        <f t="array" ref="Y44">IFERROR(CONCATENATE((INDEX($A$7:$A$36,SMALL(IF($Z$7:$Z$36&lt;&gt;"",IF($W$7:$W$36&lt;&gt;"",ROW($W$7:$W$36)-MIN(ROW($W$7:$W$36))+1,""),""),ROW()-ROW(A$38)+1))),),"")</f>
        <v>0</v>
      </c>
    </row>
    <row r="45" spans="1:27">
      <c r="K45">
        <f t="array" ref="K45">IFERROR(CONCATENATE(TEXT(INDEX($K$7:$K$36,SMALL(IF($N$7:$N$36&lt;&gt;"",IF($K$7:$K$36&lt;&gt;"",ROW($K$7:$K$36)-MIN(ROW($K$7:$K$36))+1,""),""),ROW()-ROW(A$38)+1)),"##0"),","),"")</f>
        <v>0</v>
      </c>
      <c r="L45">
        <f t="array" ref="L45">IFERROR(CONCATENATE((INDEX($N$7:$N$36,SMALL(IF($N$7:$N$36&lt;&gt;"",IF($K$7:$K$36&lt;&gt;"",ROW($K$7:$K$36)-MIN(ROW($K$7:$K$36))+1,""),""),ROW()-ROW(A$38)+1))),","),"")</f>
        <v>0</v>
      </c>
      <c r="M45">
        <f t="array" ref="M45">IFERROR(CONCATENATE((INDEX($A$7:$A$36,SMALL(IF($N$7:$N$36&lt;&gt;"",IF($K$7:$K$36&lt;&gt;"",ROW($K$7:$K$36)-MIN(ROW($K$7:$K$36))+1,""),""),ROW()-ROW(A$38)+1))),),"")</f>
        <v>0</v>
      </c>
      <c r="Q45">
        <f t="array" ref="Q45">IFERROR(CONCATENATE((INDEX($T$7:$T$36,SMALL(IF($T$7:$T$36&lt;&gt;"",IF($Q$7:$Q$36&lt;&gt;"",ROW($Q$7:$Q$36)-MIN(ROW($Q$7:$Q$36))+1,""),""),ROW()-ROW(A$38)+1)))," "),"")</f>
        <v>0</v>
      </c>
      <c r="R45">
        <f t="array" ref="R45">IFERROR(CONCATENATE(TEXT(INDEX($Q$7:$Q$36,SMALL(IF($T$7:$T$36&lt;&gt;"",IF($Q$7:$Q$36&lt;&gt;"",ROW($Q$7:$Q$36)-MIN(ROW($Q$7:$Q$36))+1,""),""),ROW()-ROW(A$38)+1)),"##0")," "),"")</f>
        <v>0</v>
      </c>
      <c r="S45">
        <f t="array" ref="S45">IFERROR(CONCATENATE((INDEX($A$7:$A$36,SMALL(IF($T$7:$T$36&lt;&gt;"",IF($Q$7:$Q$36&lt;&gt;"",ROW($Q$7:$Q$36)-MIN(ROW($Q$7:$Q$36))+1,""),""),ROW()-ROW(A$38)+1))),),"")</f>
        <v>0</v>
      </c>
      <c r="W45">
        <f t="array" ref="W45">IFERROR(CONCATENATE((INDEX($Z$7:$Z$36,SMALL(IF($Z$7:$Z$36&lt;&gt;"",IF($W$7:$W$36&lt;&gt;"",ROW($W$7:$W$36)-MIN(ROW($W$7:$W$36))+1,""),""),ROW()-ROW(A$38)+1))),","),"")</f>
        <v>0</v>
      </c>
      <c r="X45">
        <f t="array" ref="X45">IFERROR(CONCATENATE(TEXT(INDEX($W$7:$W$36,SMALL(IF($Z$7:$Z$36&lt;&gt;"",IF($W$7:$W$36&lt;&gt;"",ROW($W$7:$W$36)-MIN(ROW($W$7:$W$36))+1,""),""),ROW()-ROW(A$38)+1)),"##0"),","),"")</f>
        <v>0</v>
      </c>
      <c r="Y45">
        <f t="array" ref="Y45">IFERROR(CONCATENATE((INDEX($A$7:$A$36,SMALL(IF($Z$7:$Z$36&lt;&gt;"",IF($W$7:$W$36&lt;&gt;"",ROW($W$7:$W$36)-MIN(ROW($W$7:$W$36))+1,""),""),ROW()-ROW(A$38)+1))),),"")</f>
        <v>0</v>
      </c>
    </row>
    <row r="46" spans="1:27">
      <c r="K46">
        <f t="array" ref="K46">IFERROR(CONCATENATE(TEXT(INDEX($K$7:$K$36,SMALL(IF($N$7:$N$36&lt;&gt;"",IF($K$7:$K$36&lt;&gt;"",ROW($K$7:$K$36)-MIN(ROW($K$7:$K$36))+1,""),""),ROW()-ROW(A$38)+1)),"##0"),","),"")</f>
        <v>0</v>
      </c>
      <c r="L46">
        <f t="array" ref="L46">IFERROR(CONCATENATE((INDEX($N$7:$N$36,SMALL(IF($N$7:$N$36&lt;&gt;"",IF($K$7:$K$36&lt;&gt;"",ROW($K$7:$K$36)-MIN(ROW($K$7:$K$36))+1,""),""),ROW()-ROW(A$38)+1))),","),"")</f>
        <v>0</v>
      </c>
      <c r="M46">
        <f t="array" ref="M46">IFERROR(CONCATENATE((INDEX($A$7:$A$36,SMALL(IF($N$7:$N$36&lt;&gt;"",IF($K$7:$K$36&lt;&gt;"",ROW($K$7:$K$36)-MIN(ROW($K$7:$K$36))+1,""),""),ROW()-ROW(A$38)+1))),),"")</f>
        <v>0</v>
      </c>
      <c r="Q46">
        <f t="array" ref="Q46">IFERROR(CONCATENATE((INDEX($T$7:$T$36,SMALL(IF($T$7:$T$36&lt;&gt;"",IF($Q$7:$Q$36&lt;&gt;"",ROW($Q$7:$Q$36)-MIN(ROW($Q$7:$Q$36))+1,""),""),ROW()-ROW(A$38)+1)))," "),"")</f>
        <v>0</v>
      </c>
      <c r="R46">
        <f t="array" ref="R46">IFERROR(CONCATENATE(TEXT(INDEX($Q$7:$Q$36,SMALL(IF($T$7:$T$36&lt;&gt;"",IF($Q$7:$Q$36&lt;&gt;"",ROW($Q$7:$Q$36)-MIN(ROW($Q$7:$Q$36))+1,""),""),ROW()-ROW(A$38)+1)),"##0")," "),"")</f>
        <v>0</v>
      </c>
      <c r="S46">
        <f t="array" ref="S46">IFERROR(CONCATENATE((INDEX($A$7:$A$36,SMALL(IF($T$7:$T$36&lt;&gt;"",IF($Q$7:$Q$36&lt;&gt;"",ROW($Q$7:$Q$36)-MIN(ROW($Q$7:$Q$36))+1,""),""),ROW()-ROW(A$38)+1))),),"")</f>
        <v>0</v>
      </c>
      <c r="W46">
        <f t="array" ref="W46">IFERROR(CONCATENATE((INDEX($Z$7:$Z$36,SMALL(IF($Z$7:$Z$36&lt;&gt;"",IF($W$7:$W$36&lt;&gt;"",ROW($W$7:$W$36)-MIN(ROW($W$7:$W$36))+1,""),""),ROW()-ROW(A$38)+1))),","),"")</f>
        <v>0</v>
      </c>
      <c r="X46">
        <f t="array" ref="X46">IFERROR(CONCATENATE(TEXT(INDEX($W$7:$W$36,SMALL(IF($Z$7:$Z$36&lt;&gt;"",IF($W$7:$W$36&lt;&gt;"",ROW($W$7:$W$36)-MIN(ROW($W$7:$W$36))+1,""),""),ROW()-ROW(A$38)+1)),"##0"),","),"")</f>
        <v>0</v>
      </c>
      <c r="Y46">
        <f t="array" ref="Y46">IFERROR(CONCATENATE((INDEX($A$7:$A$36,SMALL(IF($Z$7:$Z$36&lt;&gt;"",IF($W$7:$W$36&lt;&gt;"",ROW($W$7:$W$36)-MIN(ROW($W$7:$W$36))+1,""),""),ROW()-ROW(A$38)+1))),),"")</f>
        <v>0</v>
      </c>
    </row>
    <row r="47" spans="1:27">
      <c r="K47">
        <f t="array" ref="K47">IFERROR(CONCATENATE(TEXT(INDEX($K$7:$K$36,SMALL(IF($N$7:$N$36&lt;&gt;"",IF($K$7:$K$36&lt;&gt;"",ROW($K$7:$K$36)-MIN(ROW($K$7:$K$36))+1,""),""),ROW()-ROW(A$38)+1)),"##0"),","),"")</f>
        <v>0</v>
      </c>
      <c r="L47">
        <f t="array" ref="L47">IFERROR(CONCATENATE((INDEX($N$7:$N$36,SMALL(IF($N$7:$N$36&lt;&gt;"",IF($K$7:$K$36&lt;&gt;"",ROW($K$7:$K$36)-MIN(ROW($K$7:$K$36))+1,""),""),ROW()-ROW(A$38)+1))),","),"")</f>
        <v>0</v>
      </c>
      <c r="M47">
        <f t="array" ref="M47">IFERROR(CONCATENATE((INDEX($A$7:$A$36,SMALL(IF($N$7:$N$36&lt;&gt;"",IF($K$7:$K$36&lt;&gt;"",ROW($K$7:$K$36)-MIN(ROW($K$7:$K$36))+1,""),""),ROW()-ROW(A$38)+1))),),"")</f>
        <v>0</v>
      </c>
      <c r="Q47">
        <f t="array" ref="Q47">IFERROR(CONCATENATE((INDEX($T$7:$T$36,SMALL(IF($T$7:$T$36&lt;&gt;"",IF($Q$7:$Q$36&lt;&gt;"",ROW($Q$7:$Q$36)-MIN(ROW($Q$7:$Q$36))+1,""),""),ROW()-ROW(A$38)+1)))," "),"")</f>
        <v>0</v>
      </c>
      <c r="R47">
        <f t="array" ref="R47">IFERROR(CONCATENATE(TEXT(INDEX($Q$7:$Q$36,SMALL(IF($T$7:$T$36&lt;&gt;"",IF($Q$7:$Q$36&lt;&gt;"",ROW($Q$7:$Q$36)-MIN(ROW($Q$7:$Q$36))+1,""),""),ROW()-ROW(A$38)+1)),"##0")," "),"")</f>
        <v>0</v>
      </c>
      <c r="S47">
        <f t="array" ref="S47">IFERROR(CONCATENATE((INDEX($A$7:$A$36,SMALL(IF($T$7:$T$36&lt;&gt;"",IF($Q$7:$Q$36&lt;&gt;"",ROW($Q$7:$Q$36)-MIN(ROW($Q$7:$Q$36))+1,""),""),ROW()-ROW(A$38)+1))),),"")</f>
        <v>0</v>
      </c>
      <c r="W47">
        <f t="array" ref="W47">IFERROR(CONCATENATE((INDEX($Z$7:$Z$36,SMALL(IF($Z$7:$Z$36&lt;&gt;"",IF($W$7:$W$36&lt;&gt;"",ROW($W$7:$W$36)-MIN(ROW($W$7:$W$36))+1,""),""),ROW()-ROW(A$38)+1))),","),"")</f>
        <v>0</v>
      </c>
      <c r="X47">
        <f t="array" ref="X47">IFERROR(CONCATENATE(TEXT(INDEX($W$7:$W$36,SMALL(IF($Z$7:$Z$36&lt;&gt;"",IF($W$7:$W$36&lt;&gt;"",ROW($W$7:$W$36)-MIN(ROW($W$7:$W$36))+1,""),""),ROW()-ROW(A$38)+1)),"##0"),","),"")</f>
        <v>0</v>
      </c>
      <c r="Y47">
        <f t="array" ref="Y47">IFERROR(CONCATENATE((INDEX($A$7:$A$36,SMALL(IF($Z$7:$Z$36&lt;&gt;"",IF($W$7:$W$36&lt;&gt;"",ROW($W$7:$W$36)-MIN(ROW($W$7:$W$36))+1,""),""),ROW()-ROW(A$38)+1))),),"")</f>
        <v>0</v>
      </c>
    </row>
    <row r="48" spans="1:27">
      <c r="K48">
        <f t="array" ref="K48">IFERROR(CONCATENATE(TEXT(INDEX($K$7:$K$36,SMALL(IF($N$7:$N$36&lt;&gt;"",IF($K$7:$K$36&lt;&gt;"",ROW($K$7:$K$36)-MIN(ROW($K$7:$K$36))+1,""),""),ROW()-ROW(A$38)+1)),"##0"),","),"")</f>
        <v>0</v>
      </c>
      <c r="L48">
        <f t="array" ref="L48">IFERROR(CONCATENATE((INDEX($N$7:$N$36,SMALL(IF($N$7:$N$36&lt;&gt;"",IF($K$7:$K$36&lt;&gt;"",ROW($K$7:$K$36)-MIN(ROW($K$7:$K$36))+1,""),""),ROW()-ROW(A$38)+1))),","),"")</f>
        <v>0</v>
      </c>
      <c r="M48">
        <f t="array" ref="M48">IFERROR(CONCATENATE((INDEX($A$7:$A$36,SMALL(IF($N$7:$N$36&lt;&gt;"",IF($K$7:$K$36&lt;&gt;"",ROW($K$7:$K$36)-MIN(ROW($K$7:$K$36))+1,""),""),ROW()-ROW(A$38)+1))),),"")</f>
        <v>0</v>
      </c>
      <c r="Q48">
        <f t="array" ref="Q48">IFERROR(CONCATENATE((INDEX($T$7:$T$36,SMALL(IF($T$7:$T$36&lt;&gt;"",IF($Q$7:$Q$36&lt;&gt;"",ROW($Q$7:$Q$36)-MIN(ROW($Q$7:$Q$36))+1,""),""),ROW()-ROW(A$38)+1)))," "),"")</f>
        <v>0</v>
      </c>
      <c r="R48">
        <f t="array" ref="R48">IFERROR(CONCATENATE(TEXT(INDEX($Q$7:$Q$36,SMALL(IF($T$7:$T$36&lt;&gt;"",IF($Q$7:$Q$36&lt;&gt;"",ROW($Q$7:$Q$36)-MIN(ROW($Q$7:$Q$36))+1,""),""),ROW()-ROW(A$38)+1)),"##0")," "),"")</f>
        <v>0</v>
      </c>
      <c r="S48">
        <f t="array" ref="S48">IFERROR(CONCATENATE((INDEX($A$7:$A$36,SMALL(IF($T$7:$T$36&lt;&gt;"",IF($Q$7:$Q$36&lt;&gt;"",ROW($Q$7:$Q$36)-MIN(ROW($Q$7:$Q$36))+1,""),""),ROW()-ROW(A$38)+1))),),"")</f>
        <v>0</v>
      </c>
      <c r="W48">
        <f t="array" ref="W48">IFERROR(CONCATENATE((INDEX($Z$7:$Z$36,SMALL(IF($Z$7:$Z$36&lt;&gt;"",IF($W$7:$W$36&lt;&gt;"",ROW($W$7:$W$36)-MIN(ROW($W$7:$W$36))+1,""),""),ROW()-ROW(A$38)+1))),","),"")</f>
        <v>0</v>
      </c>
      <c r="X48">
        <f t="array" ref="X48">IFERROR(CONCATENATE(TEXT(INDEX($W$7:$W$36,SMALL(IF($Z$7:$Z$36&lt;&gt;"",IF($W$7:$W$36&lt;&gt;"",ROW($W$7:$W$36)-MIN(ROW($W$7:$W$36))+1,""),""),ROW()-ROW(A$38)+1)),"##0"),","),"")</f>
        <v>0</v>
      </c>
      <c r="Y48">
        <f t="array" ref="Y48">IFERROR(CONCATENATE((INDEX($A$7:$A$36,SMALL(IF($Z$7:$Z$36&lt;&gt;"",IF($W$7:$W$36&lt;&gt;"",ROW($W$7:$W$36)-MIN(ROW($W$7:$W$36))+1,""),""),ROW()-ROW(A$38)+1))),),"")</f>
        <v>0</v>
      </c>
    </row>
    <row r="49" spans="11:25">
      <c r="K49">
        <f t="array" ref="K49">IFERROR(CONCATENATE(TEXT(INDEX($K$7:$K$36,SMALL(IF($N$7:$N$36&lt;&gt;"",IF($K$7:$K$36&lt;&gt;"",ROW($K$7:$K$36)-MIN(ROW($K$7:$K$36))+1,""),""),ROW()-ROW(A$38)+1)),"##0"),","),"")</f>
        <v>0</v>
      </c>
      <c r="L49">
        <f t="array" ref="L49">IFERROR(CONCATENATE((INDEX($N$7:$N$36,SMALL(IF($N$7:$N$36&lt;&gt;"",IF($K$7:$K$36&lt;&gt;"",ROW($K$7:$K$36)-MIN(ROW($K$7:$K$36))+1,""),""),ROW()-ROW(A$38)+1))),","),"")</f>
        <v>0</v>
      </c>
      <c r="M49">
        <f t="array" ref="M49">IFERROR(CONCATENATE((INDEX($A$7:$A$36,SMALL(IF($N$7:$N$36&lt;&gt;"",IF($K$7:$K$36&lt;&gt;"",ROW($K$7:$K$36)-MIN(ROW($K$7:$K$36))+1,""),""),ROW()-ROW(A$38)+1))),),"")</f>
        <v>0</v>
      </c>
      <c r="Q49">
        <f t="array" ref="Q49">IFERROR(CONCATENATE((INDEX($T$7:$T$36,SMALL(IF($T$7:$T$36&lt;&gt;"",IF($Q$7:$Q$36&lt;&gt;"",ROW($Q$7:$Q$36)-MIN(ROW($Q$7:$Q$36))+1,""),""),ROW()-ROW(A$38)+1)))," "),"")</f>
        <v>0</v>
      </c>
      <c r="R49">
        <f t="array" ref="R49">IFERROR(CONCATENATE(TEXT(INDEX($Q$7:$Q$36,SMALL(IF($T$7:$T$36&lt;&gt;"",IF($Q$7:$Q$36&lt;&gt;"",ROW($Q$7:$Q$36)-MIN(ROW($Q$7:$Q$36))+1,""),""),ROW()-ROW(A$38)+1)),"##0")," "),"")</f>
        <v>0</v>
      </c>
      <c r="S49">
        <f t="array" ref="S49">IFERROR(CONCATENATE((INDEX($A$7:$A$36,SMALL(IF($T$7:$T$36&lt;&gt;"",IF($Q$7:$Q$36&lt;&gt;"",ROW($Q$7:$Q$36)-MIN(ROW($Q$7:$Q$36))+1,""),""),ROW()-ROW(A$38)+1))),),"")</f>
        <v>0</v>
      </c>
      <c r="W49">
        <f t="array" ref="W49">IFERROR(CONCATENATE((INDEX($Z$7:$Z$36,SMALL(IF($Z$7:$Z$36&lt;&gt;"",IF($W$7:$W$36&lt;&gt;"",ROW($W$7:$W$36)-MIN(ROW($W$7:$W$36))+1,""),""),ROW()-ROW(A$38)+1))),","),"")</f>
        <v>0</v>
      </c>
      <c r="X49">
        <f t="array" ref="X49">IFERROR(CONCATENATE(TEXT(INDEX($W$7:$W$36,SMALL(IF($Z$7:$Z$36&lt;&gt;"",IF($W$7:$W$36&lt;&gt;"",ROW($W$7:$W$36)-MIN(ROW($W$7:$W$36))+1,""),""),ROW()-ROW(A$38)+1)),"##0"),","),"")</f>
        <v>0</v>
      </c>
      <c r="Y49">
        <f t="array" ref="Y49">IFERROR(CONCATENATE((INDEX($A$7:$A$36,SMALL(IF($Z$7:$Z$36&lt;&gt;"",IF($W$7:$W$36&lt;&gt;"",ROW($W$7:$W$36)-MIN(ROW($W$7:$W$36))+1,""),""),ROW()-ROW(A$38)+1))),),"")</f>
        <v>0</v>
      </c>
    </row>
    <row r="50" spans="11:25">
      <c r="K50">
        <f t="array" ref="K50">IFERROR(CONCATENATE(TEXT(INDEX($K$7:$K$36,SMALL(IF($N$7:$N$36&lt;&gt;"",IF($K$7:$K$36&lt;&gt;"",ROW($K$7:$K$36)-MIN(ROW($K$7:$K$36))+1,""),""),ROW()-ROW(A$38)+1)),"##0"),","),"")</f>
        <v>0</v>
      </c>
      <c r="L50">
        <f t="array" ref="L50">IFERROR(CONCATENATE((INDEX($N$7:$N$36,SMALL(IF($N$7:$N$36&lt;&gt;"",IF($K$7:$K$36&lt;&gt;"",ROW($K$7:$K$36)-MIN(ROW($K$7:$K$36))+1,""),""),ROW()-ROW(A$38)+1))),","),"")</f>
        <v>0</v>
      </c>
      <c r="M50">
        <f t="array" ref="M50">IFERROR(CONCATENATE((INDEX($A$7:$A$36,SMALL(IF($N$7:$N$36&lt;&gt;"",IF($K$7:$K$36&lt;&gt;"",ROW($K$7:$K$36)-MIN(ROW($K$7:$K$36))+1,""),""),ROW()-ROW(A$38)+1))),),"")</f>
        <v>0</v>
      </c>
      <c r="Q50">
        <f t="array" ref="Q50">IFERROR(CONCATENATE((INDEX($T$7:$T$36,SMALL(IF($T$7:$T$36&lt;&gt;"",IF($Q$7:$Q$36&lt;&gt;"",ROW($Q$7:$Q$36)-MIN(ROW($Q$7:$Q$36))+1,""),""),ROW()-ROW(A$38)+1)))," "),"")</f>
        <v>0</v>
      </c>
      <c r="R50">
        <f t="array" ref="R50">IFERROR(CONCATENATE(TEXT(INDEX($Q$7:$Q$36,SMALL(IF($T$7:$T$36&lt;&gt;"",IF($Q$7:$Q$36&lt;&gt;"",ROW($Q$7:$Q$36)-MIN(ROW($Q$7:$Q$36))+1,""),""),ROW()-ROW(A$38)+1)),"##0")," "),"")</f>
        <v>0</v>
      </c>
      <c r="S50">
        <f t="array" ref="S50">IFERROR(CONCATENATE((INDEX($A$7:$A$36,SMALL(IF($T$7:$T$36&lt;&gt;"",IF($Q$7:$Q$36&lt;&gt;"",ROW($Q$7:$Q$36)-MIN(ROW($Q$7:$Q$36))+1,""),""),ROW()-ROW(A$38)+1))),),"")</f>
        <v>0</v>
      </c>
      <c r="W50">
        <f t="array" ref="W50">IFERROR(CONCATENATE((INDEX($Z$7:$Z$36,SMALL(IF($Z$7:$Z$36&lt;&gt;"",IF($W$7:$W$36&lt;&gt;"",ROW($W$7:$W$36)-MIN(ROW($W$7:$W$36))+1,""),""),ROW()-ROW(A$38)+1))),","),"")</f>
        <v>0</v>
      </c>
      <c r="X50">
        <f t="array" ref="X50">IFERROR(CONCATENATE(TEXT(INDEX($W$7:$W$36,SMALL(IF($Z$7:$Z$36&lt;&gt;"",IF($W$7:$W$36&lt;&gt;"",ROW($W$7:$W$36)-MIN(ROW($W$7:$W$36))+1,""),""),ROW()-ROW(A$38)+1)),"##0"),","),"")</f>
        <v>0</v>
      </c>
      <c r="Y50">
        <f t="array" ref="Y50">IFERROR(CONCATENATE((INDEX($A$7:$A$36,SMALL(IF($Z$7:$Z$36&lt;&gt;"",IF($W$7:$W$36&lt;&gt;"",ROW($W$7:$W$36)-MIN(ROW($W$7:$W$36))+1,""),""),ROW()-ROW(A$38)+1))),),"")</f>
        <v>0</v>
      </c>
    </row>
    <row r="51" spans="11:25">
      <c r="K51">
        <f t="array" ref="K51">IFERROR(CONCATENATE(TEXT(INDEX($K$7:$K$36,SMALL(IF($N$7:$N$36&lt;&gt;"",IF($K$7:$K$36&lt;&gt;"",ROW($K$7:$K$36)-MIN(ROW($K$7:$K$36))+1,""),""),ROW()-ROW(A$38)+1)),"##0"),","),"")</f>
        <v>0</v>
      </c>
      <c r="L51">
        <f t="array" ref="L51">IFERROR(CONCATENATE((INDEX($N$7:$N$36,SMALL(IF($N$7:$N$36&lt;&gt;"",IF($K$7:$K$36&lt;&gt;"",ROW($K$7:$K$36)-MIN(ROW($K$7:$K$36))+1,""),""),ROW()-ROW(A$38)+1))),","),"")</f>
        <v>0</v>
      </c>
      <c r="M51">
        <f t="array" ref="M51">IFERROR(CONCATENATE((INDEX($A$7:$A$36,SMALL(IF($N$7:$N$36&lt;&gt;"",IF($K$7:$K$36&lt;&gt;"",ROW($K$7:$K$36)-MIN(ROW($K$7:$K$36))+1,""),""),ROW()-ROW(A$38)+1))),),"")</f>
        <v>0</v>
      </c>
      <c r="Q51">
        <f t="array" ref="Q51">IFERROR(CONCATENATE((INDEX($T$7:$T$36,SMALL(IF($T$7:$T$36&lt;&gt;"",IF($Q$7:$Q$36&lt;&gt;"",ROW($Q$7:$Q$36)-MIN(ROW($Q$7:$Q$36))+1,""),""),ROW()-ROW(A$38)+1)))," "),"")</f>
        <v>0</v>
      </c>
      <c r="R51">
        <f t="array" ref="R51">IFERROR(CONCATENATE(TEXT(INDEX($Q$7:$Q$36,SMALL(IF($T$7:$T$36&lt;&gt;"",IF($Q$7:$Q$36&lt;&gt;"",ROW($Q$7:$Q$36)-MIN(ROW($Q$7:$Q$36))+1,""),""),ROW()-ROW(A$38)+1)),"##0")," "),"")</f>
        <v>0</v>
      </c>
      <c r="S51">
        <f t="array" ref="S51">IFERROR(CONCATENATE((INDEX($A$7:$A$36,SMALL(IF($T$7:$T$36&lt;&gt;"",IF($Q$7:$Q$36&lt;&gt;"",ROW($Q$7:$Q$36)-MIN(ROW($Q$7:$Q$36))+1,""),""),ROW()-ROW(A$38)+1))),),"")</f>
        <v>0</v>
      </c>
      <c r="W51">
        <f t="array" ref="W51">IFERROR(CONCATENATE((INDEX($Z$7:$Z$36,SMALL(IF($Z$7:$Z$36&lt;&gt;"",IF($W$7:$W$36&lt;&gt;"",ROW($W$7:$W$36)-MIN(ROW($W$7:$W$36))+1,""),""),ROW()-ROW(A$38)+1))),","),"")</f>
        <v>0</v>
      </c>
      <c r="X51">
        <f t="array" ref="X51">IFERROR(CONCATENATE(TEXT(INDEX($W$7:$W$36,SMALL(IF($Z$7:$Z$36&lt;&gt;"",IF($W$7:$W$36&lt;&gt;"",ROW($W$7:$W$36)-MIN(ROW($W$7:$W$36))+1,""),""),ROW()-ROW(A$38)+1)),"##0"),","),"")</f>
        <v>0</v>
      </c>
      <c r="Y51">
        <f t="array" ref="Y51">IFERROR(CONCATENATE((INDEX($A$7:$A$36,SMALL(IF($Z$7:$Z$36&lt;&gt;"",IF($W$7:$W$36&lt;&gt;"",ROW($W$7:$W$36)-MIN(ROW($W$7:$W$36))+1,""),""),ROW()-ROW(A$38)+1))),),"")</f>
        <v>0</v>
      </c>
    </row>
    <row r="52" spans="11:25">
      <c r="K52">
        <f t="array" ref="K52">IFERROR(CONCATENATE(TEXT(INDEX($K$7:$K$36,SMALL(IF($N$7:$N$36&lt;&gt;"",IF($K$7:$K$36&lt;&gt;"",ROW($K$7:$K$36)-MIN(ROW($K$7:$K$36))+1,""),""),ROW()-ROW(A$38)+1)),"##0"),","),"")</f>
        <v>0</v>
      </c>
      <c r="L52">
        <f t="array" ref="L52">IFERROR(CONCATENATE((INDEX($N$7:$N$36,SMALL(IF($N$7:$N$36&lt;&gt;"",IF($K$7:$K$36&lt;&gt;"",ROW($K$7:$K$36)-MIN(ROW($K$7:$K$36))+1,""),""),ROW()-ROW(A$38)+1))),","),"")</f>
        <v>0</v>
      </c>
      <c r="M52">
        <f t="array" ref="M52">IFERROR(CONCATENATE((INDEX($A$7:$A$36,SMALL(IF($N$7:$N$36&lt;&gt;"",IF($K$7:$K$36&lt;&gt;"",ROW($K$7:$K$36)-MIN(ROW($K$7:$K$36))+1,""),""),ROW()-ROW(A$38)+1))),),"")</f>
        <v>0</v>
      </c>
      <c r="Q52">
        <f t="array" ref="Q52">IFERROR(CONCATENATE((INDEX($T$7:$T$36,SMALL(IF($T$7:$T$36&lt;&gt;"",IF($Q$7:$Q$36&lt;&gt;"",ROW($Q$7:$Q$36)-MIN(ROW($Q$7:$Q$36))+1,""),""),ROW()-ROW(A$38)+1)))," "),"")</f>
        <v>0</v>
      </c>
      <c r="R52">
        <f t="array" ref="R52">IFERROR(CONCATENATE(TEXT(INDEX($Q$7:$Q$36,SMALL(IF($T$7:$T$36&lt;&gt;"",IF($Q$7:$Q$36&lt;&gt;"",ROW($Q$7:$Q$36)-MIN(ROW($Q$7:$Q$36))+1,""),""),ROW()-ROW(A$38)+1)),"##0")," "),"")</f>
        <v>0</v>
      </c>
      <c r="S52">
        <f t="array" ref="S52">IFERROR(CONCATENATE((INDEX($A$7:$A$36,SMALL(IF($T$7:$T$36&lt;&gt;"",IF($Q$7:$Q$36&lt;&gt;"",ROW($Q$7:$Q$36)-MIN(ROW($Q$7:$Q$36))+1,""),""),ROW()-ROW(A$38)+1))),),"")</f>
        <v>0</v>
      </c>
      <c r="W52">
        <f t="array" ref="W52">IFERROR(CONCATENATE((INDEX($Z$7:$Z$36,SMALL(IF($Z$7:$Z$36&lt;&gt;"",IF($W$7:$W$36&lt;&gt;"",ROW($W$7:$W$36)-MIN(ROW($W$7:$W$36))+1,""),""),ROW()-ROW(A$38)+1))),","),"")</f>
        <v>0</v>
      </c>
      <c r="X52">
        <f t="array" ref="X52">IFERROR(CONCATENATE(TEXT(INDEX($W$7:$W$36,SMALL(IF($Z$7:$Z$36&lt;&gt;"",IF($W$7:$W$36&lt;&gt;"",ROW($W$7:$W$36)-MIN(ROW($W$7:$W$36))+1,""),""),ROW()-ROW(A$38)+1)),"##0"),","),"")</f>
        <v>0</v>
      </c>
      <c r="Y52">
        <f t="array" ref="Y52">IFERROR(CONCATENATE((INDEX($A$7:$A$36,SMALL(IF($Z$7:$Z$36&lt;&gt;"",IF($W$7:$W$36&lt;&gt;"",ROW($W$7:$W$36)-MIN(ROW($W$7:$W$36))+1,""),""),ROW()-ROW(A$38)+1))),),"")</f>
        <v>0</v>
      </c>
    </row>
    <row r="53" spans="11:25">
      <c r="K53">
        <f t="array" ref="K53">IFERROR(CONCATENATE(TEXT(INDEX($K$7:$K$36,SMALL(IF($N$7:$N$36&lt;&gt;"",IF($K$7:$K$36&lt;&gt;"",ROW($K$7:$K$36)-MIN(ROW($K$7:$K$36))+1,""),""),ROW()-ROW(A$38)+1)),"##0"),","),"")</f>
        <v>0</v>
      </c>
      <c r="L53">
        <f t="array" ref="L53">IFERROR(CONCATENATE((INDEX($N$7:$N$36,SMALL(IF($N$7:$N$36&lt;&gt;"",IF($K$7:$K$36&lt;&gt;"",ROW($K$7:$K$36)-MIN(ROW($K$7:$K$36))+1,""),""),ROW()-ROW(A$38)+1))),","),"")</f>
        <v>0</v>
      </c>
      <c r="M53">
        <f t="array" ref="M53">IFERROR(CONCATENATE((INDEX($A$7:$A$36,SMALL(IF($N$7:$N$36&lt;&gt;"",IF($K$7:$K$36&lt;&gt;"",ROW($K$7:$K$36)-MIN(ROW($K$7:$K$36))+1,""),""),ROW()-ROW(A$38)+1))),),"")</f>
        <v>0</v>
      </c>
      <c r="Q53">
        <f t="array" ref="Q53">IFERROR(CONCATENATE((INDEX($T$7:$T$36,SMALL(IF($T$7:$T$36&lt;&gt;"",IF($Q$7:$Q$36&lt;&gt;"",ROW($Q$7:$Q$36)-MIN(ROW($Q$7:$Q$36))+1,""),""),ROW()-ROW(A$38)+1)))," "),"")</f>
        <v>0</v>
      </c>
      <c r="R53">
        <f t="array" ref="R53">IFERROR(CONCATENATE(TEXT(INDEX($Q$7:$Q$36,SMALL(IF($T$7:$T$36&lt;&gt;"",IF($Q$7:$Q$36&lt;&gt;"",ROW($Q$7:$Q$36)-MIN(ROW($Q$7:$Q$36))+1,""),""),ROW()-ROW(A$38)+1)),"##0")," "),"")</f>
        <v>0</v>
      </c>
      <c r="S53">
        <f t="array" ref="S53">IFERROR(CONCATENATE((INDEX($A$7:$A$36,SMALL(IF($T$7:$T$36&lt;&gt;"",IF($Q$7:$Q$36&lt;&gt;"",ROW($Q$7:$Q$36)-MIN(ROW($Q$7:$Q$36))+1,""),""),ROW()-ROW(A$38)+1))),),"")</f>
        <v>0</v>
      </c>
      <c r="W53">
        <f t="array" ref="W53">IFERROR(CONCATENATE((INDEX($Z$7:$Z$36,SMALL(IF($Z$7:$Z$36&lt;&gt;"",IF($W$7:$W$36&lt;&gt;"",ROW($W$7:$W$36)-MIN(ROW($W$7:$W$36))+1,""),""),ROW()-ROW(A$38)+1))),","),"")</f>
        <v>0</v>
      </c>
      <c r="X53">
        <f t="array" ref="X53">IFERROR(CONCATENATE(TEXT(INDEX($W$7:$W$36,SMALL(IF($Z$7:$Z$36&lt;&gt;"",IF($W$7:$W$36&lt;&gt;"",ROW($W$7:$W$36)-MIN(ROW($W$7:$W$36))+1,""),""),ROW()-ROW(A$38)+1)),"##0"),","),"")</f>
        <v>0</v>
      </c>
      <c r="Y53">
        <f t="array" ref="Y53">IFERROR(CONCATENATE((INDEX($A$7:$A$36,SMALL(IF($Z$7:$Z$36&lt;&gt;"",IF($W$7:$W$36&lt;&gt;"",ROW($W$7:$W$36)-MIN(ROW($W$7:$W$36))+1,""),""),ROW()-ROW(A$38)+1))),),"")</f>
        <v>0</v>
      </c>
    </row>
    <row r="54" spans="11:25">
      <c r="K54">
        <f t="array" ref="K54">IFERROR(CONCATENATE(TEXT(INDEX($K$7:$K$36,SMALL(IF($N$7:$N$36&lt;&gt;"",IF($K$7:$K$36&lt;&gt;"",ROW($K$7:$K$36)-MIN(ROW($K$7:$K$36))+1,""),""),ROW()-ROW(A$38)+1)),"##0"),","),"")</f>
        <v>0</v>
      </c>
      <c r="L54">
        <f t="array" ref="L54">IFERROR(CONCATENATE((INDEX($N$7:$N$36,SMALL(IF($N$7:$N$36&lt;&gt;"",IF($K$7:$K$36&lt;&gt;"",ROW($K$7:$K$36)-MIN(ROW($K$7:$K$36))+1,""),""),ROW()-ROW(A$38)+1))),","),"")</f>
        <v>0</v>
      </c>
      <c r="M54">
        <f t="array" ref="M54">IFERROR(CONCATENATE((INDEX($A$7:$A$36,SMALL(IF($N$7:$N$36&lt;&gt;"",IF($K$7:$K$36&lt;&gt;"",ROW($K$7:$K$36)-MIN(ROW($K$7:$K$36))+1,""),""),ROW()-ROW(A$38)+1))),),"")</f>
        <v>0</v>
      </c>
      <c r="Q54">
        <f t="array" ref="Q54">IFERROR(CONCATENATE((INDEX($T$7:$T$36,SMALL(IF($T$7:$T$36&lt;&gt;"",IF($Q$7:$Q$36&lt;&gt;"",ROW($Q$7:$Q$36)-MIN(ROW($Q$7:$Q$36))+1,""),""),ROW()-ROW(A$38)+1)))," "),"")</f>
        <v>0</v>
      </c>
      <c r="R54">
        <f t="array" ref="R54">IFERROR(CONCATENATE(TEXT(INDEX($Q$7:$Q$36,SMALL(IF($T$7:$T$36&lt;&gt;"",IF($Q$7:$Q$36&lt;&gt;"",ROW($Q$7:$Q$36)-MIN(ROW($Q$7:$Q$36))+1,""),""),ROW()-ROW(A$38)+1)),"##0")," "),"")</f>
        <v>0</v>
      </c>
      <c r="S54">
        <f t="array" ref="S54">IFERROR(CONCATENATE((INDEX($A$7:$A$36,SMALL(IF($T$7:$T$36&lt;&gt;"",IF($Q$7:$Q$36&lt;&gt;"",ROW($Q$7:$Q$36)-MIN(ROW($Q$7:$Q$36))+1,""),""),ROW()-ROW(A$38)+1))),),"")</f>
        <v>0</v>
      </c>
      <c r="W54">
        <f t="array" ref="W54">IFERROR(CONCATENATE((INDEX($Z$7:$Z$36,SMALL(IF($Z$7:$Z$36&lt;&gt;"",IF($W$7:$W$36&lt;&gt;"",ROW($W$7:$W$36)-MIN(ROW($W$7:$W$36))+1,""),""),ROW()-ROW(A$38)+1))),","),"")</f>
        <v>0</v>
      </c>
      <c r="X54">
        <f t="array" ref="X54">IFERROR(CONCATENATE(TEXT(INDEX($W$7:$W$36,SMALL(IF($Z$7:$Z$36&lt;&gt;"",IF($W$7:$W$36&lt;&gt;"",ROW($W$7:$W$36)-MIN(ROW($W$7:$W$36))+1,""),""),ROW()-ROW(A$38)+1)),"##0"),","),"")</f>
        <v>0</v>
      </c>
      <c r="Y54">
        <f t="array" ref="Y54">IFERROR(CONCATENATE((INDEX($A$7:$A$36,SMALL(IF($Z$7:$Z$36&lt;&gt;"",IF($W$7:$W$36&lt;&gt;"",ROW($W$7:$W$36)-MIN(ROW($W$7:$W$36))+1,""),""),ROW()-ROW(A$38)+1))),),"")</f>
        <v>0</v>
      </c>
    </row>
    <row r="55" spans="11:25">
      <c r="K55">
        <f t="array" ref="K55">IFERROR(CONCATENATE(TEXT(INDEX($K$7:$K$36,SMALL(IF($N$7:$N$36&lt;&gt;"",IF($K$7:$K$36&lt;&gt;"",ROW($K$7:$K$36)-MIN(ROW($K$7:$K$36))+1,""),""),ROW()-ROW(A$38)+1)),"##0"),","),"")</f>
        <v>0</v>
      </c>
      <c r="L55">
        <f t="array" ref="L55">IFERROR(CONCATENATE((INDEX($N$7:$N$36,SMALL(IF($N$7:$N$36&lt;&gt;"",IF($K$7:$K$36&lt;&gt;"",ROW($K$7:$K$36)-MIN(ROW($K$7:$K$36))+1,""),""),ROW()-ROW(A$38)+1))),","),"")</f>
        <v>0</v>
      </c>
      <c r="M55">
        <f t="array" ref="M55">IFERROR(CONCATENATE((INDEX($A$7:$A$36,SMALL(IF($N$7:$N$36&lt;&gt;"",IF($K$7:$K$36&lt;&gt;"",ROW($K$7:$K$36)-MIN(ROW($K$7:$K$36))+1,""),""),ROW()-ROW(A$38)+1))),),"")</f>
        <v>0</v>
      </c>
      <c r="Q55">
        <f t="array" ref="Q55">IFERROR(CONCATENATE((INDEX($T$7:$T$36,SMALL(IF($T$7:$T$36&lt;&gt;"",IF($Q$7:$Q$36&lt;&gt;"",ROW($Q$7:$Q$36)-MIN(ROW($Q$7:$Q$36))+1,""),""),ROW()-ROW(A$38)+1)))," "),"")</f>
        <v>0</v>
      </c>
      <c r="R55">
        <f t="array" ref="R55">IFERROR(CONCATENATE(TEXT(INDEX($Q$7:$Q$36,SMALL(IF($T$7:$T$36&lt;&gt;"",IF($Q$7:$Q$36&lt;&gt;"",ROW($Q$7:$Q$36)-MIN(ROW($Q$7:$Q$36))+1,""),""),ROW()-ROW(A$38)+1)),"##0")," "),"")</f>
        <v>0</v>
      </c>
      <c r="S55">
        <f t="array" ref="S55">IFERROR(CONCATENATE((INDEX($A$7:$A$36,SMALL(IF($T$7:$T$36&lt;&gt;"",IF($Q$7:$Q$36&lt;&gt;"",ROW($Q$7:$Q$36)-MIN(ROW($Q$7:$Q$36))+1,""),""),ROW()-ROW(A$38)+1))),),"")</f>
        <v>0</v>
      </c>
      <c r="W55">
        <f t="array" ref="W55">IFERROR(CONCATENATE((INDEX($Z$7:$Z$36,SMALL(IF($Z$7:$Z$36&lt;&gt;"",IF($W$7:$W$36&lt;&gt;"",ROW($W$7:$W$36)-MIN(ROW($W$7:$W$36))+1,""),""),ROW()-ROW(A$38)+1))),","),"")</f>
        <v>0</v>
      </c>
      <c r="X55">
        <f t="array" ref="X55">IFERROR(CONCATENATE(TEXT(INDEX($W$7:$W$36,SMALL(IF($Z$7:$Z$36&lt;&gt;"",IF($W$7:$W$36&lt;&gt;"",ROW($W$7:$W$36)-MIN(ROW($W$7:$W$36))+1,""),""),ROW()-ROW(A$38)+1)),"##0"),","),"")</f>
        <v>0</v>
      </c>
      <c r="Y55">
        <f t="array" ref="Y55">IFERROR(CONCATENATE((INDEX($A$7:$A$36,SMALL(IF($Z$7:$Z$36&lt;&gt;"",IF($W$7:$W$36&lt;&gt;"",ROW($W$7:$W$36)-MIN(ROW($W$7:$W$36))+1,""),""),ROW()-ROW(A$38)+1))),),"")</f>
        <v>0</v>
      </c>
    </row>
    <row r="56" spans="11:25">
      <c r="K56">
        <f t="array" ref="K56">IFERROR(CONCATENATE(TEXT(INDEX($K$7:$K$36,SMALL(IF($N$7:$N$36&lt;&gt;"",IF($K$7:$K$36&lt;&gt;"",ROW($K$7:$K$36)-MIN(ROW($K$7:$K$36))+1,""),""),ROW()-ROW(A$38)+1)),"##0"),","),"")</f>
        <v>0</v>
      </c>
      <c r="L56">
        <f t="array" ref="L56">IFERROR(CONCATENATE((INDEX($N$7:$N$36,SMALL(IF($N$7:$N$36&lt;&gt;"",IF($K$7:$K$36&lt;&gt;"",ROW($K$7:$K$36)-MIN(ROW($K$7:$K$36))+1,""),""),ROW()-ROW(A$38)+1))),","),"")</f>
        <v>0</v>
      </c>
      <c r="M56">
        <f t="array" ref="M56">IFERROR(CONCATENATE((INDEX($A$7:$A$36,SMALL(IF($N$7:$N$36&lt;&gt;"",IF($K$7:$K$36&lt;&gt;"",ROW($K$7:$K$36)-MIN(ROW($K$7:$K$36))+1,""),""),ROW()-ROW(A$38)+1))),),"")</f>
        <v>0</v>
      </c>
      <c r="Q56">
        <f t="array" ref="Q56">IFERROR(CONCATENATE((INDEX($T$7:$T$36,SMALL(IF($T$7:$T$36&lt;&gt;"",IF($Q$7:$Q$36&lt;&gt;"",ROW($Q$7:$Q$36)-MIN(ROW($Q$7:$Q$36))+1,""),""),ROW()-ROW(A$38)+1)))," "),"")</f>
        <v>0</v>
      </c>
      <c r="R56">
        <f t="array" ref="R56">IFERROR(CONCATENATE(TEXT(INDEX($Q$7:$Q$36,SMALL(IF($T$7:$T$36&lt;&gt;"",IF($Q$7:$Q$36&lt;&gt;"",ROW($Q$7:$Q$36)-MIN(ROW($Q$7:$Q$36))+1,""),""),ROW()-ROW(A$38)+1)),"##0")," "),"")</f>
        <v>0</v>
      </c>
      <c r="S56">
        <f t="array" ref="S56">IFERROR(CONCATENATE((INDEX($A$7:$A$36,SMALL(IF($T$7:$T$36&lt;&gt;"",IF($Q$7:$Q$36&lt;&gt;"",ROW($Q$7:$Q$36)-MIN(ROW($Q$7:$Q$36))+1,""),""),ROW()-ROW(A$38)+1))),),"")</f>
        <v>0</v>
      </c>
      <c r="W56">
        <f t="array" ref="W56">IFERROR(CONCATENATE((INDEX($Z$7:$Z$36,SMALL(IF($Z$7:$Z$36&lt;&gt;"",IF($W$7:$W$36&lt;&gt;"",ROW($W$7:$W$36)-MIN(ROW($W$7:$W$36))+1,""),""),ROW()-ROW(A$38)+1))),","),"")</f>
        <v>0</v>
      </c>
      <c r="X56">
        <f t="array" ref="X56">IFERROR(CONCATENATE(TEXT(INDEX($W$7:$W$36,SMALL(IF($Z$7:$Z$36&lt;&gt;"",IF($W$7:$W$36&lt;&gt;"",ROW($W$7:$W$36)-MIN(ROW($W$7:$W$36))+1,""),""),ROW()-ROW(A$38)+1)),"##0"),","),"")</f>
        <v>0</v>
      </c>
      <c r="Y56">
        <f t="array" ref="Y56">IFERROR(CONCATENATE((INDEX($A$7:$A$36,SMALL(IF($Z$7:$Z$36&lt;&gt;"",IF($W$7:$W$36&lt;&gt;"",ROW($W$7:$W$36)-MIN(ROW($W$7:$W$36))+1,""),""),ROW()-ROW(A$38)+1))),),"")</f>
        <v>0</v>
      </c>
    </row>
    <row r="57" spans="11:25">
      <c r="K57">
        <f t="array" ref="K57">IFERROR(CONCATENATE(TEXT(INDEX($K$7:$K$36,SMALL(IF($N$7:$N$36&lt;&gt;"",IF($K$7:$K$36&lt;&gt;"",ROW($K$7:$K$36)-MIN(ROW($K$7:$K$36))+1,""),""),ROW()-ROW(A$38)+1)),"##0"),","),"")</f>
        <v>0</v>
      </c>
      <c r="L57">
        <f t="array" ref="L57">IFERROR(CONCATENATE((INDEX($N$7:$N$36,SMALL(IF($N$7:$N$36&lt;&gt;"",IF($K$7:$K$36&lt;&gt;"",ROW($K$7:$K$36)-MIN(ROW($K$7:$K$36))+1,""),""),ROW()-ROW(A$38)+1))),","),"")</f>
        <v>0</v>
      </c>
      <c r="M57">
        <f t="array" ref="M57">IFERROR(CONCATENATE((INDEX($A$7:$A$36,SMALL(IF($N$7:$N$36&lt;&gt;"",IF($K$7:$K$36&lt;&gt;"",ROW($K$7:$K$36)-MIN(ROW($K$7:$K$36))+1,""),""),ROW()-ROW(A$38)+1))),),"")</f>
        <v>0</v>
      </c>
      <c r="Q57">
        <f t="array" ref="Q57">IFERROR(CONCATENATE((INDEX($T$7:$T$36,SMALL(IF($T$7:$T$36&lt;&gt;"",IF($Q$7:$Q$36&lt;&gt;"",ROW($Q$7:$Q$36)-MIN(ROW($Q$7:$Q$36))+1,""),""),ROW()-ROW(A$38)+1)))," "),"")</f>
        <v>0</v>
      </c>
      <c r="R57">
        <f t="array" ref="R57">IFERROR(CONCATENATE(TEXT(INDEX($Q$7:$Q$36,SMALL(IF($T$7:$T$36&lt;&gt;"",IF($Q$7:$Q$36&lt;&gt;"",ROW($Q$7:$Q$36)-MIN(ROW($Q$7:$Q$36))+1,""),""),ROW()-ROW(A$38)+1)),"##0")," "),"")</f>
        <v>0</v>
      </c>
      <c r="S57">
        <f t="array" ref="S57">IFERROR(CONCATENATE((INDEX($A$7:$A$36,SMALL(IF($T$7:$T$36&lt;&gt;"",IF($Q$7:$Q$36&lt;&gt;"",ROW($Q$7:$Q$36)-MIN(ROW($Q$7:$Q$36))+1,""),""),ROW()-ROW(A$38)+1))),),"")</f>
        <v>0</v>
      </c>
      <c r="W57">
        <f t="array" ref="W57">IFERROR(CONCATENATE((INDEX($Z$7:$Z$36,SMALL(IF($Z$7:$Z$36&lt;&gt;"",IF($W$7:$W$36&lt;&gt;"",ROW($W$7:$W$36)-MIN(ROW($W$7:$W$36))+1,""),""),ROW()-ROW(A$38)+1))),","),"")</f>
        <v>0</v>
      </c>
      <c r="X57">
        <f t="array" ref="X57">IFERROR(CONCATENATE(TEXT(INDEX($W$7:$W$36,SMALL(IF($Z$7:$Z$36&lt;&gt;"",IF($W$7:$W$36&lt;&gt;"",ROW($W$7:$W$36)-MIN(ROW($W$7:$W$36))+1,""),""),ROW()-ROW(A$38)+1)),"##0"),","),"")</f>
        <v>0</v>
      </c>
      <c r="Y57">
        <f t="array" ref="Y57">IFERROR(CONCATENATE((INDEX($A$7:$A$36,SMALL(IF($Z$7:$Z$36&lt;&gt;"",IF($W$7:$W$36&lt;&gt;"",ROW($W$7:$W$36)-MIN(ROW($W$7:$W$36))+1,""),""),ROW()-ROW(A$38)+1))),),"")</f>
        <v>0</v>
      </c>
    </row>
    <row r="58" spans="11:25">
      <c r="K58">
        <f t="array" ref="K58">IFERROR(CONCATENATE(TEXT(INDEX($K$7:$K$36,SMALL(IF($N$7:$N$36&lt;&gt;"",IF($K$7:$K$36&lt;&gt;"",ROW($K$7:$K$36)-MIN(ROW($K$7:$K$36))+1,""),""),ROW()-ROW(A$38)+1)),"##0"),","),"")</f>
        <v>0</v>
      </c>
      <c r="L58">
        <f t="array" ref="L58">IFERROR(CONCATENATE((INDEX($N$7:$N$36,SMALL(IF($N$7:$N$36&lt;&gt;"",IF($K$7:$K$36&lt;&gt;"",ROW($K$7:$K$36)-MIN(ROW($K$7:$K$36))+1,""),""),ROW()-ROW(A$38)+1))),","),"")</f>
        <v>0</v>
      </c>
      <c r="M58">
        <f t="array" ref="M58">IFERROR(CONCATENATE((INDEX($A$7:$A$36,SMALL(IF($N$7:$N$36&lt;&gt;"",IF($K$7:$K$36&lt;&gt;"",ROW($K$7:$K$36)-MIN(ROW($K$7:$K$36))+1,""),""),ROW()-ROW(A$38)+1))),),"")</f>
        <v>0</v>
      </c>
      <c r="Q58">
        <f t="array" ref="Q58">IFERROR(CONCATENATE((INDEX($T$7:$T$36,SMALL(IF($T$7:$T$36&lt;&gt;"",IF($Q$7:$Q$36&lt;&gt;"",ROW($Q$7:$Q$36)-MIN(ROW($Q$7:$Q$36))+1,""),""),ROW()-ROW(A$38)+1)))," "),"")</f>
        <v>0</v>
      </c>
      <c r="R58">
        <f t="array" ref="R58">IFERROR(CONCATENATE(TEXT(INDEX($Q$7:$Q$36,SMALL(IF($T$7:$T$36&lt;&gt;"",IF($Q$7:$Q$36&lt;&gt;"",ROW($Q$7:$Q$36)-MIN(ROW($Q$7:$Q$36))+1,""),""),ROW()-ROW(A$38)+1)),"##0")," "),"")</f>
        <v>0</v>
      </c>
      <c r="S58">
        <f t="array" ref="S58">IFERROR(CONCATENATE((INDEX($A$7:$A$36,SMALL(IF($T$7:$T$36&lt;&gt;"",IF($Q$7:$Q$36&lt;&gt;"",ROW($Q$7:$Q$36)-MIN(ROW($Q$7:$Q$36))+1,""),""),ROW()-ROW(A$38)+1))),),"")</f>
        <v>0</v>
      </c>
      <c r="W58">
        <f t="array" ref="W58">IFERROR(CONCATENATE((INDEX($Z$7:$Z$36,SMALL(IF($Z$7:$Z$36&lt;&gt;"",IF($W$7:$W$36&lt;&gt;"",ROW($W$7:$W$36)-MIN(ROW($W$7:$W$36))+1,""),""),ROW()-ROW(A$38)+1))),","),"")</f>
        <v>0</v>
      </c>
      <c r="X58">
        <f t="array" ref="X58">IFERROR(CONCATENATE(TEXT(INDEX($W$7:$W$36,SMALL(IF($Z$7:$Z$36&lt;&gt;"",IF($W$7:$W$36&lt;&gt;"",ROW($W$7:$W$36)-MIN(ROW($W$7:$W$36))+1,""),""),ROW()-ROW(A$38)+1)),"##0"),","),"")</f>
        <v>0</v>
      </c>
      <c r="Y58">
        <f t="array" ref="Y58">IFERROR(CONCATENATE((INDEX($A$7:$A$36,SMALL(IF($Z$7:$Z$36&lt;&gt;"",IF($W$7:$W$36&lt;&gt;"",ROW($W$7:$W$36)-MIN(ROW($W$7:$W$36))+1,""),""),ROW()-ROW(A$38)+1))),),"")</f>
        <v>0</v>
      </c>
    </row>
    <row r="59" spans="11:25">
      <c r="K59">
        <f t="array" ref="K59">IFERROR(CONCATENATE(TEXT(INDEX($K$7:$K$36,SMALL(IF($N$7:$N$36&lt;&gt;"",IF($K$7:$K$36&lt;&gt;"",ROW($K$7:$K$36)-MIN(ROW($K$7:$K$36))+1,""),""),ROW()-ROW(A$38)+1)),"##0"),","),"")</f>
        <v>0</v>
      </c>
      <c r="L59">
        <f t="array" ref="L59">IFERROR(CONCATENATE((INDEX($N$7:$N$36,SMALL(IF($N$7:$N$36&lt;&gt;"",IF($K$7:$K$36&lt;&gt;"",ROW($K$7:$K$36)-MIN(ROW($K$7:$K$36))+1,""),""),ROW()-ROW(A$38)+1))),","),"")</f>
        <v>0</v>
      </c>
      <c r="M59">
        <f t="array" ref="M59">IFERROR(CONCATENATE((INDEX($A$7:$A$36,SMALL(IF($N$7:$N$36&lt;&gt;"",IF($K$7:$K$36&lt;&gt;"",ROW($K$7:$K$36)-MIN(ROW($K$7:$K$36))+1,""),""),ROW()-ROW(A$38)+1))),),"")</f>
        <v>0</v>
      </c>
      <c r="Q59">
        <f t="array" ref="Q59">IFERROR(CONCATENATE((INDEX($T$7:$T$36,SMALL(IF($T$7:$T$36&lt;&gt;"",IF($Q$7:$Q$36&lt;&gt;"",ROW($Q$7:$Q$36)-MIN(ROW($Q$7:$Q$36))+1,""),""),ROW()-ROW(A$38)+1)))," "),"")</f>
        <v>0</v>
      </c>
      <c r="R59">
        <f t="array" ref="R59">IFERROR(CONCATENATE(TEXT(INDEX($Q$7:$Q$36,SMALL(IF($T$7:$T$36&lt;&gt;"",IF($Q$7:$Q$36&lt;&gt;"",ROW($Q$7:$Q$36)-MIN(ROW($Q$7:$Q$36))+1,""),""),ROW()-ROW(A$38)+1)),"##0")," "),"")</f>
        <v>0</v>
      </c>
      <c r="S59">
        <f t="array" ref="S59">IFERROR(CONCATENATE((INDEX($A$7:$A$36,SMALL(IF($T$7:$T$36&lt;&gt;"",IF($Q$7:$Q$36&lt;&gt;"",ROW($Q$7:$Q$36)-MIN(ROW($Q$7:$Q$36))+1,""),""),ROW()-ROW(A$38)+1))),),"")</f>
        <v>0</v>
      </c>
      <c r="W59">
        <f t="array" ref="W59">IFERROR(CONCATENATE((INDEX($Z$7:$Z$36,SMALL(IF($Z$7:$Z$36&lt;&gt;"",IF($W$7:$W$36&lt;&gt;"",ROW($W$7:$W$36)-MIN(ROW($W$7:$W$36))+1,""),""),ROW()-ROW(A$38)+1))),","),"")</f>
        <v>0</v>
      </c>
      <c r="X59">
        <f t="array" ref="X59">IFERROR(CONCATENATE(TEXT(INDEX($W$7:$W$36,SMALL(IF($Z$7:$Z$36&lt;&gt;"",IF($W$7:$W$36&lt;&gt;"",ROW($W$7:$W$36)-MIN(ROW($W$7:$W$36))+1,""),""),ROW()-ROW(A$38)+1)),"##0"),","),"")</f>
        <v>0</v>
      </c>
      <c r="Y59">
        <f t="array" ref="Y59">IFERROR(CONCATENATE((INDEX($A$7:$A$36,SMALL(IF($Z$7:$Z$36&lt;&gt;"",IF($W$7:$W$36&lt;&gt;"",ROW($W$7:$W$36)-MIN(ROW($W$7:$W$36))+1,""),""),ROW()-ROW(A$38)+1))),),"")</f>
        <v>0</v>
      </c>
    </row>
    <row r="60" spans="11:25">
      <c r="K60">
        <f t="array" ref="K60">IFERROR(CONCATENATE(TEXT(INDEX($K$7:$K$36,SMALL(IF($N$7:$N$36&lt;&gt;"",IF($K$7:$K$36&lt;&gt;"",ROW($K$7:$K$36)-MIN(ROW($K$7:$K$36))+1,""),""),ROW()-ROW(A$38)+1)),"##0"),","),"")</f>
        <v>0</v>
      </c>
      <c r="L60">
        <f t="array" ref="L60">IFERROR(CONCATENATE((INDEX($N$7:$N$36,SMALL(IF($N$7:$N$36&lt;&gt;"",IF($K$7:$K$36&lt;&gt;"",ROW($K$7:$K$36)-MIN(ROW($K$7:$K$36))+1,""),""),ROW()-ROW(A$38)+1))),","),"")</f>
        <v>0</v>
      </c>
      <c r="M60">
        <f t="array" ref="M60">IFERROR(CONCATENATE((INDEX($A$7:$A$36,SMALL(IF($N$7:$N$36&lt;&gt;"",IF($K$7:$K$36&lt;&gt;"",ROW($K$7:$K$36)-MIN(ROW($K$7:$K$36))+1,""),""),ROW()-ROW(A$38)+1))),),"")</f>
        <v>0</v>
      </c>
      <c r="Q60">
        <f t="array" ref="Q60">IFERROR(CONCATENATE((INDEX($T$7:$T$36,SMALL(IF($T$7:$T$36&lt;&gt;"",IF($Q$7:$Q$36&lt;&gt;"",ROW($Q$7:$Q$36)-MIN(ROW($Q$7:$Q$36))+1,""),""),ROW()-ROW(A$38)+1)))," "),"")</f>
        <v>0</v>
      </c>
      <c r="R60">
        <f t="array" ref="R60">IFERROR(CONCATENATE(TEXT(INDEX($Q$7:$Q$36,SMALL(IF($T$7:$T$36&lt;&gt;"",IF($Q$7:$Q$36&lt;&gt;"",ROW($Q$7:$Q$36)-MIN(ROW($Q$7:$Q$36))+1,""),""),ROW()-ROW(A$38)+1)),"##0")," "),"")</f>
        <v>0</v>
      </c>
      <c r="S60">
        <f t="array" ref="S60">IFERROR(CONCATENATE((INDEX($A$7:$A$36,SMALL(IF($T$7:$T$36&lt;&gt;"",IF($Q$7:$Q$36&lt;&gt;"",ROW($Q$7:$Q$36)-MIN(ROW($Q$7:$Q$36))+1,""),""),ROW()-ROW(A$38)+1))),),"")</f>
        <v>0</v>
      </c>
      <c r="W60">
        <f t="array" ref="W60">IFERROR(CONCATENATE((INDEX($Z$7:$Z$36,SMALL(IF($Z$7:$Z$36&lt;&gt;"",IF($W$7:$W$36&lt;&gt;"",ROW($W$7:$W$36)-MIN(ROW($W$7:$W$36))+1,""),""),ROW()-ROW(A$38)+1))),","),"")</f>
        <v>0</v>
      </c>
      <c r="X60">
        <f t="array" ref="X60">IFERROR(CONCATENATE(TEXT(INDEX($W$7:$W$36,SMALL(IF($Z$7:$Z$36&lt;&gt;"",IF($W$7:$W$36&lt;&gt;"",ROW($W$7:$W$36)-MIN(ROW($W$7:$W$36))+1,""),""),ROW()-ROW(A$38)+1)),"##0"),","),"")</f>
        <v>0</v>
      </c>
      <c r="Y60">
        <f t="array" ref="Y60">IFERROR(CONCATENATE((INDEX($A$7:$A$36,SMALL(IF($Z$7:$Z$36&lt;&gt;"",IF($W$7:$W$36&lt;&gt;"",ROW($W$7:$W$36)-MIN(ROW($W$7:$W$36))+1,""),""),ROW()-ROW(A$38)+1))),),"")</f>
        <v>0</v>
      </c>
    </row>
    <row r="61" spans="11:25">
      <c r="K61">
        <f t="array" ref="K61">IFERROR(CONCATENATE(TEXT(INDEX($K$7:$K$36,SMALL(IF($N$7:$N$36&lt;&gt;"",IF($K$7:$K$36&lt;&gt;"",ROW($K$7:$K$36)-MIN(ROW($K$7:$K$36))+1,""),""),ROW()-ROW(A$38)+1)),"##0"),","),"")</f>
        <v>0</v>
      </c>
      <c r="L61">
        <f t="array" ref="L61">IFERROR(CONCATENATE((INDEX($N$7:$N$36,SMALL(IF($N$7:$N$36&lt;&gt;"",IF($K$7:$K$36&lt;&gt;"",ROW($K$7:$K$36)-MIN(ROW($K$7:$K$36))+1,""),""),ROW()-ROW(A$38)+1))),","),"")</f>
        <v>0</v>
      </c>
      <c r="M61">
        <f t="array" ref="M61">IFERROR(CONCATENATE((INDEX($A$7:$A$36,SMALL(IF($N$7:$N$36&lt;&gt;"",IF($K$7:$K$36&lt;&gt;"",ROW($K$7:$K$36)-MIN(ROW($K$7:$K$36))+1,""),""),ROW()-ROW(A$38)+1))),),"")</f>
        <v>0</v>
      </c>
      <c r="Q61">
        <f t="array" ref="Q61">IFERROR(CONCATENATE((INDEX($T$7:$T$36,SMALL(IF($T$7:$T$36&lt;&gt;"",IF($Q$7:$Q$36&lt;&gt;"",ROW($Q$7:$Q$36)-MIN(ROW($Q$7:$Q$36))+1,""),""),ROW()-ROW(A$38)+1)))," "),"")</f>
        <v>0</v>
      </c>
      <c r="R61">
        <f t="array" ref="R61">IFERROR(CONCATENATE(TEXT(INDEX($Q$7:$Q$36,SMALL(IF($T$7:$T$36&lt;&gt;"",IF($Q$7:$Q$36&lt;&gt;"",ROW($Q$7:$Q$36)-MIN(ROW($Q$7:$Q$36))+1,""),""),ROW()-ROW(A$38)+1)),"##0")," "),"")</f>
        <v>0</v>
      </c>
      <c r="S61">
        <f t="array" ref="S61">IFERROR(CONCATENATE((INDEX($A$7:$A$36,SMALL(IF($T$7:$T$36&lt;&gt;"",IF($Q$7:$Q$36&lt;&gt;"",ROW($Q$7:$Q$36)-MIN(ROW($Q$7:$Q$36))+1,""),""),ROW()-ROW(A$38)+1))),),"")</f>
        <v>0</v>
      </c>
      <c r="W61">
        <f t="array" ref="W61">IFERROR(CONCATENATE((INDEX($Z$7:$Z$36,SMALL(IF($Z$7:$Z$36&lt;&gt;"",IF($W$7:$W$36&lt;&gt;"",ROW($W$7:$W$36)-MIN(ROW($W$7:$W$36))+1,""),""),ROW()-ROW(A$38)+1))),","),"")</f>
        <v>0</v>
      </c>
      <c r="X61">
        <f t="array" ref="X61">IFERROR(CONCATENATE(TEXT(INDEX($W$7:$W$36,SMALL(IF($Z$7:$Z$36&lt;&gt;"",IF($W$7:$W$36&lt;&gt;"",ROW($W$7:$W$36)-MIN(ROW($W$7:$W$36))+1,""),""),ROW()-ROW(A$38)+1)),"##0"),","),"")</f>
        <v>0</v>
      </c>
      <c r="Y61">
        <f t="array" ref="Y61">IFERROR(CONCATENATE((INDEX($A$7:$A$36,SMALL(IF($Z$7:$Z$36&lt;&gt;"",IF($W$7:$W$36&lt;&gt;"",ROW($W$7:$W$36)-MIN(ROW($W$7:$W$36))+1,""),""),ROW()-ROW(A$38)+1))),),"")</f>
        <v>0</v>
      </c>
    </row>
    <row r="62" spans="11:25">
      <c r="K62">
        <f t="array" ref="K62">IFERROR(CONCATENATE(TEXT(INDEX($K$7:$K$36,SMALL(IF($N$7:$N$36&lt;&gt;"",IF($K$7:$K$36&lt;&gt;"",ROW($K$7:$K$36)-MIN(ROW($K$7:$K$36))+1,""),""),ROW()-ROW(A$38)+1)),"##0"),","),"")</f>
        <v>0</v>
      </c>
      <c r="L62">
        <f t="array" ref="L62">IFERROR(CONCATENATE((INDEX($N$7:$N$36,SMALL(IF($N$7:$N$36&lt;&gt;"",IF($K$7:$K$36&lt;&gt;"",ROW($K$7:$K$36)-MIN(ROW($K$7:$K$36))+1,""),""),ROW()-ROW(A$38)+1))),","),"")</f>
        <v>0</v>
      </c>
      <c r="M62">
        <f t="array" ref="M62">IFERROR(CONCATENATE((INDEX($A$7:$A$36,SMALL(IF($N$7:$N$36&lt;&gt;"",IF($K$7:$K$36&lt;&gt;"",ROW($K$7:$K$36)-MIN(ROW($K$7:$K$36))+1,""),""),ROW()-ROW(A$38)+1))),),"")</f>
        <v>0</v>
      </c>
      <c r="Q62">
        <f t="array" ref="Q62">IFERROR(CONCATENATE((INDEX($T$7:$T$36,SMALL(IF($T$7:$T$36&lt;&gt;"",IF($Q$7:$Q$36&lt;&gt;"",ROW($Q$7:$Q$36)-MIN(ROW($Q$7:$Q$36))+1,""),""),ROW()-ROW(A$38)+1)))," "),"")</f>
        <v>0</v>
      </c>
      <c r="R62">
        <f t="array" ref="R62">IFERROR(CONCATENATE(TEXT(INDEX($Q$7:$Q$36,SMALL(IF($T$7:$T$36&lt;&gt;"",IF($Q$7:$Q$36&lt;&gt;"",ROW($Q$7:$Q$36)-MIN(ROW($Q$7:$Q$36))+1,""),""),ROW()-ROW(A$38)+1)),"##0")," "),"")</f>
        <v>0</v>
      </c>
      <c r="S62">
        <f t="array" ref="S62">IFERROR(CONCATENATE((INDEX($A$7:$A$36,SMALL(IF($T$7:$T$36&lt;&gt;"",IF($Q$7:$Q$36&lt;&gt;"",ROW($Q$7:$Q$36)-MIN(ROW($Q$7:$Q$36))+1,""),""),ROW()-ROW(A$38)+1))),),"")</f>
        <v>0</v>
      </c>
      <c r="W62">
        <f t="array" ref="W62">IFERROR(CONCATENATE((INDEX($Z$7:$Z$36,SMALL(IF($Z$7:$Z$36&lt;&gt;"",IF($W$7:$W$36&lt;&gt;"",ROW($W$7:$W$36)-MIN(ROW($W$7:$W$36))+1,""),""),ROW()-ROW(A$38)+1))),","),"")</f>
        <v>0</v>
      </c>
      <c r="X62">
        <f t="array" ref="X62">IFERROR(CONCATENATE(TEXT(INDEX($W$7:$W$36,SMALL(IF($Z$7:$Z$36&lt;&gt;"",IF($W$7:$W$36&lt;&gt;"",ROW($W$7:$W$36)-MIN(ROW($W$7:$W$36))+1,""),""),ROW()-ROW(A$38)+1)),"##0"),","),"")</f>
        <v>0</v>
      </c>
      <c r="Y62">
        <f t="array" ref="Y62">IFERROR(CONCATENATE((INDEX($A$7:$A$36,SMALL(IF($Z$7:$Z$36&lt;&gt;"",IF($W$7:$W$36&lt;&gt;"",ROW($W$7:$W$36)-MIN(ROW($W$7:$W$36))+1,""),""),ROW()-ROW(A$38)+1))),),"")</f>
        <v>0</v>
      </c>
    </row>
    <row r="63" spans="11:25">
      <c r="K63">
        <f t="array" ref="K63">IFERROR(CONCATENATE(TEXT(INDEX($K$7:$K$36,SMALL(IF($N$7:$N$36&lt;&gt;"",IF($K$7:$K$36&lt;&gt;"",ROW($K$7:$K$36)-MIN(ROW($K$7:$K$36))+1,""),""),ROW()-ROW(A$38)+1)),"##0"),","),"")</f>
        <v>0</v>
      </c>
      <c r="L63">
        <f t="array" ref="L63">IFERROR(CONCATENATE((INDEX($N$7:$N$36,SMALL(IF($N$7:$N$36&lt;&gt;"",IF($K$7:$K$36&lt;&gt;"",ROW($K$7:$K$36)-MIN(ROW($K$7:$K$36))+1,""),""),ROW()-ROW(A$38)+1))),","),"")</f>
        <v>0</v>
      </c>
      <c r="M63">
        <f t="array" ref="M63">IFERROR(CONCATENATE((INDEX($A$7:$A$36,SMALL(IF($N$7:$N$36&lt;&gt;"",IF($K$7:$K$36&lt;&gt;"",ROW($K$7:$K$36)-MIN(ROW($K$7:$K$36))+1,""),""),ROW()-ROW(A$38)+1))),),"")</f>
        <v>0</v>
      </c>
      <c r="Q63">
        <f t="array" ref="Q63">IFERROR(CONCATENATE((INDEX($T$7:$T$36,SMALL(IF($T$7:$T$36&lt;&gt;"",IF($Q$7:$Q$36&lt;&gt;"",ROW($Q$7:$Q$36)-MIN(ROW($Q$7:$Q$36))+1,""),""),ROW()-ROW(A$38)+1)))," "),"")</f>
        <v>0</v>
      </c>
      <c r="R63">
        <f t="array" ref="R63">IFERROR(CONCATENATE(TEXT(INDEX($Q$7:$Q$36,SMALL(IF($T$7:$T$36&lt;&gt;"",IF($Q$7:$Q$36&lt;&gt;"",ROW($Q$7:$Q$36)-MIN(ROW($Q$7:$Q$36))+1,""),""),ROW()-ROW(A$38)+1)),"##0")," "),"")</f>
        <v>0</v>
      </c>
      <c r="S63">
        <f t="array" ref="S63">IFERROR(CONCATENATE((INDEX($A$7:$A$36,SMALL(IF($T$7:$T$36&lt;&gt;"",IF($Q$7:$Q$36&lt;&gt;"",ROW($Q$7:$Q$36)-MIN(ROW($Q$7:$Q$36))+1,""),""),ROW()-ROW(A$38)+1))),),"")</f>
        <v>0</v>
      </c>
      <c r="W63">
        <f t="array" ref="W63">IFERROR(CONCATENATE((INDEX($Z$7:$Z$36,SMALL(IF($Z$7:$Z$36&lt;&gt;"",IF($W$7:$W$36&lt;&gt;"",ROW($W$7:$W$36)-MIN(ROW($W$7:$W$36))+1,""),""),ROW()-ROW(A$38)+1))),","),"")</f>
        <v>0</v>
      </c>
      <c r="X63">
        <f t="array" ref="X63">IFERROR(CONCATENATE(TEXT(INDEX($W$7:$W$36,SMALL(IF($Z$7:$Z$36&lt;&gt;"",IF($W$7:$W$36&lt;&gt;"",ROW($W$7:$W$36)-MIN(ROW($W$7:$W$36))+1,""),""),ROW()-ROW(A$38)+1)),"##0"),","),"")</f>
        <v>0</v>
      </c>
      <c r="Y63">
        <f t="array" ref="Y63">IFERROR(CONCATENATE((INDEX($A$7:$A$36,SMALL(IF($Z$7:$Z$36&lt;&gt;"",IF($W$7:$W$36&lt;&gt;"",ROW($W$7:$W$36)-MIN(ROW($W$7:$W$36))+1,""),""),ROW()-ROW(A$38)+1))),),"")</f>
        <v>0</v>
      </c>
    </row>
    <row r="64" spans="11:25">
      <c r="K64">
        <f t="array" ref="K64">IFERROR(CONCATENATE(TEXT(INDEX($K$7:$K$36,SMALL(IF($N$7:$N$36&lt;&gt;"",IF($K$7:$K$36&lt;&gt;"",ROW($K$7:$K$36)-MIN(ROW($K$7:$K$36))+1,""),""),ROW()-ROW(A$38)+1)),"##0"),","),"")</f>
        <v>0</v>
      </c>
      <c r="L64">
        <f t="array" ref="L64">IFERROR(CONCATENATE((INDEX($N$7:$N$36,SMALL(IF($N$7:$N$36&lt;&gt;"",IF($K$7:$K$36&lt;&gt;"",ROW($K$7:$K$36)-MIN(ROW($K$7:$K$36))+1,""),""),ROW()-ROW(A$38)+1))),","),"")</f>
        <v>0</v>
      </c>
      <c r="M64">
        <f t="array" ref="M64">IFERROR(CONCATENATE((INDEX($A$7:$A$36,SMALL(IF($N$7:$N$36&lt;&gt;"",IF($K$7:$K$36&lt;&gt;"",ROW($K$7:$K$36)-MIN(ROW($K$7:$K$36))+1,""),""),ROW()-ROW(A$38)+1))),),"")</f>
        <v>0</v>
      </c>
      <c r="Q64">
        <f t="array" ref="Q64">IFERROR(CONCATENATE((INDEX($T$7:$T$36,SMALL(IF($T$7:$T$36&lt;&gt;"",IF($Q$7:$Q$36&lt;&gt;"",ROW($Q$7:$Q$36)-MIN(ROW($Q$7:$Q$36))+1,""),""),ROW()-ROW(A$38)+1)))," "),"")</f>
        <v>0</v>
      </c>
      <c r="R64">
        <f t="array" ref="R64">IFERROR(CONCATENATE(TEXT(INDEX($Q$7:$Q$36,SMALL(IF($T$7:$T$36&lt;&gt;"",IF($Q$7:$Q$36&lt;&gt;"",ROW($Q$7:$Q$36)-MIN(ROW($Q$7:$Q$36))+1,""),""),ROW()-ROW(A$38)+1)),"##0")," "),"")</f>
        <v>0</v>
      </c>
      <c r="S64">
        <f t="array" ref="S64">IFERROR(CONCATENATE((INDEX($A$7:$A$36,SMALL(IF($T$7:$T$36&lt;&gt;"",IF($Q$7:$Q$36&lt;&gt;"",ROW($Q$7:$Q$36)-MIN(ROW($Q$7:$Q$36))+1,""),""),ROW()-ROW(A$38)+1))),),"")</f>
        <v>0</v>
      </c>
      <c r="W64">
        <f t="array" ref="W64">IFERROR(CONCATENATE((INDEX($Z$7:$Z$36,SMALL(IF($Z$7:$Z$36&lt;&gt;"",IF($W$7:$W$36&lt;&gt;"",ROW($W$7:$W$36)-MIN(ROW($W$7:$W$36))+1,""),""),ROW()-ROW(A$38)+1))),","),"")</f>
        <v>0</v>
      </c>
      <c r="X64">
        <f t="array" ref="X64">IFERROR(CONCATENATE(TEXT(INDEX($W$7:$W$36,SMALL(IF($Z$7:$Z$36&lt;&gt;"",IF($W$7:$W$36&lt;&gt;"",ROW($W$7:$W$36)-MIN(ROW($W$7:$W$36))+1,""),""),ROW()-ROW(A$38)+1)),"##0"),","),"")</f>
        <v>0</v>
      </c>
      <c r="Y64">
        <f t="array" ref="Y64">IFERROR(CONCATENATE((INDEX($A$7:$A$36,SMALL(IF($Z$7:$Z$36&lt;&gt;"",IF($W$7:$W$36&lt;&gt;"",ROW($W$7:$W$36)-MIN(ROW($W$7:$W$36))+1,""),""),ROW()-ROW(A$38)+1))),),"")</f>
        <v>0</v>
      </c>
    </row>
    <row r="65" spans="11:25">
      <c r="K65">
        <f t="array" ref="K65">IFERROR(CONCATENATE(TEXT(INDEX($K$7:$K$36,SMALL(IF($N$7:$N$36&lt;&gt;"",IF($K$7:$K$36&lt;&gt;"",ROW($K$7:$K$36)-MIN(ROW($K$7:$K$36))+1,""),""),ROW()-ROW(A$38)+1)),"##0"),","),"")</f>
        <v>0</v>
      </c>
      <c r="L65">
        <f t="array" ref="L65">IFERROR(CONCATENATE((INDEX($N$7:$N$36,SMALL(IF($N$7:$N$36&lt;&gt;"",IF($K$7:$K$36&lt;&gt;"",ROW($K$7:$K$36)-MIN(ROW($K$7:$K$36))+1,""),""),ROW()-ROW(A$38)+1))),","),"")</f>
        <v>0</v>
      </c>
      <c r="M65">
        <f t="array" ref="M65">IFERROR(CONCATENATE((INDEX($A$7:$A$36,SMALL(IF($N$7:$N$36&lt;&gt;"",IF($K$7:$K$36&lt;&gt;"",ROW($K$7:$K$36)-MIN(ROW($K$7:$K$36))+1,""),""),ROW()-ROW(A$38)+1))),),"")</f>
        <v>0</v>
      </c>
      <c r="Q65">
        <f t="array" ref="Q65">IFERROR(CONCATENATE((INDEX($T$7:$T$36,SMALL(IF($T$7:$T$36&lt;&gt;"",IF($Q$7:$Q$36&lt;&gt;"",ROW($Q$7:$Q$36)-MIN(ROW($Q$7:$Q$36))+1,""),""),ROW()-ROW(A$38)+1)))," "),"")</f>
        <v>0</v>
      </c>
      <c r="R65">
        <f t="array" ref="R65">IFERROR(CONCATENATE(TEXT(INDEX($Q$7:$Q$36,SMALL(IF($T$7:$T$36&lt;&gt;"",IF($Q$7:$Q$36&lt;&gt;"",ROW($Q$7:$Q$36)-MIN(ROW($Q$7:$Q$36))+1,""),""),ROW()-ROW(A$38)+1)),"##0")," "),"")</f>
        <v>0</v>
      </c>
      <c r="S65">
        <f t="array" ref="S65">IFERROR(CONCATENATE((INDEX($A$7:$A$36,SMALL(IF($T$7:$T$36&lt;&gt;"",IF($Q$7:$Q$36&lt;&gt;"",ROW($Q$7:$Q$36)-MIN(ROW($Q$7:$Q$36))+1,""),""),ROW()-ROW(A$38)+1))),),"")</f>
        <v>0</v>
      </c>
      <c r="W65">
        <f t="array" ref="W65">IFERROR(CONCATENATE((INDEX($Z$7:$Z$36,SMALL(IF($Z$7:$Z$36&lt;&gt;"",IF($W$7:$W$36&lt;&gt;"",ROW($W$7:$W$36)-MIN(ROW($W$7:$W$36))+1,""),""),ROW()-ROW(A$38)+1))),","),"")</f>
        <v>0</v>
      </c>
      <c r="X65">
        <f t="array" ref="X65">IFERROR(CONCATENATE(TEXT(INDEX($W$7:$W$36,SMALL(IF($Z$7:$Z$36&lt;&gt;"",IF($W$7:$W$36&lt;&gt;"",ROW($W$7:$W$36)-MIN(ROW($W$7:$W$36))+1,""),""),ROW()-ROW(A$38)+1)),"##0"),","),"")</f>
        <v>0</v>
      </c>
      <c r="Y65">
        <f t="array" ref="Y65">IFERROR(CONCATENATE((INDEX($A$7:$A$36,SMALL(IF($Z$7:$Z$36&lt;&gt;"",IF($W$7:$W$36&lt;&gt;"",ROW($W$7:$W$36)-MIN(ROW($W$7:$W$36))+1,""),""),ROW()-ROW(A$38)+1))),),"")</f>
        <v>0</v>
      </c>
    </row>
    <row r="66" spans="11:25">
      <c r="K66">
        <f t="array" ref="K66">IFERROR(CONCATENATE(TEXT(INDEX($K$7:$K$36,SMALL(IF($N$7:$N$36&lt;&gt;"",IF($K$7:$K$36&lt;&gt;"",ROW($K$7:$K$36)-MIN(ROW($K$7:$K$36))+1,""),""),ROW()-ROW(A$38)+1)),"##0"),","),"")</f>
        <v>0</v>
      </c>
      <c r="L66">
        <f t="array" ref="L66">IFERROR(CONCATENATE((INDEX($N$7:$N$36,SMALL(IF($N$7:$N$36&lt;&gt;"",IF($K$7:$K$36&lt;&gt;"",ROW($K$7:$K$36)-MIN(ROW($K$7:$K$36))+1,""),""),ROW()-ROW(A$38)+1))),","),"")</f>
        <v>0</v>
      </c>
      <c r="M66">
        <f t="array" ref="M66">IFERROR(CONCATENATE((INDEX($A$7:$A$36,SMALL(IF($N$7:$N$36&lt;&gt;"",IF($K$7:$K$36&lt;&gt;"",ROW($K$7:$K$36)-MIN(ROW($K$7:$K$36))+1,""),""),ROW()-ROW(A$38)+1))),),"")</f>
        <v>0</v>
      </c>
      <c r="Q66">
        <f t="array" ref="Q66">IFERROR(CONCATENATE((INDEX($T$7:$T$36,SMALL(IF($T$7:$T$36&lt;&gt;"",IF($Q$7:$Q$36&lt;&gt;"",ROW($Q$7:$Q$36)-MIN(ROW($Q$7:$Q$36))+1,""),""),ROW()-ROW(A$38)+1)))," "),"")</f>
        <v>0</v>
      </c>
      <c r="R66">
        <f t="array" ref="R66">IFERROR(CONCATENATE(TEXT(INDEX($Q$7:$Q$36,SMALL(IF($T$7:$T$36&lt;&gt;"",IF($Q$7:$Q$36&lt;&gt;"",ROW($Q$7:$Q$36)-MIN(ROW($Q$7:$Q$36))+1,""),""),ROW()-ROW(A$38)+1)),"##0")," "),"")</f>
        <v>0</v>
      </c>
      <c r="S66">
        <f t="array" ref="S66">IFERROR(CONCATENATE((INDEX($A$7:$A$36,SMALL(IF($T$7:$T$36&lt;&gt;"",IF($Q$7:$Q$36&lt;&gt;"",ROW($Q$7:$Q$36)-MIN(ROW($Q$7:$Q$36))+1,""),""),ROW()-ROW(A$38)+1))),),"")</f>
        <v>0</v>
      </c>
      <c r="W66">
        <f t="array" ref="W66">IFERROR(CONCATENATE((INDEX($Z$7:$Z$36,SMALL(IF($Z$7:$Z$36&lt;&gt;"",IF($W$7:$W$36&lt;&gt;"",ROW($W$7:$W$36)-MIN(ROW($W$7:$W$36))+1,""),""),ROW()-ROW(A$38)+1))),","),"")</f>
        <v>0</v>
      </c>
      <c r="X66">
        <f t="array" ref="X66">IFERROR(CONCATENATE(TEXT(INDEX($W$7:$W$36,SMALL(IF($Z$7:$Z$36&lt;&gt;"",IF($W$7:$W$36&lt;&gt;"",ROW($W$7:$W$36)-MIN(ROW($W$7:$W$36))+1,""),""),ROW()-ROW(A$38)+1)),"##0"),","),"")</f>
        <v>0</v>
      </c>
      <c r="Y66">
        <f t="array" ref="Y66">IFERROR(CONCATENATE((INDEX($A$7:$A$36,SMALL(IF($Z$7:$Z$36&lt;&gt;"",IF($W$7:$W$36&lt;&gt;"",ROW($W$7:$W$36)-MIN(ROW($W$7:$W$36))+1,""),""),ROW()-ROW(A$38)+1))),),"")</f>
        <v>0</v>
      </c>
    </row>
    <row r="67" spans="11:25">
      <c r="K67">
        <f t="array" ref="K67">IFERROR(CONCATENATE(TEXT(INDEX($K$7:$K$36,SMALL(IF($N$7:$N$36&lt;&gt;"",IF($K$7:$K$36&lt;&gt;"",ROW($K$7:$K$36)-MIN(ROW($K$7:$K$36))+1,""),""),ROW()-ROW(A$38)+1)),"##0"),","),"")</f>
        <v>0</v>
      </c>
      <c r="L67">
        <f t="array" ref="L67">IFERROR(CONCATENATE((INDEX($N$7:$N$36,SMALL(IF($N$7:$N$36&lt;&gt;"",IF($K$7:$K$36&lt;&gt;"",ROW($K$7:$K$36)-MIN(ROW($K$7:$K$36))+1,""),""),ROW()-ROW(A$38)+1))),","),"")</f>
        <v>0</v>
      </c>
      <c r="M67">
        <f t="array" ref="M67">IFERROR(CONCATENATE((INDEX($A$7:$A$36,SMALL(IF($N$7:$N$36&lt;&gt;"",IF($K$7:$K$36&lt;&gt;"",ROW($K$7:$K$36)-MIN(ROW($K$7:$K$36))+1,""),""),ROW()-ROW(A$38)+1))),),"")</f>
        <v>0</v>
      </c>
      <c r="Q67">
        <f t="array" ref="Q67">IFERROR(CONCATENATE((INDEX($T$7:$T$36,SMALL(IF($T$7:$T$36&lt;&gt;"",IF($Q$7:$Q$36&lt;&gt;"",ROW($Q$7:$Q$36)-MIN(ROW($Q$7:$Q$36))+1,""),""),ROW()-ROW(A$38)+1)))," "),"")</f>
        <v>0</v>
      </c>
      <c r="R67">
        <f t="array" ref="R67">IFERROR(CONCATENATE(TEXT(INDEX($Q$7:$Q$36,SMALL(IF($T$7:$T$36&lt;&gt;"",IF($Q$7:$Q$36&lt;&gt;"",ROW($Q$7:$Q$36)-MIN(ROW($Q$7:$Q$36))+1,""),""),ROW()-ROW(A$38)+1)),"##0")," "),"")</f>
        <v>0</v>
      </c>
      <c r="S67">
        <f t="array" ref="S67">IFERROR(CONCATENATE((INDEX($A$7:$A$36,SMALL(IF($T$7:$T$36&lt;&gt;"",IF($Q$7:$Q$36&lt;&gt;"",ROW($Q$7:$Q$36)-MIN(ROW($Q$7:$Q$36))+1,""),""),ROW()-ROW(A$38)+1))),),"")</f>
        <v>0</v>
      </c>
      <c r="W67">
        <f t="array" ref="W67">IFERROR(CONCATENATE((INDEX($Z$7:$Z$36,SMALL(IF($Z$7:$Z$36&lt;&gt;"",IF($W$7:$W$36&lt;&gt;"",ROW($W$7:$W$36)-MIN(ROW($W$7:$W$36))+1,""),""),ROW()-ROW(A$38)+1))),","),"")</f>
        <v>0</v>
      </c>
      <c r="X67">
        <f t="array" ref="X67">IFERROR(CONCATENATE(TEXT(INDEX($W$7:$W$36,SMALL(IF($Z$7:$Z$36&lt;&gt;"",IF($W$7:$W$36&lt;&gt;"",ROW($W$7:$W$36)-MIN(ROW($W$7:$W$36))+1,""),""),ROW()-ROW(A$38)+1)),"##0"),","),"")</f>
        <v>0</v>
      </c>
      <c r="Y67">
        <f t="array" ref="Y67">IFERROR(CONCATENATE((INDEX($A$7:$A$36,SMALL(IF($Z$7:$Z$36&lt;&gt;"",IF($W$7:$W$36&lt;&gt;"",ROW($W$7:$W$36)-MIN(ROW($W$7:$W$36))+1,""),""),ROW()-ROW(A$38)+1))),),"")</f>
        <v>0</v>
      </c>
    </row>
  </sheetData>
  <mergeCells count="4">
    <mergeCell ref="A5:I5"/>
    <mergeCell ref="J5:O5"/>
    <mergeCell ref="P5:U5"/>
    <mergeCell ref="V5:AA5"/>
  </mergeCells>
  <conditionalFormatting sqref="L11">
    <cfRule type="cellIs" dxfId="0" priority="7" operator="lessThanOrEqual">
      <formula>H11</formula>
    </cfRule>
  </conditionalFormatting>
  <conditionalFormatting sqref="L14">
    <cfRule type="cellIs" dxfId="0" priority="9" operator="lessThanOrEqual">
      <formula>H14</formula>
    </cfRule>
  </conditionalFormatting>
  <conditionalFormatting sqref="L15">
    <cfRule type="cellIs" dxfId="0" priority="11" operator="lessThanOrEqual">
      <formula>H15</formula>
    </cfRule>
  </conditionalFormatting>
  <conditionalFormatting sqref="L17">
    <cfRule type="cellIs" dxfId="0" priority="13" operator="lessThanOrEqual">
      <formula>H17</formula>
    </cfRule>
  </conditionalFormatting>
  <conditionalFormatting sqref="L18">
    <cfRule type="cellIs" dxfId="0" priority="15" operator="lessThanOrEqual">
      <formula>H18</formula>
    </cfRule>
  </conditionalFormatting>
  <conditionalFormatting sqref="L19">
    <cfRule type="cellIs" dxfId="0" priority="17" operator="lessThanOrEqual">
      <formula>H19</formula>
    </cfRule>
  </conditionalFormatting>
  <conditionalFormatting sqref="L20">
    <cfRule type="cellIs" dxfId="0" priority="19" operator="lessThanOrEqual">
      <formula>H20</formula>
    </cfRule>
  </conditionalFormatting>
  <conditionalFormatting sqref="L21">
    <cfRule type="cellIs" dxfId="0" priority="21" operator="lessThanOrEqual">
      <formula>H21</formula>
    </cfRule>
  </conditionalFormatting>
  <conditionalFormatting sqref="L23">
    <cfRule type="cellIs" dxfId="0" priority="23" operator="lessThanOrEqual">
      <formula>H23</formula>
    </cfRule>
  </conditionalFormatting>
  <conditionalFormatting sqref="L24">
    <cfRule type="cellIs" dxfId="0" priority="25" operator="lessThanOrEqual">
      <formula>H24</formula>
    </cfRule>
  </conditionalFormatting>
  <conditionalFormatting sqref="L25">
    <cfRule type="cellIs" dxfId="0" priority="27" operator="lessThanOrEqual">
      <formula>H25</formula>
    </cfRule>
  </conditionalFormatting>
  <conditionalFormatting sqref="L27">
    <cfRule type="cellIs" dxfId="0" priority="29" operator="lessThanOrEqual">
      <formula>H27</formula>
    </cfRule>
  </conditionalFormatting>
  <conditionalFormatting sqref="L28">
    <cfRule type="cellIs" dxfId="0" priority="31" operator="lessThanOrEqual">
      <formula>H28</formula>
    </cfRule>
  </conditionalFormatting>
  <conditionalFormatting sqref="L29">
    <cfRule type="cellIs" dxfId="0" priority="33" operator="lessThanOrEqual">
      <formula>H29</formula>
    </cfRule>
  </conditionalFormatting>
  <conditionalFormatting sqref="L30">
    <cfRule type="cellIs" dxfId="0" priority="35" operator="lessThanOrEqual">
      <formula>H30</formula>
    </cfRule>
  </conditionalFormatting>
  <conditionalFormatting sqref="L32">
    <cfRule type="cellIs" dxfId="0" priority="37" operator="lessThanOrEqual">
      <formula>H32</formula>
    </cfRule>
  </conditionalFormatting>
  <conditionalFormatting sqref="L33">
    <cfRule type="cellIs" dxfId="0" priority="39" operator="lessThanOrEqual">
      <formula>H33</formula>
    </cfRule>
  </conditionalFormatting>
  <conditionalFormatting sqref="L34">
    <cfRule type="cellIs" dxfId="0" priority="41" operator="lessThanOrEqual">
      <formula>H34</formula>
    </cfRule>
  </conditionalFormatting>
  <conditionalFormatting sqref="L36">
    <cfRule type="cellIs" dxfId="0" priority="43" operator="lessThanOrEqual">
      <formula>H36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1">
    <cfRule type="cellIs" dxfId="0" priority="8" operator="lessThanOrEqual">
      <formula>I11</formula>
    </cfRule>
  </conditionalFormatting>
  <conditionalFormatting sqref="M14">
    <cfRule type="cellIs" dxfId="0" priority="10" operator="lessThanOrEqual">
      <formula>I14</formula>
    </cfRule>
  </conditionalFormatting>
  <conditionalFormatting sqref="M15">
    <cfRule type="cellIs" dxfId="0" priority="12" operator="lessThanOrEqual">
      <formula>I15</formula>
    </cfRule>
  </conditionalFormatting>
  <conditionalFormatting sqref="M17">
    <cfRule type="cellIs" dxfId="0" priority="14" operator="lessThanOrEqual">
      <formula>I17</formula>
    </cfRule>
  </conditionalFormatting>
  <conditionalFormatting sqref="M18">
    <cfRule type="cellIs" dxfId="0" priority="16" operator="lessThanOrEqual">
      <formula>I18</formula>
    </cfRule>
  </conditionalFormatting>
  <conditionalFormatting sqref="M19">
    <cfRule type="cellIs" dxfId="0" priority="18" operator="lessThanOrEqual">
      <formula>I19</formula>
    </cfRule>
  </conditionalFormatting>
  <conditionalFormatting sqref="M20">
    <cfRule type="cellIs" dxfId="0" priority="20" operator="lessThanOrEqual">
      <formula>I20</formula>
    </cfRule>
  </conditionalFormatting>
  <conditionalFormatting sqref="M21">
    <cfRule type="cellIs" dxfId="0" priority="22" operator="lessThanOrEqual">
      <formula>I21</formula>
    </cfRule>
  </conditionalFormatting>
  <conditionalFormatting sqref="M23">
    <cfRule type="cellIs" dxfId="0" priority="24" operator="lessThanOrEqual">
      <formula>I23</formula>
    </cfRule>
  </conditionalFormatting>
  <conditionalFormatting sqref="M24">
    <cfRule type="cellIs" dxfId="0" priority="26" operator="lessThanOrEqual">
      <formula>I24</formula>
    </cfRule>
  </conditionalFormatting>
  <conditionalFormatting sqref="M25">
    <cfRule type="cellIs" dxfId="0" priority="28" operator="lessThanOrEqual">
      <formula>I25</formula>
    </cfRule>
  </conditionalFormatting>
  <conditionalFormatting sqref="M27">
    <cfRule type="cellIs" dxfId="0" priority="30" operator="lessThanOrEqual">
      <formula>I27</formula>
    </cfRule>
  </conditionalFormatting>
  <conditionalFormatting sqref="M28">
    <cfRule type="cellIs" dxfId="0" priority="32" operator="lessThanOrEqual">
      <formula>I28</formula>
    </cfRule>
  </conditionalFormatting>
  <conditionalFormatting sqref="M29">
    <cfRule type="cellIs" dxfId="0" priority="34" operator="lessThanOrEqual">
      <formula>I29</formula>
    </cfRule>
  </conditionalFormatting>
  <conditionalFormatting sqref="M30">
    <cfRule type="cellIs" dxfId="0" priority="36" operator="lessThanOrEqual">
      <formula>I30</formula>
    </cfRule>
  </conditionalFormatting>
  <conditionalFormatting sqref="M32">
    <cfRule type="cellIs" dxfId="0" priority="38" operator="lessThanOrEqual">
      <formula>I32</formula>
    </cfRule>
  </conditionalFormatting>
  <conditionalFormatting sqref="M33">
    <cfRule type="cellIs" dxfId="0" priority="40" operator="lessThanOrEqual">
      <formula>I33</formula>
    </cfRule>
  </conditionalFormatting>
  <conditionalFormatting sqref="M34">
    <cfRule type="cellIs" dxfId="0" priority="42" operator="lessThanOrEqual">
      <formula>I34</formula>
    </cfRule>
  </conditionalFormatting>
  <conditionalFormatting sqref="M36">
    <cfRule type="cellIs" dxfId="0" priority="44" operator="lessThanOrEqual">
      <formula>I36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X11">
    <cfRule type="cellIs" dxfId="0" priority="51" operator="lessThanOrEqual">
      <formula>H11</formula>
    </cfRule>
  </conditionalFormatting>
  <conditionalFormatting sqref="X14">
    <cfRule type="cellIs" dxfId="0" priority="53" operator="lessThanOrEqual">
      <formula>H14</formula>
    </cfRule>
  </conditionalFormatting>
  <conditionalFormatting sqref="X15">
    <cfRule type="cellIs" dxfId="0" priority="55" operator="lessThanOrEqual">
      <formula>H15</formula>
    </cfRule>
  </conditionalFormatting>
  <conditionalFormatting sqref="X17">
    <cfRule type="cellIs" dxfId="0" priority="57" operator="lessThanOrEqual">
      <formula>H17</formula>
    </cfRule>
  </conditionalFormatting>
  <conditionalFormatting sqref="X18">
    <cfRule type="cellIs" dxfId="0" priority="59" operator="lessThanOrEqual">
      <formula>H18</formula>
    </cfRule>
  </conditionalFormatting>
  <conditionalFormatting sqref="X19">
    <cfRule type="cellIs" dxfId="0" priority="61" operator="lessThanOrEqual">
      <formula>H19</formula>
    </cfRule>
  </conditionalFormatting>
  <conditionalFormatting sqref="X20">
    <cfRule type="cellIs" dxfId="0" priority="63" operator="lessThanOrEqual">
      <formula>H20</formula>
    </cfRule>
  </conditionalFormatting>
  <conditionalFormatting sqref="X21">
    <cfRule type="cellIs" dxfId="0" priority="65" operator="lessThanOrEqual">
      <formula>H21</formula>
    </cfRule>
  </conditionalFormatting>
  <conditionalFormatting sqref="X23">
    <cfRule type="cellIs" dxfId="0" priority="67" operator="lessThanOrEqual">
      <formula>H23</formula>
    </cfRule>
  </conditionalFormatting>
  <conditionalFormatting sqref="X24">
    <cfRule type="cellIs" dxfId="0" priority="69" operator="lessThanOrEqual">
      <formula>H24</formula>
    </cfRule>
  </conditionalFormatting>
  <conditionalFormatting sqref="X25">
    <cfRule type="cellIs" dxfId="0" priority="71" operator="lessThanOrEqual">
      <formula>H25</formula>
    </cfRule>
  </conditionalFormatting>
  <conditionalFormatting sqref="X27">
    <cfRule type="cellIs" dxfId="0" priority="73" operator="lessThanOrEqual">
      <formula>H27</formula>
    </cfRule>
  </conditionalFormatting>
  <conditionalFormatting sqref="X28">
    <cfRule type="cellIs" dxfId="0" priority="75" operator="lessThanOrEqual">
      <formula>H28</formula>
    </cfRule>
  </conditionalFormatting>
  <conditionalFormatting sqref="X29">
    <cfRule type="cellIs" dxfId="0" priority="77" operator="lessThanOrEqual">
      <formula>H29</formula>
    </cfRule>
  </conditionalFormatting>
  <conditionalFormatting sqref="X30">
    <cfRule type="cellIs" dxfId="0" priority="79" operator="lessThanOrEqual">
      <formula>H30</formula>
    </cfRule>
  </conditionalFormatting>
  <conditionalFormatting sqref="X32">
    <cfRule type="cellIs" dxfId="0" priority="81" operator="lessThanOrEqual">
      <formula>H32</formula>
    </cfRule>
  </conditionalFormatting>
  <conditionalFormatting sqref="X33">
    <cfRule type="cellIs" dxfId="0" priority="83" operator="lessThanOrEqual">
      <formula>H33</formula>
    </cfRule>
  </conditionalFormatting>
  <conditionalFormatting sqref="X34">
    <cfRule type="cellIs" dxfId="0" priority="85" operator="lessThanOrEqual">
      <formula>H34</formula>
    </cfRule>
  </conditionalFormatting>
  <conditionalFormatting sqref="X36">
    <cfRule type="cellIs" dxfId="0" priority="87" operator="lessThanOrEqual">
      <formula>H36</formula>
    </cfRule>
  </conditionalFormatting>
  <conditionalFormatting sqref="X7">
    <cfRule type="cellIs" dxfId="0" priority="45" operator="lessThanOrEqual">
      <formula>H7</formula>
    </cfRule>
  </conditionalFormatting>
  <conditionalFormatting sqref="X8">
    <cfRule type="cellIs" dxfId="0" priority="47" operator="lessThanOrEqual">
      <formula>H8</formula>
    </cfRule>
  </conditionalFormatting>
  <conditionalFormatting sqref="X9">
    <cfRule type="cellIs" dxfId="0" priority="49" operator="lessThanOrEqual">
      <formula>H9</formula>
    </cfRule>
  </conditionalFormatting>
  <conditionalFormatting sqref="Y11">
    <cfRule type="cellIs" dxfId="0" priority="52" operator="lessThanOrEqual">
      <formula>I11</formula>
    </cfRule>
  </conditionalFormatting>
  <conditionalFormatting sqref="Y14">
    <cfRule type="cellIs" dxfId="0" priority="54" operator="lessThanOrEqual">
      <formula>I14</formula>
    </cfRule>
  </conditionalFormatting>
  <conditionalFormatting sqref="Y15">
    <cfRule type="cellIs" dxfId="0" priority="56" operator="lessThanOrEqual">
      <formula>I15</formula>
    </cfRule>
  </conditionalFormatting>
  <conditionalFormatting sqref="Y17">
    <cfRule type="cellIs" dxfId="0" priority="58" operator="lessThanOrEqual">
      <formula>I17</formula>
    </cfRule>
  </conditionalFormatting>
  <conditionalFormatting sqref="Y18">
    <cfRule type="cellIs" dxfId="0" priority="60" operator="lessThanOrEqual">
      <formula>I18</formula>
    </cfRule>
  </conditionalFormatting>
  <conditionalFormatting sqref="Y19">
    <cfRule type="cellIs" dxfId="0" priority="62" operator="lessThanOrEqual">
      <formula>I19</formula>
    </cfRule>
  </conditionalFormatting>
  <conditionalFormatting sqref="Y20">
    <cfRule type="cellIs" dxfId="0" priority="64" operator="lessThanOrEqual">
      <formula>I20</formula>
    </cfRule>
  </conditionalFormatting>
  <conditionalFormatting sqref="Y21">
    <cfRule type="cellIs" dxfId="0" priority="66" operator="lessThanOrEqual">
      <formula>I21</formula>
    </cfRule>
  </conditionalFormatting>
  <conditionalFormatting sqref="Y23">
    <cfRule type="cellIs" dxfId="0" priority="68" operator="lessThanOrEqual">
      <formula>I23</formula>
    </cfRule>
  </conditionalFormatting>
  <conditionalFormatting sqref="Y24">
    <cfRule type="cellIs" dxfId="0" priority="70" operator="lessThanOrEqual">
      <formula>I24</formula>
    </cfRule>
  </conditionalFormatting>
  <conditionalFormatting sqref="Y25">
    <cfRule type="cellIs" dxfId="0" priority="72" operator="lessThanOrEqual">
      <formula>I25</formula>
    </cfRule>
  </conditionalFormatting>
  <conditionalFormatting sqref="Y27">
    <cfRule type="cellIs" dxfId="0" priority="74" operator="lessThanOrEqual">
      <formula>I27</formula>
    </cfRule>
  </conditionalFormatting>
  <conditionalFormatting sqref="Y28">
    <cfRule type="cellIs" dxfId="0" priority="76" operator="lessThanOrEqual">
      <formula>I28</formula>
    </cfRule>
  </conditionalFormatting>
  <conditionalFormatting sqref="Y29">
    <cfRule type="cellIs" dxfId="0" priority="78" operator="lessThanOrEqual">
      <formula>I29</formula>
    </cfRule>
  </conditionalFormatting>
  <conditionalFormatting sqref="Y30">
    <cfRule type="cellIs" dxfId="0" priority="80" operator="lessThanOrEqual">
      <formula>I30</formula>
    </cfRule>
  </conditionalFormatting>
  <conditionalFormatting sqref="Y32">
    <cfRule type="cellIs" dxfId="0" priority="82" operator="lessThanOrEqual">
      <formula>I32</formula>
    </cfRule>
  </conditionalFormatting>
  <conditionalFormatting sqref="Y33">
    <cfRule type="cellIs" dxfId="0" priority="84" operator="lessThanOrEqual">
      <formula>I33</formula>
    </cfRule>
  </conditionalFormatting>
  <conditionalFormatting sqref="Y34">
    <cfRule type="cellIs" dxfId="0" priority="86" operator="lessThanOrEqual">
      <formula>I34</formula>
    </cfRule>
  </conditionalFormatting>
  <conditionalFormatting sqref="Y36">
    <cfRule type="cellIs" dxfId="0" priority="88" operator="lessThanOrEqual">
      <formula>I36</formula>
    </cfRule>
  </conditionalFormatting>
  <conditionalFormatting sqref="Y7">
    <cfRule type="cellIs" dxfId="0" priority="46" operator="lessThanOrEqual">
      <formula>I7</formula>
    </cfRule>
  </conditionalFormatting>
  <conditionalFormatting sqref="Y8">
    <cfRule type="cellIs" dxfId="0" priority="48" operator="lessThanOrEqual">
      <formula>I8</formula>
    </cfRule>
  </conditionalFormatting>
  <conditionalFormatting sqref="Y9">
    <cfRule type="cellIs" dxfId="0" priority="50" operator="lessThanOrEqual">
      <formula>I9</formula>
    </cfRule>
  </conditionalFormatting>
  <hyperlinks>
    <hyperlink ref="O7" r:id="rId1"/>
    <hyperlink ref="AA7" r:id="rId2"/>
    <hyperlink ref="O8" r:id="rId3"/>
    <hyperlink ref="AA8" r:id="rId4"/>
    <hyperlink ref="O9" r:id="rId5"/>
    <hyperlink ref="AA9" r:id="rId6"/>
    <hyperlink ref="O11" r:id="rId7"/>
    <hyperlink ref="AA11" r:id="rId8"/>
    <hyperlink ref="O14" r:id="rId9"/>
    <hyperlink ref="AA14" r:id="rId10"/>
    <hyperlink ref="O15" r:id="rId11"/>
    <hyperlink ref="AA15" r:id="rId12"/>
    <hyperlink ref="O17" r:id="rId13"/>
    <hyperlink ref="AA17" r:id="rId14"/>
    <hyperlink ref="O18" r:id="rId15"/>
    <hyperlink ref="AA18" r:id="rId16"/>
    <hyperlink ref="O19" r:id="rId17"/>
    <hyperlink ref="AA19" r:id="rId18"/>
    <hyperlink ref="O20" r:id="rId19"/>
    <hyperlink ref="AA20" r:id="rId20"/>
    <hyperlink ref="O21" r:id="rId21"/>
    <hyperlink ref="AA21" r:id="rId22"/>
    <hyperlink ref="O23" r:id="rId23"/>
    <hyperlink ref="AA23" r:id="rId24"/>
    <hyperlink ref="O24" r:id="rId25"/>
    <hyperlink ref="AA24" r:id="rId26"/>
    <hyperlink ref="O25" r:id="rId27"/>
    <hyperlink ref="AA25" r:id="rId28"/>
    <hyperlink ref="O27" r:id="rId29"/>
    <hyperlink ref="AA27" r:id="rId30"/>
    <hyperlink ref="O28" r:id="rId31"/>
    <hyperlink ref="AA28" r:id="rId32"/>
    <hyperlink ref="O29" r:id="rId33"/>
    <hyperlink ref="AA29" r:id="rId34"/>
    <hyperlink ref="O30" r:id="rId35"/>
    <hyperlink ref="AA30" r:id="rId36"/>
    <hyperlink ref="O32" r:id="rId37"/>
    <hyperlink ref="AA32" r:id="rId38"/>
    <hyperlink ref="O33" r:id="rId39"/>
    <hyperlink ref="AA33" r:id="rId40"/>
    <hyperlink ref="O34" r:id="rId41"/>
    <hyperlink ref="AA34" r:id="rId42"/>
    <hyperlink ref="O36" r:id="rId43"/>
    <hyperlink ref="AA36" r:id="rId44"/>
  </hyperlinks>
  <pageMargins left="0.7" right="0.7" top="0.75" bottom="0.75" header="0.3" footer="0.3"/>
  <legacy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2016-02-21T08:42:39Z</dcterms:created>
  <dcterms:modified xsi:type="dcterms:W3CDTF">2016-02-21T08:42:39Z</dcterms:modified>
</cp:coreProperties>
</file>