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" sheetId="1" r:id="rId1"/>
  </sheets>
  <definedNames>
    <definedName name="BoardQty">KiCost!$I$1</definedName>
    <definedName name="digikey_part_data">KiCost!$J$5:$O$13</definedName>
    <definedName name="global_part_data">KiCost!$A$5:$I$13</definedName>
    <definedName name="mouser_part_data">KiCost!$P$5:$U$13</definedName>
    <definedName name="newark_part_data">KiCost!$V$5:$AA$13</definedName>
    <definedName name="TotalCost">KiCost!$I$2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<sst xmlns="http://schemas.openxmlformats.org/spreadsheetml/2006/main" count="110" uniqueCount="78">
  <si>
    <t>Global Part Info</t>
  </si>
  <si>
    <t>Refs</t>
  </si>
  <si>
    <t>Footprint</t>
  </si>
  <si>
    <t>Desc</t>
  </si>
  <si>
    <t>Ext$</t>
  </si>
  <si>
    <t>Manf#</t>
  </si>
  <si>
    <t>Unit$</t>
  </si>
  <si>
    <t>Qty</t>
  </si>
  <si>
    <t>Value</t>
  </si>
  <si>
    <t>Manf</t>
  </si>
  <si>
    <t>Y2</t>
  </si>
  <si>
    <t>ABS07</t>
  </si>
  <si>
    <t>CRYSTAL 32.768KHZ 7PF SMD</t>
  </si>
  <si>
    <t>ABS07-32.768KHZ-7-T</t>
  </si>
  <si>
    <t>000005V1RA</t>
  </si>
  <si>
    <t>Abracon</t>
  </si>
  <si>
    <t>R1,R2</t>
  </si>
  <si>
    <t>R_0201</t>
  </si>
  <si>
    <t>RES SMD 1K OHM 1% 1/20W 0201</t>
  </si>
  <si>
    <t>CRCW02011K00FKED</t>
  </si>
  <si>
    <t>000001V1RA</t>
  </si>
  <si>
    <t>Vishay Dale</t>
  </si>
  <si>
    <t>C1,C2</t>
  </si>
  <si>
    <t>C_0402</t>
  </si>
  <si>
    <t>CAP CER 27PF 50V NP0 0402</t>
  </si>
  <si>
    <t>C0402C270J5GACTU</t>
  </si>
  <si>
    <t>000004V1RA</t>
  </si>
  <si>
    <t>Kemet</t>
  </si>
  <si>
    <t>Y1</t>
  </si>
  <si>
    <t>FQ7050</t>
  </si>
  <si>
    <t>CRYSTAL 8.0000MHZ 20PF SMD</t>
  </si>
  <si>
    <t>FQ7050B-8.000</t>
  </si>
  <si>
    <t>000003V1RA</t>
  </si>
  <si>
    <t>Fox Electronics</t>
  </si>
  <si>
    <t>U1</t>
  </si>
  <si>
    <t>LQFP_144</t>
  </si>
  <si>
    <t>MCU ARM 1024KB FLASH 144LQFP</t>
  </si>
  <si>
    <t>STM32F205ZGT6</t>
  </si>
  <si>
    <t>000002V1RA</t>
  </si>
  <si>
    <t>STMicroelectronics</t>
  </si>
  <si>
    <t>C3,C4</t>
  </si>
  <si>
    <t>CAP CER 6PF 50V C0G 0402</t>
  </si>
  <si>
    <t>C1005C0G1H060D050BA</t>
  </si>
  <si>
    <t>000006V1RA</t>
  </si>
  <si>
    <t>TDK Corporation</t>
  </si>
  <si>
    <t>J1</t>
  </si>
  <si>
    <t>FTSH-110-01-L-DV</t>
  </si>
  <si>
    <t>CONN HEADER 20POS DUAL .05" SMD</t>
  </si>
  <si>
    <t>000007V1RA</t>
  </si>
  <si>
    <t>Samtec</t>
  </si>
  <si>
    <t>Board Qty:</t>
  </si>
  <si>
    <t>Total Cost:</t>
  </si>
  <si>
    <t>Unit Cost:</t>
  </si>
  <si>
    <t>Digi-Key</t>
  </si>
  <si>
    <t>Cat#</t>
  </si>
  <si>
    <t>Purch</t>
  </si>
  <si>
    <t>Doc</t>
  </si>
  <si>
    <t>Avail</t>
  </si>
  <si>
    <t>Link</t>
  </si>
  <si>
    <t>535-9543-1-ND</t>
  </si>
  <si>
    <t>541-1.00KAABCT-ND</t>
  </si>
  <si>
    <t>399-1016-1-ND</t>
  </si>
  <si>
    <t>631-1029-1-ND</t>
  </si>
  <si>
    <t>497-11166-ND</t>
  </si>
  <si>
    <t>445-4885-1-ND</t>
  </si>
  <si>
    <t>SAM1161-10-ND</t>
  </si>
  <si>
    <t>Mouser</t>
  </si>
  <si>
    <t>815-ABS07-32.768K7T</t>
  </si>
  <si>
    <t>71-CRCW02011K00FKED</t>
  </si>
  <si>
    <t>80-C0402C270J5G</t>
  </si>
  <si>
    <t>511-STM32F205ZGT6</t>
  </si>
  <si>
    <t>Newark</t>
  </si>
  <si>
    <t>14N8750</t>
  </si>
  <si>
    <t>89M6577</t>
  </si>
  <si>
    <t>01J3306</t>
  </si>
  <si>
    <t>61T5363</t>
  </si>
  <si>
    <t>82T9688</t>
  </si>
  <si>
    <t>04X3200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</si>
</sst>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abracon-llc/ABS07-32.768KHZ-7-T/535-9543-1-ND/1237010" TargetMode="External"/><Relationship Id="rId2" Type="http://schemas.openxmlformats.org/officeDocument/2006/relationships/hyperlink" Target="http://www.mouser.com/Search/Refine.aspx?Keyword=ABS07-32.768KHZ-7-T%20Abracon" TargetMode="External"/><Relationship Id="rId3" Type="http://schemas.openxmlformats.org/officeDocument/2006/relationships/hyperlink" Target="http://www.newark.com/abracon/abs07-32-768khz-7-t/crystal-32-768khz-7pf-3-2-x-1/dp/14N8750" TargetMode="External"/><Relationship Id="rId4" Type="http://schemas.openxmlformats.org/officeDocument/2006/relationships/hyperlink" Target="http://www.digikey.com/product-detail/en/vishay-dale/CRCW02011K00FKED/541-1.00KAABCT-ND/1968163" TargetMode="External"/><Relationship Id="rId5" Type="http://schemas.openxmlformats.org/officeDocument/2006/relationships/hyperlink" Target="http://www.mouser.com/Search/Refine.aspx?Keyword=CRCW02011K00FKED%20Vishay%20Dale" TargetMode="External"/><Relationship Id="rId6" Type="http://schemas.openxmlformats.org/officeDocument/2006/relationships/hyperlink" Target="http://www.newark.com/vishay-dale/crcw02011k00fned/res-thick-film-1k-1-0-05w-0201/dp/89M6577" TargetMode="External"/><Relationship Id="rId7" Type="http://schemas.openxmlformats.org/officeDocument/2006/relationships/hyperlink" Target="http://www.digikey.com/product-detail/en/kemet/C0402C270J5GACTU/399-1016-1-ND/411291" TargetMode="External"/><Relationship Id="rId8" Type="http://schemas.openxmlformats.org/officeDocument/2006/relationships/hyperlink" Target="http://www.mouser.com/Search/../ProductDetail/Kemet/C0402C270J5GACTU/?qs=sGAEpiMZZMs0AnBnWHyRQLcQ8ijMyXWGGhpOIRXj7Po%3d" TargetMode="External"/><Relationship Id="rId9" Type="http://schemas.openxmlformats.org/officeDocument/2006/relationships/hyperlink" Target="http://www.newark.com/kemet/c0402c270j5gactu/ceramic-capacitor-27pf-50v-c0g/dp/01J3306" TargetMode="External"/><Relationship Id="rId10" Type="http://schemas.openxmlformats.org/officeDocument/2006/relationships/hyperlink" Target="http://www.digikey.com/product-detail/en/fox-electronics/FQ7050B-8.000/631-1029-1-ND/1024734" TargetMode="External"/><Relationship Id="rId11" Type="http://schemas.openxmlformats.org/officeDocument/2006/relationships/hyperlink" Target="http://www.newark.com/fox-electronics/fq7050b-8-000/crystal-8mhz-20pf-7-x-5mm/dp/61T5363" TargetMode="External"/><Relationship Id="rId12" Type="http://schemas.openxmlformats.org/officeDocument/2006/relationships/hyperlink" Target="http://www.digikey.com/product-detail/en/stmicroelectronics/STM32F205ZGT6/497-11166-ND/2640812" TargetMode="External"/><Relationship Id="rId13" Type="http://schemas.openxmlformats.org/officeDocument/2006/relationships/hyperlink" Target="http://www.mouser.com/Search/../ProductDetail/STMicroelectronics/STM32F205ZGT6/?qs=sGAEpiMZZMuoKKEcg8mMKLx1BOLCjM8ToT%252bxRDmTObU%3d" TargetMode="External"/><Relationship Id="rId14" Type="http://schemas.openxmlformats.org/officeDocument/2006/relationships/hyperlink" Target="http://www.newark.com/stmicroelectronics/stm32f205zgt6/32-bit-microcontroller-advanced/dp/82T9688" TargetMode="External"/><Relationship Id="rId15" Type="http://schemas.openxmlformats.org/officeDocument/2006/relationships/hyperlink" Target="http://www.digikey.com/product-detail/en/tdk-corporation/C1005C0G1H060D050BA/445-4885-1-ND/2093499" TargetMode="External"/><Relationship Id="rId16" Type="http://schemas.openxmlformats.org/officeDocument/2006/relationships/hyperlink" Target="http://www.newark.com/tdk/c1005c0g1h060d050ba/ceramic-capacitor-6pf-50v-c0g/dp/04X3200" TargetMode="External"/><Relationship Id="rId17" Type="http://schemas.openxmlformats.org/officeDocument/2006/relationships/hyperlink" Target="http://www.digikey.com/product-detail/en/samtec-inc/FTSH-110-01-L-DV/SAM1161-10-ND/1110217" TargetMode="External"/><Relationship Id="rId18" Type="http://schemas.openxmlformats.org/officeDocument/2006/relationships/vmlDrawing" Target="../drawings/vmlDrawing1.vml"/><Relationship Id="rId1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</cols>
  <sheetData>
    <row r="1" spans="1:27">
      <c r="H1" s="2" t="s">
        <v>50</v>
      </c>
      <c r="I1" s="2">
        <v>100</v>
      </c>
    </row>
    <row r="2" spans="1:27">
      <c r="H2" s="3" t="s">
        <v>51</v>
      </c>
      <c r="I2" s="4">
        <f>sum(I7:I13)</f>
        <v>0</v>
      </c>
      <c r="M2" s="4">
        <f>sum(M7:M13)</f>
        <v>0</v>
      </c>
      <c r="S2" s="4">
        <f>sum(S7:S13)</f>
        <v>0</v>
      </c>
      <c r="Y2" s="4">
        <f>sum(Y7:Y13)</f>
        <v>0</v>
      </c>
    </row>
    <row r="3" spans="1:27">
      <c r="H3" s="3" t="s">
        <v>52</v>
      </c>
      <c r="I3" s="5">
        <f>TotalCost/BoardQty</f>
        <v>0</v>
      </c>
    </row>
    <row r="5" spans="1:27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53</v>
      </c>
      <c r="K5" s="7"/>
      <c r="L5" s="7"/>
      <c r="M5" s="7"/>
      <c r="N5" s="7"/>
      <c r="O5" s="7"/>
      <c r="P5" s="8" t="s">
        <v>66</v>
      </c>
      <c r="Q5" s="8"/>
      <c r="R5" s="8"/>
      <c r="S5" s="8"/>
      <c r="T5" s="8"/>
      <c r="U5" s="8"/>
      <c r="V5" s="9" t="s">
        <v>71</v>
      </c>
      <c r="W5" s="9"/>
      <c r="X5" s="9"/>
      <c r="Y5" s="9"/>
      <c r="Z5" s="9"/>
      <c r="AA5" s="9"/>
    </row>
    <row r="6" spans="1:27">
      <c r="A6" s="10" t="s">
        <v>1</v>
      </c>
      <c r="B6" s="10" t="s">
        <v>8</v>
      </c>
      <c r="C6" s="10" t="s">
        <v>3</v>
      </c>
      <c r="D6" s="10" t="s">
        <v>2</v>
      </c>
      <c r="E6" s="10" t="s">
        <v>9</v>
      </c>
      <c r="F6" s="10" t="s">
        <v>5</v>
      </c>
      <c r="G6" s="10" t="s">
        <v>7</v>
      </c>
      <c r="H6" s="10" t="s">
        <v>6</v>
      </c>
      <c r="I6" s="10" t="s">
        <v>4</v>
      </c>
      <c r="J6" s="10" t="s">
        <v>57</v>
      </c>
      <c r="K6" s="10" t="s">
        <v>55</v>
      </c>
      <c r="L6" s="10" t="s">
        <v>6</v>
      </c>
      <c r="M6" s="10" t="s">
        <v>4</v>
      </c>
      <c r="N6" s="10" t="s">
        <v>54</v>
      </c>
      <c r="O6" s="10" t="s">
        <v>56</v>
      </c>
      <c r="P6" s="10" t="s">
        <v>57</v>
      </c>
      <c r="Q6" s="10" t="s">
        <v>55</v>
      </c>
      <c r="R6" s="10" t="s">
        <v>6</v>
      </c>
      <c r="S6" s="10" t="s">
        <v>4</v>
      </c>
      <c r="T6" s="10" t="s">
        <v>54</v>
      </c>
      <c r="U6" s="10" t="s">
        <v>56</v>
      </c>
      <c r="V6" s="10" t="s">
        <v>57</v>
      </c>
      <c r="W6" s="10" t="s">
        <v>55</v>
      </c>
      <c r="X6" s="10" t="s">
        <v>6</v>
      </c>
      <c r="Y6" s="10" t="s">
        <v>4</v>
      </c>
      <c r="Z6" s="10" t="s">
        <v>54</v>
      </c>
      <c r="AA6" s="10" t="s">
        <v>56</v>
      </c>
    </row>
    <row r="7" spans="1:27">
      <c r="A7" t="s">
        <v>10</v>
      </c>
      <c r="B7" t="s">
        <v>14</v>
      </c>
      <c r="C7" t="s">
        <v>12</v>
      </c>
      <c r="D7" t="s">
        <v>11</v>
      </c>
      <c r="E7" t="s">
        <v>15</v>
      </c>
      <c r="F7" t="s">
        <v>13</v>
      </c>
      <c r="G7">
        <f>BoardQty*1</f>
        <v>0</v>
      </c>
      <c r="H7" s="11">
        <f>MINA(INDIRECT(ADDRESS(ROW(),COLUMN(mouser_part_data)+2)),INDIRECT(ADDRESS(ROW(),COLUMN(newark_part_data)+2)),INDIRECT(ADDRESS(ROW(),COLUMN(digikey_part_data)+2)))</f>
        <v>0</v>
      </c>
      <c r="I7" s="11">
        <f>iferror(G7*H7,"")</f>
        <v>0</v>
      </c>
      <c r="J7">
        <v>0</v>
      </c>
      <c r="L7" s="11">
        <f>iferror(lookup(if(K7="",G7,K7),{0,1,10,50,100,500,1000,3000,6000,15000},{0.0,0.71,0.592,0.531,0.4725,0.45,0.378,0.3375,0.32625,0.315}),"")</f>
        <v>0</v>
      </c>
      <c r="M7" s="11">
        <f>iferror(if(K7="",G7,K7)*L7,"")</f>
        <v>0</v>
      </c>
      <c r="N7" t="s">
        <v>59</v>
      </c>
      <c r="O7" s="12" t="s">
        <v>58</v>
      </c>
      <c r="P7">
        <v>688</v>
      </c>
      <c r="R7" s="11">
        <f>iferror(lookup(if(Q7="",G7,Q7),{0,1,10,50,100,500,1500,3000,6000,9000},{0.0,0.632,0.566,0.529,0.468,0.37,0.354,0.339,0.327,0.322}),"")</f>
        <v>0</v>
      </c>
      <c r="S7" s="11">
        <f>iferror(if(Q7="",G7,Q7)*R7,"")</f>
        <v>0</v>
      </c>
      <c r="T7" t="s">
        <v>67</v>
      </c>
      <c r="U7" s="12" t="s">
        <v>58</v>
      </c>
      <c r="V7">
        <v>1220</v>
      </c>
      <c r="X7" s="11">
        <f>iferror(lookup(if(W7="",G7,W7),{0,1,10,50,100,500,750,1000},{0.0,1.05,0.92,0.859,0.76,0.719,0.681,0.601}),"")</f>
        <v>0</v>
      </c>
      <c r="Y7" s="11">
        <f>iferror(if(W7="",G7,W7)*X7,"")</f>
        <v>0</v>
      </c>
      <c r="Z7" t="s">
        <v>72</v>
      </c>
      <c r="AA7" s="12" t="s">
        <v>58</v>
      </c>
    </row>
    <row r="8" spans="1:27">
      <c r="A8" t="s">
        <v>16</v>
      </c>
      <c r="B8" t="s">
        <v>20</v>
      </c>
      <c r="C8" t="s">
        <v>18</v>
      </c>
      <c r="D8" t="s">
        <v>17</v>
      </c>
      <c r="E8" t="s">
        <v>21</v>
      </c>
      <c r="F8" t="s">
        <v>19</v>
      </c>
      <c r="G8">
        <f>BoardQty*2</f>
        <v>0</v>
      </c>
      <c r="H8" s="11">
        <f>MINA(INDIRECT(ADDRESS(ROW(),COLUMN(mouser_part_data)+2)),INDIRECT(ADDRESS(ROW(),COLUMN(newark_part_data)+2)),INDIRECT(ADDRESS(ROW(),COLUMN(digikey_part_data)+2)))</f>
        <v>0</v>
      </c>
      <c r="I8" s="11">
        <f>iferror(G8*H8,"")</f>
        <v>0</v>
      </c>
      <c r="J8">
        <v>96315</v>
      </c>
      <c r="L8" s="11">
        <f>iferror(lookup(if(K8="",G8,K8),{0,1,10,25,50,100,250,500,1000,2500,10000,30000,50000,100000},{0.0,0.26,0.218,0.1584,0.1148,0.0851,0.06536,0.05148,0.03564,0.03267,0.0252,0.02394,0.02345,0.02295}),"")</f>
        <v>0</v>
      </c>
      <c r="M8" s="11">
        <f>iferror(if(K8="",G8,K8)*L8,"")</f>
        <v>0</v>
      </c>
      <c r="N8" t="s">
        <v>60</v>
      </c>
      <c r="O8" s="12" t="s">
        <v>58</v>
      </c>
      <c r="P8">
        <v>25295</v>
      </c>
      <c r="R8" s="11">
        <f>iferror(lookup(if(Q8="",G8,Q8),{0,1,10,100,1000,10000,30000,100000,250000},{0.0,0.256,0.113,0.051,0.033,0.026,0.024,0.023,0.022}),"")</f>
        <v>0</v>
      </c>
      <c r="S8" s="11">
        <f>iferror(if(Q8="",G8,Q8)*R8,"")</f>
        <v>0</v>
      </c>
      <c r="T8" t="s">
        <v>68</v>
      </c>
      <c r="U8" s="12" t="s">
        <v>58</v>
      </c>
      <c r="V8">
        <v>17706</v>
      </c>
      <c r="X8" s="11">
        <f>iferror(lookup(if(W8="",G8,W8),{0,1,10,100,1000},{0.0,0.15,0.067,0.031,0.021}),"")</f>
        <v>0</v>
      </c>
      <c r="Y8" s="11">
        <f>iferror(if(W8="",G8,W8)*X8,"")</f>
        <v>0</v>
      </c>
      <c r="Z8" t="s">
        <v>73</v>
      </c>
      <c r="AA8" s="12" t="s">
        <v>58</v>
      </c>
    </row>
    <row r="9" spans="1:27">
      <c r="A9" t="s">
        <v>22</v>
      </c>
      <c r="B9" t="s">
        <v>26</v>
      </c>
      <c r="C9" t="s">
        <v>24</v>
      </c>
      <c r="D9" t="s">
        <v>23</v>
      </c>
      <c r="E9" t="s">
        <v>27</v>
      </c>
      <c r="F9" t="s">
        <v>25</v>
      </c>
      <c r="G9">
        <f>BoardQty*2</f>
        <v>0</v>
      </c>
      <c r="H9" s="11">
        <f>MINA(INDIRECT(ADDRESS(ROW(),COLUMN(mouser_part_data)+2)),INDIRECT(ADDRESS(ROW(),COLUMN(newark_part_data)+2)),INDIRECT(ADDRESS(ROW(),COLUMN(digikey_part_data)+2)))</f>
        <v>0</v>
      </c>
      <c r="I9" s="11">
        <f>iferror(G9*H9,"")</f>
        <v>0</v>
      </c>
      <c r="J9">
        <v>187655</v>
      </c>
      <c r="L9" s="11">
        <f>iferror(lookup(if(K9="",G9,K9),{0,1,10,50,100,250,500,1000,2500,5000,10000,20000,30000,50000,100000},{0.0,0.1,0.026,0.0144,0.0121,0.00992,0.00848,0.0066,0.00594,0.0055,0.00462,0.0044,0.00418,0.00374,0.00303}),"")</f>
        <v>0</v>
      </c>
      <c r="M9" s="11">
        <f>iferror(if(K9="",G9,K9)*L9,"")</f>
        <v>0</v>
      </c>
      <c r="N9" t="s">
        <v>61</v>
      </c>
      <c r="O9" s="12" t="s">
        <v>58</v>
      </c>
      <c r="P9">
        <v>82571</v>
      </c>
      <c r="R9" s="11">
        <f>iferror(lookup(if(Q9="",G9,Q9),{0,1,10,100,1000,2000,10000,50000},{0.0,0.099,0.015,0.009,0.007,0.005,0.005,0.004}),"")</f>
        <v>0</v>
      </c>
      <c r="S9" s="11">
        <f>iferror(if(Q9="",G9,Q9)*R9,"")</f>
        <v>0</v>
      </c>
      <c r="T9" t="s">
        <v>69</v>
      </c>
      <c r="U9" s="12" t="s">
        <v>58</v>
      </c>
      <c r="V9">
        <v>10980</v>
      </c>
      <c r="X9" s="11">
        <f>iferror(lookup(if(W9="",G9,W9),{0,1,10,50,100,250,500,1000,2500},{0.0,0.1,0.026,0.014,0.012,0.009,0.008,0.006,0.005}),"")</f>
        <v>0</v>
      </c>
      <c r="Y9" s="11">
        <f>iferror(if(W9="",G9,W9)*X9,"")</f>
        <v>0</v>
      </c>
      <c r="Z9" t="s">
        <v>74</v>
      </c>
      <c r="AA9" s="12" t="s">
        <v>58</v>
      </c>
    </row>
    <row r="10" spans="1:27">
      <c r="A10" t="s">
        <v>28</v>
      </c>
      <c r="B10" t="s">
        <v>32</v>
      </c>
      <c r="C10" t="s">
        <v>30</v>
      </c>
      <c r="D10" t="s">
        <v>29</v>
      </c>
      <c r="E10" t="s">
        <v>33</v>
      </c>
      <c r="F10" t="s">
        <v>31</v>
      </c>
      <c r="G10">
        <f>BoardQty*1</f>
        <v>0</v>
      </c>
      <c r="H10" s="11">
        <f>MINA(INDIRECT(ADDRESS(ROW(),COLUMN(mouser_part_data)+2)),INDIRECT(ADDRESS(ROW(),COLUMN(newark_part_data)+2)),INDIRECT(ADDRESS(ROW(),COLUMN(digikey_part_data)+2)))</f>
        <v>0</v>
      </c>
      <c r="I10" s="11">
        <f>iferror(G10*H10,"")</f>
        <v>0</v>
      </c>
      <c r="J10">
        <v>5515</v>
      </c>
      <c r="L10" s="11">
        <f>iferror(lookup(if(K10="",G10,K10),{0,1,10,50,100,500,1000,3000,5000,10000},{0.0,0.87,0.774,0.7232,0.64,0.6048,0.48,0.464,0.448,0.432}),"")</f>
        <v>0</v>
      </c>
      <c r="M10" s="11">
        <f>iferror(if(K10="",G10,K10)*L10,"")</f>
        <v>0</v>
      </c>
      <c r="N10" t="s">
        <v>62</v>
      </c>
      <c r="O10" s="12" t="s">
        <v>58</v>
      </c>
      <c r="V10">
        <v>990</v>
      </c>
      <c r="X10" s="11">
        <f>iferror(lookup(if(W10="",G10,W10),{0,1,25,50,100,500},{0.0,1.11,0.922,0.829,0.74,0.701}),"")</f>
        <v>0</v>
      </c>
      <c r="Y10" s="11">
        <f>iferror(if(W10="",G10,W10)*X10,"")</f>
        <v>0</v>
      </c>
      <c r="Z10" t="s">
        <v>75</v>
      </c>
      <c r="AA10" s="12" t="s">
        <v>58</v>
      </c>
    </row>
    <row r="11" spans="1:27">
      <c r="A11" t="s">
        <v>34</v>
      </c>
      <c r="B11" t="s">
        <v>38</v>
      </c>
      <c r="C11" t="s">
        <v>36</v>
      </c>
      <c r="D11" t="s">
        <v>35</v>
      </c>
      <c r="E11" t="s">
        <v>39</v>
      </c>
      <c r="F11" t="s">
        <v>37</v>
      </c>
      <c r="G11">
        <f>BoardQty*1</f>
        <v>0</v>
      </c>
      <c r="H11" s="11">
        <f>MINA(INDIRECT(ADDRESS(ROW(),COLUMN(mouser_part_data)+2)),INDIRECT(ADDRESS(ROW(),COLUMN(newark_part_data)+2)),INDIRECT(ADDRESS(ROW(),COLUMN(digikey_part_data)+2)))</f>
        <v>0</v>
      </c>
      <c r="I11" s="11">
        <f>iferror(G11*H11,"")</f>
        <v>0</v>
      </c>
      <c r="J11">
        <v>339</v>
      </c>
      <c r="L11" s="11">
        <f>iferror(lookup(if(K11="",G11,K11),{0,1,10,100,500,1000},{0.0,15.37,14.122,11.9267,10.60966,9.73161}),"")</f>
        <v>0</v>
      </c>
      <c r="M11" s="11">
        <f>iferror(if(K11="",G11,K11)*L11,"")</f>
        <v>0</v>
      </c>
      <c r="N11" t="s">
        <v>63</v>
      </c>
      <c r="O11" s="12" t="s">
        <v>58</v>
      </c>
      <c r="P11">
        <v>333</v>
      </c>
      <c r="R11" s="11">
        <f>iferror(lookup(if(Q11="",G11,Q11),{0,1,10,25,50,100,250,500,1000},{0.0,15.14,13.93,13.34,12.62,11.76,11.12,10.42,9.29}),"")</f>
        <v>0</v>
      </c>
      <c r="S11" s="11">
        <f>iferror(if(Q11="",G11,Q11)*R11,"")</f>
        <v>0</v>
      </c>
      <c r="T11" t="s">
        <v>70</v>
      </c>
      <c r="U11" s="12" t="s">
        <v>58</v>
      </c>
      <c r="V11">
        <v>28</v>
      </c>
      <c r="X11" s="11">
        <f>iferror(lookup(if(W11="",G11,W11),{0,1,10,25,50,100,250,500,1000},{0.0,15.32,13.25,11.75,10.75,9.82,8.38,7.69,7.5}),"")</f>
        <v>0</v>
      </c>
      <c r="Y11" s="11">
        <f>iferror(if(W11="",G11,W11)*X11,"")</f>
        <v>0</v>
      </c>
      <c r="Z11" t="s">
        <v>76</v>
      </c>
      <c r="AA11" s="12" t="s">
        <v>58</v>
      </c>
    </row>
    <row r="12" spans="1:27">
      <c r="A12" t="s">
        <v>40</v>
      </c>
      <c r="B12" t="s">
        <v>43</v>
      </c>
      <c r="C12" t="s">
        <v>41</v>
      </c>
      <c r="D12" t="s">
        <v>23</v>
      </c>
      <c r="E12" t="s">
        <v>44</v>
      </c>
      <c r="F12" t="s">
        <v>42</v>
      </c>
      <c r="G12">
        <f>BoardQty*2</f>
        <v>0</v>
      </c>
      <c r="H12" s="11">
        <f>MINA(INDIRECT(ADDRESS(ROW(),COLUMN(mouser_part_data)+2)),INDIRECT(ADDRESS(ROW(),COLUMN(newark_part_data)+2)),INDIRECT(ADDRESS(ROW(),COLUMN(digikey_part_data)+2)))</f>
        <v>0</v>
      </c>
      <c r="I12" s="11">
        <f>iferror(G12*H12,"")</f>
        <v>0</v>
      </c>
      <c r="J12">
        <v>294884</v>
      </c>
      <c r="L12" s="11">
        <f>iferror(lookup(if(K12="",G12,K12),{0,1,10,100,250,500,1000,5000,10000,20000,30000,50000,100000},{0.0,0.1,0.026,0.0121,0.00992,0.00848,0.0066,0.0055,0.00462,0.0044,0.00418,0.00374,0.00303}),"")</f>
        <v>0</v>
      </c>
      <c r="M12" s="11">
        <f>iferror(if(K12="",G12,K12)*L12,"")</f>
        <v>0</v>
      </c>
      <c r="N12" t="s">
        <v>64</v>
      </c>
      <c r="O12" s="12" t="s">
        <v>58</v>
      </c>
      <c r="V12">
        <v>12497</v>
      </c>
      <c r="X12" s="11">
        <f>iferror(lookup(if(W12="",G12,W12),{0,1,10,100,250,500,1000,5000},{0.0,0.146,0.038,0.018,0.013,0.012,0.009,0.008}),"")</f>
        <v>0</v>
      </c>
      <c r="Y12" s="11">
        <f>iferror(if(W12="",G12,W12)*X12,"")</f>
        <v>0</v>
      </c>
      <c r="Z12" t="s">
        <v>77</v>
      </c>
      <c r="AA12" s="12" t="s">
        <v>58</v>
      </c>
    </row>
    <row r="13" spans="1:27">
      <c r="A13" t="s">
        <v>45</v>
      </c>
      <c r="B13" t="s">
        <v>48</v>
      </c>
      <c r="C13" t="s">
        <v>47</v>
      </c>
      <c r="D13" t="s">
        <v>46</v>
      </c>
      <c r="E13" t="s">
        <v>49</v>
      </c>
      <c r="F13" t="s">
        <v>46</v>
      </c>
      <c r="G13">
        <f>BoardQty*1</f>
        <v>0</v>
      </c>
      <c r="H13" s="11">
        <f>MINA(INDIRECT(ADDRESS(ROW(),COLUMN(mouser_part_data)+2)),INDIRECT(ADDRESS(ROW(),COLUMN(newark_part_data)+2)),INDIRECT(ADDRESS(ROW(),COLUMN(digikey_part_data)+2)))</f>
        <v>0</v>
      </c>
      <c r="I13" s="11">
        <f>iferror(G13*H13,"")</f>
        <v>0</v>
      </c>
      <c r="J13">
        <v>0</v>
      </c>
      <c r="L13" s="11">
        <f>iferror(lookup(if(K13="",G13,K13),{0,1,10,100,500,1000,5000,10000},{0.0,4.63,4.011,3.3937,2.69952,2.19818,2.00535,1.92823}),"")</f>
        <v>0</v>
      </c>
      <c r="M13" s="11">
        <f>iferror(if(K13="",G13,K13)*L13,"")</f>
        <v>0</v>
      </c>
      <c r="N13" t="s">
        <v>65</v>
      </c>
      <c r="O13" s="12" t="s">
        <v>58</v>
      </c>
    </row>
    <row r="15" spans="1:27">
      <c r="K15">
        <f t="array" ref="K15">IFERROR(CONCATENATE(TEXT(INDEX($K$7:$K$13,SMALL(IF($N$7:$N$13&lt;&gt;"",IF($K$7:$K$13&lt;&gt;"",ROW($K$7:$K$13)-MIN(ROW($K$7:$K$13))+1,""),""),ROW()-ROW(A$15)+1)),"##0"),","),"")</f>
        <v>0</v>
      </c>
      <c r="L15">
        <f t="array" ref="L15">IFERROR(CONCATENATE((INDEX($N$7:$N$13,SMALL(IF($N$7:$N$13&lt;&gt;"",IF($K$7:$K$13&lt;&gt;"",ROW($K$7:$K$13)-MIN(ROW($K$7:$K$13))+1,""),""),ROW()-ROW(A$15)+1))),","),"")</f>
        <v>0</v>
      </c>
      <c r="M15">
        <f t="array" ref="M15">IFERROR(CONCATENATE((INDEX($A$7:$A$13,SMALL(IF($N$7:$N$13&lt;&gt;"",IF($K$7:$K$13&lt;&gt;"",ROW($K$7:$K$13)-MIN(ROW($K$7:$K$13))+1,""),""),ROW()-ROW(A$15)+1))),),"")</f>
        <v>0</v>
      </c>
      <c r="Q15">
        <f t="array" ref="Q15">IFERROR(CONCATENATE((INDEX($T$7:$T$13,SMALL(IF($T$7:$T$13&lt;&gt;"",IF($Q$7:$Q$13&lt;&gt;"",ROW($Q$7:$Q$13)-MIN(ROW($Q$7:$Q$13))+1,""),""),ROW()-ROW(A$15)+1)))," "),"")</f>
        <v>0</v>
      </c>
      <c r="R15">
        <f t="array" ref="R15">IFERROR(CONCATENATE(TEXT(INDEX($Q$7:$Q$13,SMALL(IF($T$7:$T$13&lt;&gt;"",IF($Q$7:$Q$13&lt;&gt;"",ROW($Q$7:$Q$13)-MIN(ROW($Q$7:$Q$13))+1,""),""),ROW()-ROW(A$15)+1)),"##0")," "),"")</f>
        <v>0</v>
      </c>
      <c r="S15">
        <f t="array" ref="S15">IFERROR(CONCATENATE((INDEX($A$7:$A$13,SMALL(IF($T$7:$T$13&lt;&gt;"",IF($Q$7:$Q$13&lt;&gt;"",ROW($Q$7:$Q$13)-MIN(ROW($Q$7:$Q$13))+1,""),""),ROW()-ROW(A$15)+1))),),"")</f>
        <v>0</v>
      </c>
      <c r="W15">
        <f t="array" ref="W15">IFERROR(CONCATENATE((INDEX($Z$7:$Z$13,SMALL(IF($Z$7:$Z$13&lt;&gt;"",IF($W$7:$W$13&lt;&gt;"",ROW($W$7:$W$13)-MIN(ROW($W$7:$W$13))+1,""),""),ROW()-ROW(A$15)+1))),","),"")</f>
        <v>0</v>
      </c>
      <c r="X15">
        <f t="array" ref="X15">IFERROR(CONCATENATE(TEXT(INDEX($W$7:$W$13,SMALL(IF($Z$7:$Z$13&lt;&gt;"",IF($W$7:$W$13&lt;&gt;"",ROW($W$7:$W$13)-MIN(ROW($W$7:$W$13))+1,""),""),ROW()-ROW(A$15)+1)),"##0"),","),"")</f>
        <v>0</v>
      </c>
      <c r="Y15">
        <f t="array" ref="Y15">IFERROR(CONCATENATE((INDEX($A$7:$A$13,SMALL(IF($Z$7:$Z$13&lt;&gt;"",IF($W$7:$W$13&lt;&gt;"",ROW($W$7:$W$13)-MIN(ROW($W$7:$W$13))+1,""),""),ROW()-ROW(A$15)+1))),),"")</f>
        <v>0</v>
      </c>
    </row>
    <row r="16" spans="1:27">
      <c r="K16">
        <f t="array" ref="K16">IFERROR(CONCATENATE(TEXT(INDEX($K$7:$K$13,SMALL(IF($N$7:$N$13&lt;&gt;"",IF($K$7:$K$13&lt;&gt;"",ROW($K$7:$K$13)-MIN(ROW($K$7:$K$13))+1,""),""),ROW()-ROW(A$15)+1)),"##0"),","),"")</f>
        <v>0</v>
      </c>
      <c r="L16">
        <f t="array" ref="L16">IFERROR(CONCATENATE((INDEX($N$7:$N$13,SMALL(IF($N$7:$N$13&lt;&gt;"",IF($K$7:$K$13&lt;&gt;"",ROW($K$7:$K$13)-MIN(ROW($K$7:$K$13))+1,""),""),ROW()-ROW(A$15)+1))),","),"")</f>
        <v>0</v>
      </c>
      <c r="M16">
        <f t="array" ref="M16">IFERROR(CONCATENATE((INDEX($A$7:$A$13,SMALL(IF($N$7:$N$13&lt;&gt;"",IF($K$7:$K$13&lt;&gt;"",ROW($K$7:$K$13)-MIN(ROW($K$7:$K$13))+1,""),""),ROW()-ROW(A$15)+1))),),"")</f>
        <v>0</v>
      </c>
      <c r="Q16">
        <f t="array" ref="Q16">IFERROR(CONCATENATE((INDEX($T$7:$T$13,SMALL(IF($T$7:$T$13&lt;&gt;"",IF($Q$7:$Q$13&lt;&gt;"",ROW($Q$7:$Q$13)-MIN(ROW($Q$7:$Q$13))+1,""),""),ROW()-ROW(A$15)+1)))," "),"")</f>
        <v>0</v>
      </c>
      <c r="R16">
        <f t="array" ref="R16">IFERROR(CONCATENATE(TEXT(INDEX($Q$7:$Q$13,SMALL(IF($T$7:$T$13&lt;&gt;"",IF($Q$7:$Q$13&lt;&gt;"",ROW($Q$7:$Q$13)-MIN(ROW($Q$7:$Q$13))+1,""),""),ROW()-ROW(A$15)+1)),"##0")," "),"")</f>
        <v>0</v>
      </c>
      <c r="S16">
        <f t="array" ref="S16">IFERROR(CONCATENATE((INDEX($A$7:$A$13,SMALL(IF($T$7:$T$13&lt;&gt;"",IF($Q$7:$Q$13&lt;&gt;"",ROW($Q$7:$Q$13)-MIN(ROW($Q$7:$Q$13))+1,""),""),ROW()-ROW(A$15)+1))),),"")</f>
        <v>0</v>
      </c>
      <c r="W16">
        <f t="array" ref="W16">IFERROR(CONCATENATE((INDEX($Z$7:$Z$13,SMALL(IF($Z$7:$Z$13&lt;&gt;"",IF($W$7:$W$13&lt;&gt;"",ROW($W$7:$W$13)-MIN(ROW($W$7:$W$13))+1,""),""),ROW()-ROW(A$15)+1))),","),"")</f>
        <v>0</v>
      </c>
      <c r="X16">
        <f t="array" ref="X16">IFERROR(CONCATENATE(TEXT(INDEX($W$7:$W$13,SMALL(IF($Z$7:$Z$13&lt;&gt;"",IF($W$7:$W$13&lt;&gt;"",ROW($W$7:$W$13)-MIN(ROW($W$7:$W$13))+1,""),""),ROW()-ROW(A$15)+1)),"##0"),","),"")</f>
        <v>0</v>
      </c>
      <c r="Y16">
        <f t="array" ref="Y16">IFERROR(CONCATENATE((INDEX($A$7:$A$13,SMALL(IF($Z$7:$Z$13&lt;&gt;"",IF($W$7:$W$13&lt;&gt;"",ROW($W$7:$W$13)-MIN(ROW($W$7:$W$13))+1,""),""),ROW()-ROW(A$15)+1))),),"")</f>
        <v>0</v>
      </c>
    </row>
    <row r="17" spans="11:25">
      <c r="K17">
        <f t="array" ref="K17">IFERROR(CONCATENATE(TEXT(INDEX($K$7:$K$13,SMALL(IF($N$7:$N$13&lt;&gt;"",IF($K$7:$K$13&lt;&gt;"",ROW($K$7:$K$13)-MIN(ROW($K$7:$K$13))+1,""),""),ROW()-ROW(A$15)+1)),"##0"),","),"")</f>
        <v>0</v>
      </c>
      <c r="L17">
        <f t="array" ref="L17">IFERROR(CONCATENATE((INDEX($N$7:$N$13,SMALL(IF($N$7:$N$13&lt;&gt;"",IF($K$7:$K$13&lt;&gt;"",ROW($K$7:$K$13)-MIN(ROW($K$7:$K$13))+1,""),""),ROW()-ROW(A$15)+1))),","),"")</f>
        <v>0</v>
      </c>
      <c r="M17">
        <f t="array" ref="M17">IFERROR(CONCATENATE((INDEX($A$7:$A$13,SMALL(IF($N$7:$N$13&lt;&gt;"",IF($K$7:$K$13&lt;&gt;"",ROW($K$7:$K$13)-MIN(ROW($K$7:$K$13))+1,""),""),ROW()-ROW(A$15)+1))),),"")</f>
        <v>0</v>
      </c>
      <c r="Q17">
        <f t="array" ref="Q17">IFERROR(CONCATENATE((INDEX($T$7:$T$13,SMALL(IF($T$7:$T$13&lt;&gt;"",IF($Q$7:$Q$13&lt;&gt;"",ROW($Q$7:$Q$13)-MIN(ROW($Q$7:$Q$13))+1,""),""),ROW()-ROW(A$15)+1)))," "),"")</f>
        <v>0</v>
      </c>
      <c r="R17">
        <f t="array" ref="R17">IFERROR(CONCATENATE(TEXT(INDEX($Q$7:$Q$13,SMALL(IF($T$7:$T$13&lt;&gt;"",IF($Q$7:$Q$13&lt;&gt;"",ROW($Q$7:$Q$13)-MIN(ROW($Q$7:$Q$13))+1,""),""),ROW()-ROW(A$15)+1)),"##0")," "),"")</f>
        <v>0</v>
      </c>
      <c r="S17">
        <f t="array" ref="S17">IFERROR(CONCATENATE((INDEX($A$7:$A$13,SMALL(IF($T$7:$T$13&lt;&gt;"",IF($Q$7:$Q$13&lt;&gt;"",ROW($Q$7:$Q$13)-MIN(ROW($Q$7:$Q$13))+1,""),""),ROW()-ROW(A$15)+1))),),"")</f>
        <v>0</v>
      </c>
      <c r="W17">
        <f t="array" ref="W17">IFERROR(CONCATENATE((INDEX($Z$7:$Z$13,SMALL(IF($Z$7:$Z$13&lt;&gt;"",IF($W$7:$W$13&lt;&gt;"",ROW($W$7:$W$13)-MIN(ROW($W$7:$W$13))+1,""),""),ROW()-ROW(A$15)+1))),","),"")</f>
        <v>0</v>
      </c>
      <c r="X17">
        <f t="array" ref="X17">IFERROR(CONCATENATE(TEXT(INDEX($W$7:$W$13,SMALL(IF($Z$7:$Z$13&lt;&gt;"",IF($W$7:$W$13&lt;&gt;"",ROW($W$7:$W$13)-MIN(ROW($W$7:$W$13))+1,""),""),ROW()-ROW(A$15)+1)),"##0"),","),"")</f>
        <v>0</v>
      </c>
      <c r="Y17">
        <f t="array" ref="Y17">IFERROR(CONCATENATE((INDEX($A$7:$A$13,SMALL(IF($Z$7:$Z$13&lt;&gt;"",IF($W$7:$W$13&lt;&gt;"",ROW($W$7:$W$13)-MIN(ROW($W$7:$W$13))+1,""),""),ROW()-ROW(A$15)+1))),),"")</f>
        <v>0</v>
      </c>
    </row>
    <row r="18" spans="11:25">
      <c r="K18">
        <f t="array" ref="K18">IFERROR(CONCATENATE(TEXT(INDEX($K$7:$K$13,SMALL(IF($N$7:$N$13&lt;&gt;"",IF($K$7:$K$13&lt;&gt;"",ROW($K$7:$K$13)-MIN(ROW($K$7:$K$13))+1,""),""),ROW()-ROW(A$15)+1)),"##0"),","),"")</f>
        <v>0</v>
      </c>
      <c r="L18">
        <f t="array" ref="L18">IFERROR(CONCATENATE((INDEX($N$7:$N$13,SMALL(IF($N$7:$N$13&lt;&gt;"",IF($K$7:$K$13&lt;&gt;"",ROW($K$7:$K$13)-MIN(ROW($K$7:$K$13))+1,""),""),ROW()-ROW(A$15)+1))),","),"")</f>
        <v>0</v>
      </c>
      <c r="M18">
        <f t="array" ref="M18">IFERROR(CONCATENATE((INDEX($A$7:$A$13,SMALL(IF($N$7:$N$13&lt;&gt;"",IF($K$7:$K$13&lt;&gt;"",ROW($K$7:$K$13)-MIN(ROW($K$7:$K$13))+1,""),""),ROW()-ROW(A$15)+1))),),"")</f>
        <v>0</v>
      </c>
      <c r="Q18">
        <f t="array" ref="Q18">IFERROR(CONCATENATE((INDEX($T$7:$T$13,SMALL(IF($T$7:$T$13&lt;&gt;"",IF($Q$7:$Q$13&lt;&gt;"",ROW($Q$7:$Q$13)-MIN(ROW($Q$7:$Q$13))+1,""),""),ROW()-ROW(A$15)+1)))," "),"")</f>
        <v>0</v>
      </c>
      <c r="R18">
        <f t="array" ref="R18">IFERROR(CONCATENATE(TEXT(INDEX($Q$7:$Q$13,SMALL(IF($T$7:$T$13&lt;&gt;"",IF($Q$7:$Q$13&lt;&gt;"",ROW($Q$7:$Q$13)-MIN(ROW($Q$7:$Q$13))+1,""),""),ROW()-ROW(A$15)+1)),"##0")," "),"")</f>
        <v>0</v>
      </c>
      <c r="S18">
        <f t="array" ref="S18">IFERROR(CONCATENATE((INDEX($A$7:$A$13,SMALL(IF($T$7:$T$13&lt;&gt;"",IF($Q$7:$Q$13&lt;&gt;"",ROW($Q$7:$Q$13)-MIN(ROW($Q$7:$Q$13))+1,""),""),ROW()-ROW(A$15)+1))),),"")</f>
        <v>0</v>
      </c>
      <c r="W18">
        <f t="array" ref="W18">IFERROR(CONCATENATE((INDEX($Z$7:$Z$13,SMALL(IF($Z$7:$Z$13&lt;&gt;"",IF($W$7:$W$13&lt;&gt;"",ROW($W$7:$W$13)-MIN(ROW($W$7:$W$13))+1,""),""),ROW()-ROW(A$15)+1))),","),"")</f>
        <v>0</v>
      </c>
      <c r="X18">
        <f t="array" ref="X18">IFERROR(CONCATENATE(TEXT(INDEX($W$7:$W$13,SMALL(IF($Z$7:$Z$13&lt;&gt;"",IF($W$7:$W$13&lt;&gt;"",ROW($W$7:$W$13)-MIN(ROW($W$7:$W$13))+1,""),""),ROW()-ROW(A$15)+1)),"##0"),","),"")</f>
        <v>0</v>
      </c>
      <c r="Y18">
        <f t="array" ref="Y18">IFERROR(CONCATENATE((INDEX($A$7:$A$13,SMALL(IF($Z$7:$Z$13&lt;&gt;"",IF($W$7:$W$13&lt;&gt;"",ROW($W$7:$W$13)-MIN(ROW($W$7:$W$13))+1,""),""),ROW()-ROW(A$15)+1))),),"")</f>
        <v>0</v>
      </c>
    </row>
    <row r="19" spans="11:25">
      <c r="K19">
        <f t="array" ref="K19">IFERROR(CONCATENATE(TEXT(INDEX($K$7:$K$13,SMALL(IF($N$7:$N$13&lt;&gt;"",IF($K$7:$K$13&lt;&gt;"",ROW($K$7:$K$13)-MIN(ROW($K$7:$K$13))+1,""),""),ROW()-ROW(A$15)+1)),"##0"),","),"")</f>
        <v>0</v>
      </c>
      <c r="L19">
        <f t="array" ref="L19">IFERROR(CONCATENATE((INDEX($N$7:$N$13,SMALL(IF($N$7:$N$13&lt;&gt;"",IF($K$7:$K$13&lt;&gt;"",ROW($K$7:$K$13)-MIN(ROW($K$7:$K$13))+1,""),""),ROW()-ROW(A$15)+1))),","),"")</f>
        <v>0</v>
      </c>
      <c r="M19">
        <f t="array" ref="M19">IFERROR(CONCATENATE((INDEX($A$7:$A$13,SMALL(IF($N$7:$N$13&lt;&gt;"",IF($K$7:$K$13&lt;&gt;"",ROW($K$7:$K$13)-MIN(ROW($K$7:$K$13))+1,""),""),ROW()-ROW(A$15)+1))),),"")</f>
        <v>0</v>
      </c>
      <c r="Q19">
        <f t="array" ref="Q19">IFERROR(CONCATENATE((INDEX($T$7:$T$13,SMALL(IF($T$7:$T$13&lt;&gt;"",IF($Q$7:$Q$13&lt;&gt;"",ROW($Q$7:$Q$13)-MIN(ROW($Q$7:$Q$13))+1,""),""),ROW()-ROW(A$15)+1)))," "),"")</f>
        <v>0</v>
      </c>
      <c r="R19">
        <f t="array" ref="R19">IFERROR(CONCATENATE(TEXT(INDEX($Q$7:$Q$13,SMALL(IF($T$7:$T$13&lt;&gt;"",IF($Q$7:$Q$13&lt;&gt;"",ROW($Q$7:$Q$13)-MIN(ROW($Q$7:$Q$13))+1,""),""),ROW()-ROW(A$15)+1)),"##0")," "),"")</f>
        <v>0</v>
      </c>
      <c r="S19">
        <f t="array" ref="S19">IFERROR(CONCATENATE((INDEX($A$7:$A$13,SMALL(IF($T$7:$T$13&lt;&gt;"",IF($Q$7:$Q$13&lt;&gt;"",ROW($Q$7:$Q$13)-MIN(ROW($Q$7:$Q$13))+1,""),""),ROW()-ROW(A$15)+1))),),"")</f>
        <v>0</v>
      </c>
      <c r="W19">
        <f t="array" ref="W19">IFERROR(CONCATENATE((INDEX($Z$7:$Z$13,SMALL(IF($Z$7:$Z$13&lt;&gt;"",IF($W$7:$W$13&lt;&gt;"",ROW($W$7:$W$13)-MIN(ROW($W$7:$W$13))+1,""),""),ROW()-ROW(A$15)+1))),","),"")</f>
        <v>0</v>
      </c>
      <c r="X19">
        <f t="array" ref="X19">IFERROR(CONCATENATE(TEXT(INDEX($W$7:$W$13,SMALL(IF($Z$7:$Z$13&lt;&gt;"",IF($W$7:$W$13&lt;&gt;"",ROW($W$7:$W$13)-MIN(ROW($W$7:$W$13))+1,""),""),ROW()-ROW(A$15)+1)),"##0"),","),"")</f>
        <v>0</v>
      </c>
      <c r="Y19">
        <f t="array" ref="Y19">IFERROR(CONCATENATE((INDEX($A$7:$A$13,SMALL(IF($Z$7:$Z$13&lt;&gt;"",IF($W$7:$W$13&lt;&gt;"",ROW($W$7:$W$13)-MIN(ROW($W$7:$W$13))+1,""),""),ROW()-ROW(A$15)+1))),),"")</f>
        <v>0</v>
      </c>
    </row>
    <row r="20" spans="11:25">
      <c r="K20">
        <f t="array" ref="K20">IFERROR(CONCATENATE(TEXT(INDEX($K$7:$K$13,SMALL(IF($N$7:$N$13&lt;&gt;"",IF($K$7:$K$13&lt;&gt;"",ROW($K$7:$K$13)-MIN(ROW($K$7:$K$13))+1,""),""),ROW()-ROW(A$15)+1)),"##0"),","),"")</f>
        <v>0</v>
      </c>
      <c r="L20">
        <f t="array" ref="L20">IFERROR(CONCATENATE((INDEX($N$7:$N$13,SMALL(IF($N$7:$N$13&lt;&gt;"",IF($K$7:$K$13&lt;&gt;"",ROW($K$7:$K$13)-MIN(ROW($K$7:$K$13))+1,""),""),ROW()-ROW(A$15)+1))),","),"")</f>
        <v>0</v>
      </c>
      <c r="M20">
        <f t="array" ref="M20">IFERROR(CONCATENATE((INDEX($A$7:$A$13,SMALL(IF($N$7:$N$13&lt;&gt;"",IF($K$7:$K$13&lt;&gt;"",ROW($K$7:$K$13)-MIN(ROW($K$7:$K$13))+1,""),""),ROW()-ROW(A$15)+1))),),"")</f>
        <v>0</v>
      </c>
      <c r="Q20">
        <f t="array" ref="Q20">IFERROR(CONCATENATE((INDEX($T$7:$T$13,SMALL(IF($T$7:$T$13&lt;&gt;"",IF($Q$7:$Q$13&lt;&gt;"",ROW($Q$7:$Q$13)-MIN(ROW($Q$7:$Q$13))+1,""),""),ROW()-ROW(A$15)+1)))," "),"")</f>
        <v>0</v>
      </c>
      <c r="R20">
        <f t="array" ref="R20">IFERROR(CONCATENATE(TEXT(INDEX($Q$7:$Q$13,SMALL(IF($T$7:$T$13&lt;&gt;"",IF($Q$7:$Q$13&lt;&gt;"",ROW($Q$7:$Q$13)-MIN(ROW($Q$7:$Q$13))+1,""),""),ROW()-ROW(A$15)+1)),"##0")," "),"")</f>
        <v>0</v>
      </c>
      <c r="S20">
        <f t="array" ref="S20">IFERROR(CONCATENATE((INDEX($A$7:$A$13,SMALL(IF($T$7:$T$13&lt;&gt;"",IF($Q$7:$Q$13&lt;&gt;"",ROW($Q$7:$Q$13)-MIN(ROW($Q$7:$Q$13))+1,""),""),ROW()-ROW(A$15)+1))),),"")</f>
        <v>0</v>
      </c>
      <c r="W20">
        <f t="array" ref="W20">IFERROR(CONCATENATE((INDEX($Z$7:$Z$13,SMALL(IF($Z$7:$Z$13&lt;&gt;"",IF($W$7:$W$13&lt;&gt;"",ROW($W$7:$W$13)-MIN(ROW($W$7:$W$13))+1,""),""),ROW()-ROW(A$15)+1))),","),"")</f>
        <v>0</v>
      </c>
      <c r="X20">
        <f t="array" ref="X20">IFERROR(CONCATENATE(TEXT(INDEX($W$7:$W$13,SMALL(IF($Z$7:$Z$13&lt;&gt;"",IF($W$7:$W$13&lt;&gt;"",ROW($W$7:$W$13)-MIN(ROW($W$7:$W$13))+1,""),""),ROW()-ROW(A$15)+1)),"##0"),","),"")</f>
        <v>0</v>
      </c>
      <c r="Y20">
        <f t="array" ref="Y20">IFERROR(CONCATENATE((INDEX($A$7:$A$13,SMALL(IF($Z$7:$Z$13&lt;&gt;"",IF($W$7:$W$13&lt;&gt;"",ROW($W$7:$W$13)-MIN(ROW($W$7:$W$13))+1,""),""),ROW()-ROW(A$15)+1))),),"")</f>
        <v>0</v>
      </c>
    </row>
    <row r="21" spans="11:25">
      <c r="K21">
        <f t="array" ref="K21">IFERROR(CONCATENATE(TEXT(INDEX($K$7:$K$13,SMALL(IF($N$7:$N$13&lt;&gt;"",IF($K$7:$K$13&lt;&gt;"",ROW($K$7:$K$13)-MIN(ROW($K$7:$K$13))+1,""),""),ROW()-ROW(A$15)+1)),"##0"),","),"")</f>
        <v>0</v>
      </c>
      <c r="L21">
        <f t="array" ref="L21">IFERROR(CONCATENATE((INDEX($N$7:$N$13,SMALL(IF($N$7:$N$13&lt;&gt;"",IF($K$7:$K$13&lt;&gt;"",ROW($K$7:$K$13)-MIN(ROW($K$7:$K$13))+1,""),""),ROW()-ROW(A$15)+1))),","),"")</f>
        <v>0</v>
      </c>
      <c r="M21">
        <f t="array" ref="M21">IFERROR(CONCATENATE((INDEX($A$7:$A$13,SMALL(IF($N$7:$N$13&lt;&gt;"",IF($K$7:$K$13&lt;&gt;"",ROW($K$7:$K$13)-MIN(ROW($K$7:$K$13))+1,""),""),ROW()-ROW(A$15)+1))),),"")</f>
        <v>0</v>
      </c>
      <c r="Q21">
        <f t="array" ref="Q21">IFERROR(CONCATENATE((INDEX($T$7:$T$13,SMALL(IF($T$7:$T$13&lt;&gt;"",IF($Q$7:$Q$13&lt;&gt;"",ROW($Q$7:$Q$13)-MIN(ROW($Q$7:$Q$13))+1,""),""),ROW()-ROW(A$15)+1)))," "),"")</f>
        <v>0</v>
      </c>
      <c r="R21">
        <f t="array" ref="R21">IFERROR(CONCATENATE(TEXT(INDEX($Q$7:$Q$13,SMALL(IF($T$7:$T$13&lt;&gt;"",IF($Q$7:$Q$13&lt;&gt;"",ROW($Q$7:$Q$13)-MIN(ROW($Q$7:$Q$13))+1,""),""),ROW()-ROW(A$15)+1)),"##0")," "),"")</f>
        <v>0</v>
      </c>
      <c r="S21">
        <f t="array" ref="S21">IFERROR(CONCATENATE((INDEX($A$7:$A$13,SMALL(IF($T$7:$T$13&lt;&gt;"",IF($Q$7:$Q$13&lt;&gt;"",ROW($Q$7:$Q$13)-MIN(ROW($Q$7:$Q$13))+1,""),""),ROW()-ROW(A$15)+1))),),"")</f>
        <v>0</v>
      </c>
      <c r="W21">
        <f t="array" ref="W21">IFERROR(CONCATENATE((INDEX($Z$7:$Z$13,SMALL(IF($Z$7:$Z$13&lt;&gt;"",IF($W$7:$W$13&lt;&gt;"",ROW($W$7:$W$13)-MIN(ROW($W$7:$W$13))+1,""),""),ROW()-ROW(A$15)+1))),","),"")</f>
        <v>0</v>
      </c>
      <c r="X21">
        <f t="array" ref="X21">IFERROR(CONCATENATE(TEXT(INDEX($W$7:$W$13,SMALL(IF($Z$7:$Z$13&lt;&gt;"",IF($W$7:$W$13&lt;&gt;"",ROW($W$7:$W$13)-MIN(ROW($W$7:$W$13))+1,""),""),ROW()-ROW(A$15)+1)),"##0"),","),"")</f>
        <v>0</v>
      </c>
      <c r="Y21">
        <f t="array" ref="Y21">IFERROR(CONCATENATE((INDEX($A$7:$A$13,SMALL(IF($Z$7:$Z$13&lt;&gt;"",IF($W$7:$W$13&lt;&gt;"",ROW($W$7:$W$13)-MIN(ROW($W$7:$W$13))+1,""),""),ROW()-ROW(A$15)+1))),),"")</f>
        <v>0</v>
      </c>
    </row>
  </sheetData>
  <mergeCells count="4">
    <mergeCell ref="A5:I5"/>
    <mergeCell ref="J5:O5"/>
    <mergeCell ref="P5:U5"/>
    <mergeCell ref="V5:AA5"/>
  </mergeCells>
  <conditionalFormatting sqref="L10">
    <cfRule type="cellIs" dxfId="0" priority="7" operator="lessThanOrEqual">
      <formula>H10</formula>
    </cfRule>
  </conditionalFormatting>
  <conditionalFormatting sqref="L11">
    <cfRule type="cellIs" dxfId="0" priority="9" operator="lessThanOrEqual">
      <formula>H11</formula>
    </cfRule>
  </conditionalFormatting>
  <conditionalFormatting sqref="L12">
    <cfRule type="cellIs" dxfId="0" priority="11" operator="lessThanOrEqual">
      <formula>H12</formula>
    </cfRule>
  </conditionalFormatting>
  <conditionalFormatting sqref="L13">
    <cfRule type="cellIs" dxfId="0" priority="13" operator="lessThanOrEqual">
      <formula>H13</formula>
    </cfRule>
  </conditionalFormatting>
  <conditionalFormatting sqref="L7">
    <cfRule type="cellIs" dxfId="0" priority="1" operator="lessThanOrEqual">
      <formula>H7</formula>
    </cfRule>
  </conditionalFormatting>
  <conditionalFormatting sqref="L8">
    <cfRule type="cellIs" dxfId="0" priority="3" operator="lessThanOrEqual">
      <formula>H8</formula>
    </cfRule>
  </conditionalFormatting>
  <conditionalFormatting sqref="L9">
    <cfRule type="cellIs" dxfId="0" priority="5" operator="lessThanOrEqual">
      <formula>H9</formula>
    </cfRule>
  </conditionalFormatting>
  <conditionalFormatting sqref="M10">
    <cfRule type="cellIs" dxfId="0" priority="8" operator="lessThanOrEqual">
      <formula>I10</formula>
    </cfRule>
  </conditionalFormatting>
  <conditionalFormatting sqref="M11">
    <cfRule type="cellIs" dxfId="0" priority="10" operator="lessThanOrEqual">
      <formula>I11</formula>
    </cfRule>
  </conditionalFormatting>
  <conditionalFormatting sqref="M12">
    <cfRule type="cellIs" dxfId="0" priority="12" operator="lessThanOrEqual">
      <formula>I12</formula>
    </cfRule>
  </conditionalFormatting>
  <conditionalFormatting sqref="M13">
    <cfRule type="cellIs" dxfId="0" priority="14" operator="lessThanOrEqual">
      <formula>I13</formula>
    </cfRule>
  </conditionalFormatting>
  <conditionalFormatting sqref="M7">
    <cfRule type="cellIs" dxfId="0" priority="2" operator="lessThanOrEqual">
      <formula>I7</formula>
    </cfRule>
  </conditionalFormatting>
  <conditionalFormatting sqref="M8">
    <cfRule type="cellIs" dxfId="0" priority="4" operator="lessThanOrEqual">
      <formula>I8</formula>
    </cfRule>
  </conditionalFormatting>
  <conditionalFormatting sqref="M9">
    <cfRule type="cellIs" dxfId="0" priority="6" operator="lessThanOrEqual">
      <formula>I9</formula>
    </cfRule>
  </conditionalFormatting>
  <conditionalFormatting sqref="R11">
    <cfRule type="cellIs" dxfId="0" priority="21" operator="lessThanOrEqual">
      <formula>H11</formula>
    </cfRule>
  </conditionalFormatting>
  <conditionalFormatting sqref="R7">
    <cfRule type="cellIs" dxfId="0" priority="15" operator="lessThanOrEqual">
      <formula>H7</formula>
    </cfRule>
  </conditionalFormatting>
  <conditionalFormatting sqref="R8">
    <cfRule type="cellIs" dxfId="0" priority="17" operator="lessThanOrEqual">
      <formula>H8</formula>
    </cfRule>
  </conditionalFormatting>
  <conditionalFormatting sqref="R9">
    <cfRule type="cellIs" dxfId="0" priority="19" operator="lessThanOrEqual">
      <formula>H9</formula>
    </cfRule>
  </conditionalFormatting>
  <conditionalFormatting sqref="S11">
    <cfRule type="cellIs" dxfId="0" priority="22" operator="lessThanOrEqual">
      <formula>I11</formula>
    </cfRule>
  </conditionalFormatting>
  <conditionalFormatting sqref="S7">
    <cfRule type="cellIs" dxfId="0" priority="16" operator="lessThanOrEqual">
      <formula>I7</formula>
    </cfRule>
  </conditionalFormatting>
  <conditionalFormatting sqref="S8">
    <cfRule type="cellIs" dxfId="0" priority="18" operator="lessThanOrEqual">
      <formula>I8</formula>
    </cfRule>
  </conditionalFormatting>
  <conditionalFormatting sqref="S9">
    <cfRule type="cellIs" dxfId="0" priority="20" operator="lessThanOrEqual">
      <formula>I9</formula>
    </cfRule>
  </conditionalFormatting>
  <conditionalFormatting sqref="X10">
    <cfRule type="cellIs" dxfId="0" priority="29" operator="lessThanOrEqual">
      <formula>H10</formula>
    </cfRule>
  </conditionalFormatting>
  <conditionalFormatting sqref="X11">
    <cfRule type="cellIs" dxfId="0" priority="31" operator="lessThanOrEqual">
      <formula>H11</formula>
    </cfRule>
  </conditionalFormatting>
  <conditionalFormatting sqref="X12">
    <cfRule type="cellIs" dxfId="0" priority="33" operator="lessThanOrEqual">
      <formula>H12</formula>
    </cfRule>
  </conditionalFormatting>
  <conditionalFormatting sqref="X7">
    <cfRule type="cellIs" dxfId="0" priority="23" operator="lessThanOrEqual">
      <formula>H7</formula>
    </cfRule>
  </conditionalFormatting>
  <conditionalFormatting sqref="X8">
    <cfRule type="cellIs" dxfId="0" priority="25" operator="lessThanOrEqual">
      <formula>H8</formula>
    </cfRule>
  </conditionalFormatting>
  <conditionalFormatting sqref="X9">
    <cfRule type="cellIs" dxfId="0" priority="27" operator="lessThanOrEqual">
      <formula>H9</formula>
    </cfRule>
  </conditionalFormatting>
  <conditionalFormatting sqref="Y10">
    <cfRule type="cellIs" dxfId="0" priority="30" operator="lessThanOrEqual">
      <formula>I10</formula>
    </cfRule>
  </conditionalFormatting>
  <conditionalFormatting sqref="Y11">
    <cfRule type="cellIs" dxfId="0" priority="32" operator="lessThanOrEqual">
      <formula>I11</formula>
    </cfRule>
  </conditionalFormatting>
  <conditionalFormatting sqref="Y12">
    <cfRule type="cellIs" dxfId="0" priority="34" operator="lessThanOrEqual">
      <formula>I12</formula>
    </cfRule>
  </conditionalFormatting>
  <conditionalFormatting sqref="Y7">
    <cfRule type="cellIs" dxfId="0" priority="24" operator="lessThanOrEqual">
      <formula>I7</formula>
    </cfRule>
  </conditionalFormatting>
  <conditionalFormatting sqref="Y8">
    <cfRule type="cellIs" dxfId="0" priority="26" operator="lessThanOrEqual">
      <formula>I8</formula>
    </cfRule>
  </conditionalFormatting>
  <conditionalFormatting sqref="Y9">
    <cfRule type="cellIs" dxfId="0" priority="28" operator="lessThanOrEqual">
      <formula>I9</formula>
    </cfRule>
  </conditionalFormatting>
  <hyperlinks>
    <hyperlink ref="O7" r:id="rId1"/>
    <hyperlink ref="U7" r:id="rId2"/>
    <hyperlink ref="AA7" r:id="rId3"/>
    <hyperlink ref="O8" r:id="rId4"/>
    <hyperlink ref="U8" r:id="rId5"/>
    <hyperlink ref="AA8" r:id="rId6"/>
    <hyperlink ref="O9" r:id="rId7"/>
    <hyperlink ref="U9" r:id="rId8"/>
    <hyperlink ref="AA9" r:id="rId9"/>
    <hyperlink ref="O10" r:id="rId10"/>
    <hyperlink ref="AA10" r:id="rId11"/>
    <hyperlink ref="O11" r:id="rId12"/>
    <hyperlink ref="U11" r:id="rId13"/>
    <hyperlink ref="AA11" r:id="rId14"/>
    <hyperlink ref="O12" r:id="rId15"/>
    <hyperlink ref="AA12" r:id="rId16"/>
    <hyperlink ref="O13" r:id="rId17"/>
  </hyperlinks>
  <pageMargins left="0.7" right="0.7" top="0.75" bottom="0.75" header="0.3" footer="0.3"/>
  <legacy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KiCost</vt:lpstr>
      <vt:lpstr>BoardQty</vt:lpstr>
      <vt:lpstr>digikey_part_data</vt:lpstr>
      <vt:lpstr>global_part_data</vt:lpstr>
      <vt:lpstr>mouser_part_data</vt:lpstr>
      <vt:lpstr>newark_part_data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2016-05-28T11:16:13Z</dcterms:created>
  <dcterms:modified xsi:type="dcterms:W3CDTF">2016-05-28T11:16:13Z</dcterms:modified>
</cp:coreProperties>
</file>