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5.wmf" ContentType="image/x-wmf"/>
  <Override PartName="/xl/media/image16.wmf" ContentType="image/x-wmf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</sheets>
  <externalReferences>
    <externalReference r:id="rId21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<sst xmlns="http://schemas.openxmlformats.org/spreadsheetml/2006/main" count="697" uniqueCount="215">
  <si>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</si>
  <si>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</si>
  <si>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</si>
  <si>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</si>
  <si>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 (right scale)</t>
  </si>
  <si>
    <t xml:space="preserve">Wage share of GDP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</si>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</sst>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"/>
    <numFmt numFmtId="169" formatCode="#,##0.00"/>
    <numFmt numFmtId="170" formatCode="0%"/>
    <numFmt numFmtId="171" formatCode="General"/>
    <numFmt numFmtId="172" formatCode="* #,##0.00&quot;    &quot;;\-* #,##0.00&quot;    &quot;;* \-#&quot;    &quot;;@\ "/>
    <numFmt numFmtId="173" formatCode="0.000000"/>
    <numFmt numFmtId="174" formatCode="0.00000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0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4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2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4" fillId="5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Explanatory Tex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9FFFF"/>
      <rgbColor rgb="FF7E0021"/>
      <rgbColor rgb="FF008000"/>
      <rgbColor rgb="FF000080"/>
      <rgbColor rgb="FF808000"/>
      <rgbColor rgb="FF800080"/>
      <rgbColor rgb="FF008080"/>
      <rgbColor rgb="FFB3B3B3"/>
      <rgbColor rgb="FF669966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externalLink" Target="externalLinks/externalLink1.xml"/><Relationship Id="rId22" Type="http://schemas.openxmlformats.org/officeDocument/2006/relationships/sharedStrings" Target="sharedStrings.xml"/>
</Relationships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93.7498320297412</c:v>
                </c:pt>
                <c:pt idx="11">
                  <c:v>92.6468236635354</c:v>
                </c:pt>
                <c:pt idx="12">
                  <c:v>99.524403806528</c:v>
                </c:pt>
                <c:pt idx="13">
                  <c:v>99.0693783567667</c:v>
                </c:pt>
                <c:pt idx="14">
                  <c:v>114.54949415012</c:v>
                </c:pt>
                <c:pt idx="15">
                  <c:v>106.927946989414</c:v>
                </c:pt>
                <c:pt idx="16">
                  <c:v>107.226861550382</c:v>
                </c:pt>
                <c:pt idx="17">
                  <c:v>104.741632398239</c:v>
                </c:pt>
                <c:pt idx="18">
                  <c:v>120.874613166644</c:v>
                </c:pt>
                <c:pt idx="19">
                  <c:v>112.02641463626</c:v>
                </c:pt>
                <c:pt idx="20">
                  <c:v>112.040573339061</c:v>
                </c:pt>
                <c:pt idx="21">
                  <c:v>109.40191877697</c:v>
                </c:pt>
                <c:pt idx="22">
                  <c:v>125.798375157091</c:v>
                </c:pt>
                <c:pt idx="23">
                  <c:v>116.324168238922</c:v>
                </c:pt>
                <c:pt idx="24">
                  <c:v>116.060531161241</c:v>
                </c:pt>
                <c:pt idx="25">
                  <c:v>113.21191944649</c:v>
                </c:pt>
                <c:pt idx="26">
                  <c:v>129.548968705276</c:v>
                </c:pt>
                <c:pt idx="27">
                  <c:v>120.018673574067</c:v>
                </c:pt>
                <c:pt idx="28">
                  <c:v>119.687053977193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95.6230733890958</c:v>
                </c:pt>
                <c:pt idx="11">
                  <c:v>89.6970987546504</c:v>
                </c:pt>
                <c:pt idx="12">
                  <c:v>91.7304577030085</c:v>
                </c:pt>
                <c:pt idx="13">
                  <c:v>94.5099823018673</c:v>
                </c:pt>
                <c:pt idx="14">
                  <c:v>97.3737292755962</c:v>
                </c:pt>
                <c:pt idx="15">
                  <c:v>98.8416504161419</c:v>
                </c:pt>
                <c:pt idx="16">
                  <c:v>100.331700651371</c:v>
                </c:pt>
                <c:pt idx="17">
                  <c:v>101.086071193327</c:v>
                </c:pt>
                <c:pt idx="18">
                  <c:v>101.846113670581</c:v>
                </c:pt>
                <c:pt idx="19">
                  <c:v>102.611870729087</c:v>
                </c:pt>
                <c:pt idx="20">
                  <c:v>103.383385335443</c:v>
                </c:pt>
                <c:pt idx="21">
                  <c:v>104.030316326615</c:v>
                </c:pt>
                <c:pt idx="22">
                  <c:v>104.677247317788</c:v>
                </c:pt>
                <c:pt idx="23">
                  <c:v>105.324178308961</c:v>
                </c:pt>
                <c:pt idx="24">
                  <c:v>105.971109300133</c:v>
                </c:pt>
                <c:pt idx="25">
                  <c:v>106.618040291306</c:v>
                </c:pt>
                <c:pt idx="26">
                  <c:v>107.264971282479</c:v>
                </c:pt>
                <c:pt idx="27">
                  <c:v>107.911902273651</c:v>
                </c:pt>
                <c:pt idx="28">
                  <c:v>108.558833264824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007779"/>
        <c:axId val="8232683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104.917520156177</c:v>
                </c:pt>
                <c:pt idx="11">
                  <c:v>113.535193459757</c:v>
                </c:pt>
                <c:pt idx="12">
                  <c:v>124.490344966397</c:v>
                </c:pt>
                <c:pt idx="13">
                  <c:v>134.449572563708</c:v>
                </c:pt>
                <c:pt idx="14">
                  <c:v>144.40880016102</c:v>
                </c:pt>
                <c:pt idx="15">
                  <c:v>154.368027758332</c:v>
                </c:pt>
                <c:pt idx="16">
                  <c:v>164.327255355644</c:v>
                </c:pt>
                <c:pt idx="17">
                  <c:v>174.885281512244</c:v>
                </c:pt>
                <c:pt idx="18">
                  <c:v>185.443307668844</c:v>
                </c:pt>
                <c:pt idx="19">
                  <c:v>196.001333825444</c:v>
                </c:pt>
                <c:pt idx="20">
                  <c:v>206.559359982044</c:v>
                </c:pt>
                <c:pt idx="21">
                  <c:v>216.887327981147</c:v>
                </c:pt>
                <c:pt idx="22">
                  <c:v>227.215295980249</c:v>
                </c:pt>
                <c:pt idx="23">
                  <c:v>237.543263979351</c:v>
                </c:pt>
                <c:pt idx="24">
                  <c:v>247.871231978453</c:v>
                </c:pt>
                <c:pt idx="25">
                  <c:v>257.166403177645</c:v>
                </c:pt>
                <c:pt idx="26">
                  <c:v>266.461574376837</c:v>
                </c:pt>
                <c:pt idx="27">
                  <c:v>275.756745576029</c:v>
                </c:pt>
                <c:pt idx="28">
                  <c:v>285.051916775221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499878"/>
        <c:axId val="25752993"/>
      </c:lineChart>
      <c:catAx>
        <c:axId val="3800777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32683"/>
        <c:crosses val="autoZero"/>
        <c:auto val="1"/>
        <c:lblAlgn val="ctr"/>
        <c:lblOffset val="100"/>
      </c:catAx>
      <c:valAx>
        <c:axId val="823268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007779"/>
        <c:crossesAt val="1"/>
        <c:crossBetween val="midCat"/>
      </c:valAx>
      <c:catAx>
        <c:axId val="5749987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752993"/>
        <c:auto val="1"/>
        <c:lblAlgn val="ctr"/>
        <c:lblOffset val="100"/>
      </c:catAx>
      <c:valAx>
        <c:axId val="2575299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49987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scenario'!$J$6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scenario'!$I$7:$I$35</c:f>
              <c:strCache>
                <c:ptCount val="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1,123</c:v>
                </c:pt>
                <c:pt idx="15">
                  <c:v>2,062</c:v>
                </c:pt>
                <c:pt idx="16">
                  <c:v>3,162</c:v>
                </c:pt>
                <c:pt idx="17">
                  <c:v>4,592</c:v>
                </c:pt>
                <c:pt idx="18">
                  <c:v>5,872</c:v>
                </c:pt>
                <c:pt idx="19">
                  <c:v>5,989</c:v>
                </c:pt>
                <c:pt idx="20">
                  <c:v>6,533</c:v>
                </c:pt>
                <c:pt idx="21">
                  <c:v>7,051</c:v>
                </c:pt>
                <c:pt idx="22">
                  <c:v>7,212</c:v>
                </c:pt>
                <c:pt idx="23">
                  <c:v>5,873</c:v>
                </c:pt>
                <c:pt idx="24">
                  <c:v>6,026</c:v>
                </c:pt>
                <c:pt idx="25">
                  <c:v>5,756</c:v>
                </c:pt>
                <c:pt idx="26">
                  <c:v>6,200</c:v>
                </c:pt>
                <c:pt idx="27">
                  <c:v>7,009</c:v>
                </c:pt>
                <c:pt idx="28">
                  <c:v>7,979</c:v>
                </c:pt>
              </c:strCache>
            </c:strRef>
          </c:cat>
          <c:val>
            <c:numRef>
              <c:f>'Central scenario'!$J$7:$J$35</c:f>
              <c:numCache>
                <c:formatCode>General</c:formatCode>
                <c:ptCount val="29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6180.88373799569</c:v>
                </c:pt>
                <c:pt idx="15">
                  <c:v>11346.356063688</c:v>
                </c:pt>
                <c:pt idx="16">
                  <c:v>17397.4490991987</c:v>
                </c:pt>
                <c:pt idx="17">
                  <c:v>25264.0939612217</c:v>
                </c:pt>
                <c:pt idx="18">
                  <c:v>32303.3130517235</c:v>
                </c:pt>
                <c:pt idx="19">
                  <c:v>32947.6920098929</c:v>
                </c:pt>
                <c:pt idx="20">
                  <c:v>35941.8514753436</c:v>
                </c:pt>
                <c:pt idx="21">
                  <c:v>38794.7976559936</c:v>
                </c:pt>
                <c:pt idx="22">
                  <c:v>39676.8638082438</c:v>
                </c:pt>
                <c:pt idx="23">
                  <c:v>32309.1800389045</c:v>
                </c:pt>
                <c:pt idx="24">
                  <c:v>33151.8426924041</c:v>
                </c:pt>
                <c:pt idx="25">
                  <c:v>31666.2173420084</c:v>
                </c:pt>
                <c:pt idx="26">
                  <c:v>34110.2662649243</c:v>
                </c:pt>
                <c:pt idx="27">
                  <c:v>38560.5877971753</c:v>
                </c:pt>
                <c:pt idx="28">
                  <c:v>43899.1776276508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scenario'!$L$6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scenario'!$I$7:$I$35</c:f>
              <c:strCache>
                <c:ptCount val="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1,123</c:v>
                </c:pt>
                <c:pt idx="15">
                  <c:v>2,062</c:v>
                </c:pt>
                <c:pt idx="16">
                  <c:v>3,162</c:v>
                </c:pt>
                <c:pt idx="17">
                  <c:v>4,592</c:v>
                </c:pt>
                <c:pt idx="18">
                  <c:v>5,872</c:v>
                </c:pt>
                <c:pt idx="19">
                  <c:v>5,989</c:v>
                </c:pt>
                <c:pt idx="20">
                  <c:v>6,533</c:v>
                </c:pt>
                <c:pt idx="21">
                  <c:v>7,051</c:v>
                </c:pt>
                <c:pt idx="22">
                  <c:v>7,212</c:v>
                </c:pt>
                <c:pt idx="23">
                  <c:v>5,873</c:v>
                </c:pt>
                <c:pt idx="24">
                  <c:v>6,026</c:v>
                </c:pt>
                <c:pt idx="25">
                  <c:v>5,756</c:v>
                </c:pt>
                <c:pt idx="26">
                  <c:v>6,200</c:v>
                </c:pt>
                <c:pt idx="27">
                  <c:v>7,009</c:v>
                </c:pt>
                <c:pt idx="28">
                  <c:v>7,979</c:v>
                </c:pt>
              </c:strCache>
            </c:strRef>
          </c:cat>
          <c:val>
            <c:numRef>
              <c:f>'Central scenario'!$L$7:$L$35</c:f>
              <c:numCache>
                <c:formatCode>General</c:formatCode>
                <c:ptCount val="29"/>
                <c:pt idx="7">
                  <c:v>2735454.99361358</c:v>
                </c:pt>
                <c:pt idx="8">
                  <c:v>2478245.90902603</c:v>
                </c:pt>
                <c:pt idx="9">
                  <c:v>2919136.76234831</c:v>
                </c:pt>
                <c:pt idx="10">
                  <c:v>2757062.56989139</c:v>
                </c:pt>
                <c:pt idx="11">
                  <c:v>2795658.97722293</c:v>
                </c:pt>
                <c:pt idx="12">
                  <c:v>2828183.68633319</c:v>
                </c:pt>
                <c:pt idx="13">
                  <c:v>2477813.00409058</c:v>
                </c:pt>
                <c:pt idx="14">
                  <c:v>3910348.4398605</c:v>
                </c:pt>
                <c:pt idx="15">
                  <c:v>4299591.36744104</c:v>
                </c:pt>
                <c:pt idx="16">
                  <c:v>3939404.98436416</c:v>
                </c:pt>
                <c:pt idx="17">
                  <c:v>3599614.55233288</c:v>
                </c:pt>
                <c:pt idx="18">
                  <c:v>4012507.36812272</c:v>
                </c:pt>
                <c:pt idx="19">
                  <c:v>4266228.99960084</c:v>
                </c:pt>
                <c:pt idx="20">
                  <c:v>3669736.53404985</c:v>
                </c:pt>
                <c:pt idx="21">
                  <c:v>3308279.04526512</c:v>
                </c:pt>
                <c:pt idx="22">
                  <c:v>3051396.7057971</c:v>
                </c:pt>
                <c:pt idx="23">
                  <c:v>3574517.52676076</c:v>
                </c:pt>
                <c:pt idx="24">
                  <c:v>3250287.77850783</c:v>
                </c:pt>
                <c:pt idx="25">
                  <c:v>3177620.63583764</c:v>
                </c:pt>
                <c:pt idx="26">
                  <c:v>3280735.81389867</c:v>
                </c:pt>
                <c:pt idx="27">
                  <c:v>3554860.4242964</c:v>
                </c:pt>
                <c:pt idx="28">
                  <c:v>3093033.19155661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602440"/>
        <c:axId val="92063682"/>
      </c:lineChart>
      <c:lineChart>
        <c:grouping val="standard"/>
        <c:varyColors val="0"/>
        <c:ser>
          <c:idx val="2"/>
          <c:order val="2"/>
          <c:tx>
            <c:strRef>
              <c:f>'Central scenario'!$K$6</c:f>
              <c:strCache>
                <c:ptCount val="1"/>
                <c:pt idx="0">
                  <c:v>2,598,761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scenario'!$I$7:$I$35</c:f>
              <c:strCache>
                <c:ptCount val="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1,123</c:v>
                </c:pt>
                <c:pt idx="15">
                  <c:v>2,062</c:v>
                </c:pt>
                <c:pt idx="16">
                  <c:v>3,162</c:v>
                </c:pt>
                <c:pt idx="17">
                  <c:v>4,592</c:v>
                </c:pt>
                <c:pt idx="18">
                  <c:v>5,872</c:v>
                </c:pt>
                <c:pt idx="19">
                  <c:v>5,989</c:v>
                </c:pt>
                <c:pt idx="20">
                  <c:v>6,533</c:v>
                </c:pt>
                <c:pt idx="21">
                  <c:v>7,051</c:v>
                </c:pt>
                <c:pt idx="22">
                  <c:v>7,212</c:v>
                </c:pt>
                <c:pt idx="23">
                  <c:v>5,873</c:v>
                </c:pt>
                <c:pt idx="24">
                  <c:v>6,026</c:v>
                </c:pt>
                <c:pt idx="25">
                  <c:v>5,756</c:v>
                </c:pt>
                <c:pt idx="26">
                  <c:v>6,200</c:v>
                </c:pt>
                <c:pt idx="27">
                  <c:v>7,009</c:v>
                </c:pt>
                <c:pt idx="28">
                  <c:v>7,979</c:v>
                </c:pt>
              </c:strCache>
            </c:strRef>
          </c:cat>
          <c:val>
            <c:numRef>
              <c:f>'Central scenario'!$K$7:$K$35</c:f>
              <c:numCache>
                <c:formatCode>General</c:formatCode>
                <c:ptCount val="29"/>
                <c:pt idx="0">
                  <c:v>3002195.4359</c:v>
                </c:pt>
                <c:pt idx="1">
                  <c:v>2371185.1833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320946"/>
        <c:axId val="12477229"/>
      </c:lineChart>
      <c:catAx>
        <c:axId val="726024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063682"/>
        <c:crosses val="autoZero"/>
        <c:auto val="1"/>
        <c:lblAlgn val="ctr"/>
        <c:lblOffset val="100"/>
      </c:catAx>
      <c:valAx>
        <c:axId val="9206368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602440"/>
        <c:crossesAt val="1"/>
        <c:crossBetween val="midCat"/>
      </c:valAx>
      <c:catAx>
        <c:axId val="853209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477229"/>
        <c:auto val="1"/>
        <c:lblAlgn val="ctr"/>
        <c:lblOffset val="100"/>
      </c:catAx>
      <c:valAx>
        <c:axId val="12477229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32094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95.1560795101873</c:v>
                </c:pt>
                <c:pt idx="11">
                  <c:v>94.4997601368061</c:v>
                </c:pt>
                <c:pt idx="12">
                  <c:v>101.514891882659</c:v>
                </c:pt>
                <c:pt idx="13">
                  <c:v>102.536806599254</c:v>
                </c:pt>
                <c:pt idx="14">
                  <c:v>118.272352709999</c:v>
                </c:pt>
                <c:pt idx="15">
                  <c:v>110.40310526657</c:v>
                </c:pt>
                <c:pt idx="16">
                  <c:v>110.979801704645</c:v>
                </c:pt>
                <c:pt idx="17">
                  <c:v>109.455005856159</c:v>
                </c:pt>
                <c:pt idx="18">
                  <c:v>126.313970759143</c:v>
                </c:pt>
                <c:pt idx="19">
                  <c:v>116.787537258301</c:v>
                </c:pt>
                <c:pt idx="20">
                  <c:v>116.802297705971</c:v>
                </c:pt>
                <c:pt idx="21">
                  <c:v>115.419024309704</c:v>
                </c:pt>
                <c:pt idx="22">
                  <c:v>132.088293914946</c:v>
                </c:pt>
                <c:pt idx="23">
                  <c:v>122.140376650869</c:v>
                </c:pt>
                <c:pt idx="24">
                  <c:v>122.153709047206</c:v>
                </c:pt>
                <c:pt idx="25">
                  <c:v>120.004634613279</c:v>
                </c:pt>
                <c:pt idx="26">
                  <c:v>137.321906827592</c:v>
                </c:pt>
                <c:pt idx="27">
                  <c:v>126.61970062064</c:v>
                </c:pt>
                <c:pt idx="28">
                  <c:v>126.569059580881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95.9057031626599</c:v>
                </c:pt>
                <c:pt idx="11">
                  <c:v>91.9171576861123</c:v>
                </c:pt>
                <c:pt idx="12">
                  <c:v>95.4073167927055</c:v>
                </c:pt>
                <c:pt idx="13">
                  <c:v>99.029999694594</c:v>
                </c:pt>
                <c:pt idx="14">
                  <c:v>102.790238413466</c:v>
                </c:pt>
                <c:pt idx="15">
                  <c:v>105.904885427633</c:v>
                </c:pt>
                <c:pt idx="16">
                  <c:v>109.113909360976</c:v>
                </c:pt>
                <c:pt idx="17">
                  <c:v>110.758815183831</c:v>
                </c:pt>
                <c:pt idx="18">
                  <c:v>112.428518167579</c:v>
                </c:pt>
                <c:pt idx="19">
                  <c:v>113.273841845247</c:v>
                </c:pt>
                <c:pt idx="20">
                  <c:v>114.125521313525</c:v>
                </c:pt>
                <c:pt idx="21">
                  <c:v>114.522705698737</c:v>
                </c:pt>
                <c:pt idx="22">
                  <c:v>114.91989008395</c:v>
                </c:pt>
                <c:pt idx="23">
                  <c:v>115.317074469163</c:v>
                </c:pt>
                <c:pt idx="24">
                  <c:v>115.714258854375</c:v>
                </c:pt>
                <c:pt idx="25">
                  <c:v>116.111443239588</c:v>
                </c:pt>
                <c:pt idx="26">
                  <c:v>116.508627624801</c:v>
                </c:pt>
                <c:pt idx="27">
                  <c:v>116.905812010013</c:v>
                </c:pt>
                <c:pt idx="28">
                  <c:v>117.302996395226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401837"/>
        <c:axId val="75852269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104.608332965146</c:v>
                </c:pt>
                <c:pt idx="11">
                  <c:v>110.792997915196</c:v>
                </c:pt>
                <c:pt idx="12">
                  <c:v>118.831692922469</c:v>
                </c:pt>
                <c:pt idx="13">
                  <c:v>126.5260450392</c:v>
                </c:pt>
                <c:pt idx="14">
                  <c:v>134.22039715593</c:v>
                </c:pt>
                <c:pt idx="15">
                  <c:v>141.914749272659</c:v>
                </c:pt>
                <c:pt idx="16">
                  <c:v>149.609101389389</c:v>
                </c:pt>
                <c:pt idx="17">
                  <c:v>156.939947357469</c:v>
                </c:pt>
                <c:pt idx="18">
                  <c:v>164.27079332555</c:v>
                </c:pt>
                <c:pt idx="19">
                  <c:v>171.60163929363</c:v>
                </c:pt>
                <c:pt idx="20">
                  <c:v>178.932485261709</c:v>
                </c:pt>
                <c:pt idx="21">
                  <c:v>186.537115885332</c:v>
                </c:pt>
                <c:pt idx="22">
                  <c:v>194.141746508955</c:v>
                </c:pt>
                <c:pt idx="23">
                  <c:v>201.746377132577</c:v>
                </c:pt>
                <c:pt idx="24">
                  <c:v>209.3510077562</c:v>
                </c:pt>
                <c:pt idx="25">
                  <c:v>215.631537988887</c:v>
                </c:pt>
                <c:pt idx="26">
                  <c:v>221.912068221572</c:v>
                </c:pt>
                <c:pt idx="27">
                  <c:v>228.192598454259</c:v>
                </c:pt>
                <c:pt idx="28">
                  <c:v>234.473128686944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228442"/>
        <c:axId val="78379840"/>
      </c:lineChart>
      <c:catAx>
        <c:axId val="874018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852269"/>
        <c:crosses val="autoZero"/>
        <c:auto val="1"/>
        <c:lblAlgn val="ctr"/>
        <c:lblOffset val="100"/>
      </c:catAx>
      <c:valAx>
        <c:axId val="75852269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401837"/>
        <c:crossesAt val="1"/>
        <c:crossBetween val="midCat"/>
      </c:valAx>
      <c:catAx>
        <c:axId val="4322844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379840"/>
        <c:auto val="1"/>
        <c:lblAlgn val="ctr"/>
        <c:lblOffset val="100"/>
      </c:catAx>
      <c:valAx>
        <c:axId val="78379840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22844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Deficit'!$B$1:$B$1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Deficit'!$C$1:$C$1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-0.0328743672773598</c:v>
                </c:pt>
                <c:pt idx="24">
                  <c:v>-0.0327708635680787</c:v>
                </c:pt>
                <c:pt idx="25">
                  <c:v>-0.0365169666578661</c:v>
                </c:pt>
                <c:pt idx="26">
                  <c:v>-0.0361426653492926</c:v>
                </c:pt>
                <c:pt idx="27">
                  <c:v>-0.0380967042071711</c:v>
                </c:pt>
                <c:pt idx="28">
                  <c:v>-0.0562345782289308</c:v>
                </c:pt>
                <c:pt idx="29">
                  <c:v>-0.0500378980122892</c:v>
                </c:pt>
                <c:pt idx="30">
                  <c:v>-0.0520371676100906</c:v>
                </c:pt>
                <c:pt idx="31">
                  <c:v>-0.0509326658114668</c:v>
                </c:pt>
                <c:pt idx="32">
                  <c:v>-0.0504837629033437</c:v>
                </c:pt>
                <c:pt idx="33">
                  <c:v>-0.0496359541451262</c:v>
                </c:pt>
                <c:pt idx="34">
                  <c:v>-0.0488043468945238</c:v>
                </c:pt>
                <c:pt idx="35">
                  <c:v>-0.0478605013314111</c:v>
                </c:pt>
                <c:pt idx="36">
                  <c:v>-0.045921853970256</c:v>
                </c:pt>
                <c:pt idx="37">
                  <c:v>-0.0436541552961493</c:v>
                </c:pt>
                <c:pt idx="38">
                  <c:v>-0.0418071455186446</c:v>
                </c:pt>
                <c:pt idx="39">
                  <c:v>-0.0401990889718998</c:v>
                </c:pt>
                <c:pt idx="40">
                  <c:v>-0.0388727079139784</c:v>
                </c:pt>
                <c:pt idx="41">
                  <c:v>-0.0366991504149053</c:v>
                </c:pt>
                <c:pt idx="42">
                  <c:v>-0.0351613639643827</c:v>
                </c:pt>
                <c:pt idx="43">
                  <c:v>-0.0340077796405499</c:v>
                </c:pt>
                <c:pt idx="44">
                  <c:v>-0.0329809412870478</c:v>
                </c:pt>
                <c:pt idx="45">
                  <c:v>-0.0315220042885188</c:v>
                </c:pt>
                <c:pt idx="46">
                  <c:v>-0.03084055973286</c:v>
                </c:pt>
                <c:pt idx="47">
                  <c:v>-0.0293000041746727</c:v>
                </c:pt>
                <c:pt idx="48">
                  <c:v>-0.0284811067659261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Deficit'!$D$1:$D$1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-0.032810831540528</c:v>
                </c:pt>
                <c:pt idx="25">
                  <c:v>-0.03705978870982</c:v>
                </c:pt>
                <c:pt idx="26">
                  <c:v>-0.0370938394344344</c:v>
                </c:pt>
                <c:pt idx="27">
                  <c:v>-0.0389618692416923</c:v>
                </c:pt>
                <c:pt idx="28">
                  <c:v>-0.0576229587014566</c:v>
                </c:pt>
                <c:pt idx="29">
                  <c:v>-0.0516712536052569</c:v>
                </c:pt>
                <c:pt idx="30">
                  <c:v>-0.0540386642191719</c:v>
                </c:pt>
                <c:pt idx="31">
                  <c:v>-0.0531317453924609</c:v>
                </c:pt>
                <c:pt idx="32">
                  <c:v>-0.052989444370729</c:v>
                </c:pt>
                <c:pt idx="33">
                  <c:v>-0.0531112798901277</c:v>
                </c:pt>
                <c:pt idx="34">
                  <c:v>-0.05344156530533</c:v>
                </c:pt>
                <c:pt idx="35">
                  <c:v>-0.053255624609348</c:v>
                </c:pt>
                <c:pt idx="36">
                  <c:v>-0.0520882190278355</c:v>
                </c:pt>
                <c:pt idx="37">
                  <c:v>-0.0506038875342466</c:v>
                </c:pt>
                <c:pt idx="38">
                  <c:v>-0.049284813418399</c:v>
                </c:pt>
                <c:pt idx="39">
                  <c:v>-0.0483218596288229</c:v>
                </c:pt>
                <c:pt idx="40">
                  <c:v>-0.0479001265449554</c:v>
                </c:pt>
                <c:pt idx="41">
                  <c:v>-0.046514291008987</c:v>
                </c:pt>
                <c:pt idx="42">
                  <c:v>-0.0455328924145566</c:v>
                </c:pt>
                <c:pt idx="43">
                  <c:v>-0.0449074665424417</c:v>
                </c:pt>
                <c:pt idx="44">
                  <c:v>-0.0444409154130351</c:v>
                </c:pt>
                <c:pt idx="45">
                  <c:v>-0.0436665802261429</c:v>
                </c:pt>
                <c:pt idx="46">
                  <c:v>-0.0437255747308359</c:v>
                </c:pt>
                <c:pt idx="47">
                  <c:v>-0.0426026379860904</c:v>
                </c:pt>
                <c:pt idx="48">
                  <c:v>-0.0422494460449735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Deficit'!$E$1:$E$1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-0.0365104009407957</c:v>
                </c:pt>
                <c:pt idx="26">
                  <c:v>-0.0361371398082894</c:v>
                </c:pt>
                <c:pt idx="27">
                  <c:v>-0.0380464305446672</c:v>
                </c:pt>
                <c:pt idx="28">
                  <c:v>-0.0558959021648407</c:v>
                </c:pt>
                <c:pt idx="29">
                  <c:v>-0.0517222691929106</c:v>
                </c:pt>
                <c:pt idx="30">
                  <c:v>-0.0550624889869786</c:v>
                </c:pt>
                <c:pt idx="31">
                  <c:v>-0.0523630247227208</c:v>
                </c:pt>
                <c:pt idx="32">
                  <c:v>-0.0533393645949194</c:v>
                </c:pt>
                <c:pt idx="33">
                  <c:v>-0.052912482795275</c:v>
                </c:pt>
                <c:pt idx="34">
                  <c:v>-0.0506416965629547</c:v>
                </c:pt>
                <c:pt idx="35">
                  <c:v>-0.0484191804113517</c:v>
                </c:pt>
                <c:pt idx="36">
                  <c:v>-0.047556319458337</c:v>
                </c:pt>
                <c:pt idx="37">
                  <c:v>-0.0466118051691217</c:v>
                </c:pt>
                <c:pt idx="38">
                  <c:v>-0.0450233917717058</c:v>
                </c:pt>
                <c:pt idx="39">
                  <c:v>-0.0452512641744778</c:v>
                </c:pt>
                <c:pt idx="40">
                  <c:v>-0.0447762199424323</c:v>
                </c:pt>
                <c:pt idx="41">
                  <c:v>-0.0440367613855992</c:v>
                </c:pt>
                <c:pt idx="42">
                  <c:v>-0.0441157441115753</c:v>
                </c:pt>
                <c:pt idx="43">
                  <c:v>-0.0431914134798814</c:v>
                </c:pt>
                <c:pt idx="44">
                  <c:v>-0.0429413459071981</c:v>
                </c:pt>
                <c:pt idx="45">
                  <c:v>-0.0426291818561818</c:v>
                </c:pt>
                <c:pt idx="46">
                  <c:v>-0.0416637295890067</c:v>
                </c:pt>
                <c:pt idx="47">
                  <c:v>-0.0417980365372397</c:v>
                </c:pt>
                <c:pt idx="48">
                  <c:v>-0.0414898329683462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Deficit'!$F$1:$F$1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-0.0370532229927496</c:v>
                </c:pt>
                <c:pt idx="26">
                  <c:v>-0.0370883138934312</c:v>
                </c:pt>
                <c:pt idx="27">
                  <c:v>-0.0389115955791884</c:v>
                </c:pt>
                <c:pt idx="28">
                  <c:v>-0.0572711052728116</c:v>
                </c:pt>
                <c:pt idx="29">
                  <c:v>-0.0533397059096766</c:v>
                </c:pt>
                <c:pt idx="30">
                  <c:v>-0.0570393744462874</c:v>
                </c:pt>
                <c:pt idx="31">
                  <c:v>-0.0544678306234717</c:v>
                </c:pt>
                <c:pt idx="32">
                  <c:v>-0.0557325137980316</c:v>
                </c:pt>
                <c:pt idx="33">
                  <c:v>-0.0561931866127094</c:v>
                </c:pt>
                <c:pt idx="34">
                  <c:v>-0.0550686880022906</c:v>
                </c:pt>
                <c:pt idx="35">
                  <c:v>-0.0535398662975141</c:v>
                </c:pt>
                <c:pt idx="36">
                  <c:v>-0.053555296177735</c:v>
                </c:pt>
                <c:pt idx="37">
                  <c:v>-0.0534272241391178</c:v>
                </c:pt>
                <c:pt idx="38">
                  <c:v>-0.0523944443153635</c:v>
                </c:pt>
                <c:pt idx="39">
                  <c:v>-0.0532692482928818</c:v>
                </c:pt>
                <c:pt idx="40">
                  <c:v>-0.0535076093400767</c:v>
                </c:pt>
                <c:pt idx="41">
                  <c:v>-0.0535200526119662</c:v>
                </c:pt>
                <c:pt idx="42">
                  <c:v>-0.0544781586545658</c:v>
                </c:pt>
                <c:pt idx="43">
                  <c:v>-0.0543646936696599</c:v>
                </c:pt>
                <c:pt idx="44">
                  <c:v>-0.0548601804386026</c:v>
                </c:pt>
                <c:pt idx="45">
                  <c:v>-0.0554356697682636</c:v>
                </c:pt>
                <c:pt idx="46">
                  <c:v>-0.0552980358376733</c:v>
                </c:pt>
                <c:pt idx="47">
                  <c:v>-0.0562396228447419</c:v>
                </c:pt>
                <c:pt idx="48">
                  <c:v>-0.056851734988763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Deficit'!$G$1:$G$1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-0.0365058558565986</c:v>
                </c:pt>
                <c:pt idx="26">
                  <c:v>-0.0369519993944059</c:v>
                </c:pt>
                <c:pt idx="27">
                  <c:v>-0.0387378212667812</c:v>
                </c:pt>
                <c:pt idx="28">
                  <c:v>-0.0553414834807925</c:v>
                </c:pt>
                <c:pt idx="29">
                  <c:v>-0.0487956134825102</c:v>
                </c:pt>
                <c:pt idx="30">
                  <c:v>-0.0485930420908279</c:v>
                </c:pt>
                <c:pt idx="31">
                  <c:v>-0.046447340235686</c:v>
                </c:pt>
                <c:pt idx="32">
                  <c:v>-0.0450131228504988</c:v>
                </c:pt>
                <c:pt idx="33">
                  <c:v>-0.0440685615047917</c:v>
                </c:pt>
                <c:pt idx="34">
                  <c:v>-0.0425541908621744</c:v>
                </c:pt>
                <c:pt idx="35">
                  <c:v>-0.0397386665667918</c:v>
                </c:pt>
                <c:pt idx="36">
                  <c:v>-0.0374629219755546</c:v>
                </c:pt>
                <c:pt idx="37">
                  <c:v>-0.0344015588675075</c:v>
                </c:pt>
                <c:pt idx="38">
                  <c:v>-0.0319993260386157</c:v>
                </c:pt>
                <c:pt idx="39">
                  <c:v>-0.030218419478595</c:v>
                </c:pt>
                <c:pt idx="40">
                  <c:v>-0.0278552664692163</c:v>
                </c:pt>
                <c:pt idx="41">
                  <c:v>-0.0255110722386043</c:v>
                </c:pt>
                <c:pt idx="42">
                  <c:v>-0.0233691424275621</c:v>
                </c:pt>
                <c:pt idx="43">
                  <c:v>-0.0219637123150067</c:v>
                </c:pt>
                <c:pt idx="44">
                  <c:v>-0.0206196441007996</c:v>
                </c:pt>
                <c:pt idx="45">
                  <c:v>-0.0187049713039203</c:v>
                </c:pt>
                <c:pt idx="46">
                  <c:v>-0.0179655738452691</c:v>
                </c:pt>
                <c:pt idx="47">
                  <c:v>-0.0169125707386607</c:v>
                </c:pt>
                <c:pt idx="48">
                  <c:v>-0.0151451879987471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Deficit'!$H$1:$H$1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-0.0370486779085525</c:v>
                </c:pt>
                <c:pt idx="26">
                  <c:v>-0.0379031734795477</c:v>
                </c:pt>
                <c:pt idx="27">
                  <c:v>-0.0395980304282642</c:v>
                </c:pt>
                <c:pt idx="28">
                  <c:v>-0.0566884934792722</c:v>
                </c:pt>
                <c:pt idx="29">
                  <c:v>-0.0504657687289369</c:v>
                </c:pt>
                <c:pt idx="30">
                  <c:v>-0.0506737358863276</c:v>
                </c:pt>
                <c:pt idx="31">
                  <c:v>-0.0487567953053068</c:v>
                </c:pt>
                <c:pt idx="32">
                  <c:v>-0.0475975113182489</c:v>
                </c:pt>
                <c:pt idx="33">
                  <c:v>-0.0475576621402786</c:v>
                </c:pt>
                <c:pt idx="34">
                  <c:v>-0.047097773218508</c:v>
                </c:pt>
                <c:pt idx="35">
                  <c:v>-0.0449943415305533</c:v>
                </c:pt>
                <c:pt idx="36">
                  <c:v>-0.0436043636872905</c:v>
                </c:pt>
                <c:pt idx="37">
                  <c:v>-0.0411396290948325</c:v>
                </c:pt>
                <c:pt idx="38">
                  <c:v>-0.0391844829862921</c:v>
                </c:pt>
                <c:pt idx="39">
                  <c:v>-0.0378587193840845</c:v>
                </c:pt>
                <c:pt idx="40">
                  <c:v>-0.0361462482113941</c:v>
                </c:pt>
                <c:pt idx="41">
                  <c:v>-0.0344988310796388</c:v>
                </c:pt>
                <c:pt idx="42">
                  <c:v>-0.0328411654536067</c:v>
                </c:pt>
                <c:pt idx="43">
                  <c:v>-0.0318247062669855</c:v>
                </c:pt>
                <c:pt idx="44">
                  <c:v>-0.0310378431698652</c:v>
                </c:pt>
                <c:pt idx="45">
                  <c:v>-0.0296029190154756</c:v>
                </c:pt>
                <c:pt idx="46">
                  <c:v>-0.0293518738360084</c:v>
                </c:pt>
                <c:pt idx="47">
                  <c:v>-0.0288169028434029</c:v>
                </c:pt>
                <c:pt idx="48">
                  <c:v>-0.0274613325476741</c:v>
                </c:pt>
              </c:numCache>
            </c:numRef>
          </c:yVal>
          <c:smooth val="0"/>
        </c:ser>
        <c:axId val="65563059"/>
        <c:axId val="48444610"/>
      </c:scatterChart>
      <c:valAx>
        <c:axId val="655630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444610"/>
        <c:crosses val="autoZero"/>
        <c:crossBetween val="midCat"/>
      </c:valAx>
      <c:valAx>
        <c:axId val="48444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56305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result'!$B$3:$B$50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result'!$C$3:$C$50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-0.0116326054864976</c:v>
                </c:pt>
                <c:pt idx="23">
                  <c:v>-0.0153553270012793</c:v>
                </c:pt>
                <c:pt idx="24">
                  <c:v>-0.0181350082849173</c:v>
                </c:pt>
                <c:pt idx="25">
                  <c:v>-0.00871940472125676</c:v>
                </c:pt>
                <c:pt idx="26">
                  <c:v>-0.014367016201385</c:v>
                </c:pt>
                <c:pt idx="27">
                  <c:v>-0.0325048902231447</c:v>
                </c:pt>
                <c:pt idx="28">
                  <c:v>-0.0263082100065031</c:v>
                </c:pt>
                <c:pt idx="29">
                  <c:v>-0.0283074796043045</c:v>
                </c:pt>
                <c:pt idx="30">
                  <c:v>-0.0272029778056808</c:v>
                </c:pt>
                <c:pt idx="31">
                  <c:v>-0.0267540748975577</c:v>
                </c:pt>
                <c:pt idx="32">
                  <c:v>-0.0259062661393401</c:v>
                </c:pt>
                <c:pt idx="33">
                  <c:v>-0.0250746588887378</c:v>
                </c:pt>
                <c:pt idx="34">
                  <c:v>-0.024130813325625</c:v>
                </c:pt>
                <c:pt idx="35">
                  <c:v>-0.0221921659644699</c:v>
                </c:pt>
                <c:pt idx="36">
                  <c:v>-0.0199244672903632</c:v>
                </c:pt>
                <c:pt idx="37">
                  <c:v>-0.0180774575128585</c:v>
                </c:pt>
                <c:pt idx="38">
                  <c:v>-0.0164694009661138</c:v>
                </c:pt>
                <c:pt idx="39">
                  <c:v>-0.0151430199081923</c:v>
                </c:pt>
                <c:pt idx="40">
                  <c:v>-0.0129694624091193</c:v>
                </c:pt>
                <c:pt idx="41">
                  <c:v>-0.0114316759585966</c:v>
                </c:pt>
                <c:pt idx="42">
                  <c:v>-0.0102780916347638</c:v>
                </c:pt>
                <c:pt idx="43">
                  <c:v>-0.00925125328126171</c:v>
                </c:pt>
                <c:pt idx="44">
                  <c:v>-0.00779231628273267</c:v>
                </c:pt>
                <c:pt idx="45">
                  <c:v>-0.00711087172707388</c:v>
                </c:pt>
                <c:pt idx="46">
                  <c:v>-0.00557031616888665</c:v>
                </c:pt>
                <c:pt idx="47">
                  <c:v>-0.00475141876013998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result'!$D$1:$D$2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3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result'!$D$3:$D$50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-0.0116326054864976</c:v>
                </c:pt>
                <c:pt idx="23">
                  <c:v>-0.0191993725951132</c:v>
                </c:pt>
                <c:pt idx="24">
                  <c:v>-0.0260033305924489</c:v>
                </c:pt>
                <c:pt idx="25">
                  <c:v>-0.0212135726764704</c:v>
                </c:pt>
                <c:pt idx="26">
                  <c:v>-0.0276739092810219</c:v>
                </c:pt>
                <c:pt idx="27">
                  <c:v>-0.0494454307520652</c:v>
                </c:pt>
                <c:pt idx="28">
                  <c:v>-0.0434937256558654</c:v>
                </c:pt>
                <c:pt idx="29">
                  <c:v>-0.0458611362697805</c:v>
                </c:pt>
                <c:pt idx="30">
                  <c:v>-0.0449542174430694</c:v>
                </c:pt>
                <c:pt idx="31">
                  <c:v>-0.0448119164213376</c:v>
                </c:pt>
                <c:pt idx="32">
                  <c:v>-0.0449337519407363</c:v>
                </c:pt>
                <c:pt idx="33">
                  <c:v>-0.0452640373559386</c:v>
                </c:pt>
                <c:pt idx="34">
                  <c:v>-0.0450780966599565</c:v>
                </c:pt>
                <c:pt idx="35">
                  <c:v>-0.043910691078444</c:v>
                </c:pt>
                <c:pt idx="36">
                  <c:v>-0.0424263595848551</c:v>
                </c:pt>
                <c:pt idx="37">
                  <c:v>-0.0411072854690075</c:v>
                </c:pt>
                <c:pt idx="38">
                  <c:v>-0.0401443316794314</c:v>
                </c:pt>
                <c:pt idx="39">
                  <c:v>-0.0397225985955639</c:v>
                </c:pt>
                <c:pt idx="40">
                  <c:v>-0.0383367630595955</c:v>
                </c:pt>
                <c:pt idx="41">
                  <c:v>-0.0373553644651651</c:v>
                </c:pt>
                <c:pt idx="42">
                  <c:v>-0.0367299385930502</c:v>
                </c:pt>
                <c:pt idx="43">
                  <c:v>-0.0362633874636437</c:v>
                </c:pt>
                <c:pt idx="44">
                  <c:v>-0.0354890522767515</c:v>
                </c:pt>
                <c:pt idx="45">
                  <c:v>-0.0355480467814445</c:v>
                </c:pt>
                <c:pt idx="46">
                  <c:v>-0.034425110036699</c:v>
                </c:pt>
                <c:pt idx="47">
                  <c:v>-0.0340719180955821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result'!$E$3:$E$50</c:f>
              <c:numCache>
                <c:formatCode>General</c:formatCode>
                <c:ptCount val="48"/>
                <c:pt idx="26">
                  <c:v>-0.0143167425388811</c:v>
                </c:pt>
                <c:pt idx="27">
                  <c:v>-0.0321662141590547</c:v>
                </c:pt>
                <c:pt idx="28">
                  <c:v>-0.0279925811871245</c:v>
                </c:pt>
                <c:pt idx="29">
                  <c:v>-0.0313328009811925</c:v>
                </c:pt>
                <c:pt idx="30">
                  <c:v>-0.0286333367169347</c:v>
                </c:pt>
                <c:pt idx="31">
                  <c:v>-0.0296096765891333</c:v>
                </c:pt>
                <c:pt idx="32">
                  <c:v>-0.0291827947894889</c:v>
                </c:pt>
                <c:pt idx="33">
                  <c:v>-0.0269120085571686</c:v>
                </c:pt>
                <c:pt idx="34">
                  <c:v>-0.0246894924055656</c:v>
                </c:pt>
                <c:pt idx="35">
                  <c:v>-0.0238266314525509</c:v>
                </c:pt>
                <c:pt idx="36">
                  <c:v>-0.0228821171633356</c:v>
                </c:pt>
                <c:pt idx="37">
                  <c:v>-0.0212937037659197</c:v>
                </c:pt>
                <c:pt idx="38">
                  <c:v>-0.0215215761686917</c:v>
                </c:pt>
                <c:pt idx="39">
                  <c:v>-0.0210465319366462</c:v>
                </c:pt>
                <c:pt idx="40">
                  <c:v>-0.0203070733798132</c:v>
                </c:pt>
                <c:pt idx="41">
                  <c:v>-0.0203860561057892</c:v>
                </c:pt>
                <c:pt idx="42">
                  <c:v>-0.0194617254740953</c:v>
                </c:pt>
                <c:pt idx="43">
                  <c:v>-0.019211657901412</c:v>
                </c:pt>
                <c:pt idx="44">
                  <c:v>-0.0188994938503957</c:v>
                </c:pt>
                <c:pt idx="45">
                  <c:v>-0.0179340415832206</c:v>
                </c:pt>
                <c:pt idx="46">
                  <c:v>-0.0180683485314536</c:v>
                </c:pt>
                <c:pt idx="47">
                  <c:v>-0.0177601449625601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result'!$F$1:$F$2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result'!$F$3:$F$50</c:f>
              <c:numCache>
                <c:formatCode>General</c:formatCode>
                <c:ptCount val="48"/>
                <c:pt idx="26">
                  <c:v>-0.027623635618518</c:v>
                </c:pt>
                <c:pt idx="27">
                  <c:v>-0.0490935773234202</c:v>
                </c:pt>
                <c:pt idx="28">
                  <c:v>-0.0451621779602851</c:v>
                </c:pt>
                <c:pt idx="29">
                  <c:v>-0.0488618464968959</c:v>
                </c:pt>
                <c:pt idx="30">
                  <c:v>-0.0462903026740802</c:v>
                </c:pt>
                <c:pt idx="31">
                  <c:v>-0.0475549858486401</c:v>
                </c:pt>
                <c:pt idx="32">
                  <c:v>-0.048015658663318</c:v>
                </c:pt>
                <c:pt idx="33">
                  <c:v>-0.0468911600528992</c:v>
                </c:pt>
                <c:pt idx="34">
                  <c:v>-0.0453623383481226</c:v>
                </c:pt>
                <c:pt idx="35">
                  <c:v>-0.0453777682283436</c:v>
                </c:pt>
                <c:pt idx="36">
                  <c:v>-0.0452496961897263</c:v>
                </c:pt>
                <c:pt idx="37">
                  <c:v>-0.0442169163659721</c:v>
                </c:pt>
                <c:pt idx="38">
                  <c:v>-0.0450917203434904</c:v>
                </c:pt>
                <c:pt idx="39">
                  <c:v>-0.0453300813906852</c:v>
                </c:pt>
                <c:pt idx="40">
                  <c:v>-0.0453425246625747</c:v>
                </c:pt>
                <c:pt idx="41">
                  <c:v>-0.0463006307051744</c:v>
                </c:pt>
                <c:pt idx="42">
                  <c:v>-0.0461871657202684</c:v>
                </c:pt>
                <c:pt idx="43">
                  <c:v>-0.0466826524892112</c:v>
                </c:pt>
                <c:pt idx="44">
                  <c:v>-0.0472581418188721</c:v>
                </c:pt>
                <c:pt idx="45">
                  <c:v>-0.0471205078882819</c:v>
                </c:pt>
                <c:pt idx="46">
                  <c:v>-0.0480620948953505</c:v>
                </c:pt>
                <c:pt idx="47">
                  <c:v>-0.0486742070393716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result'!$G$3:$G$50</c:f>
              <c:numCache>
                <c:formatCode>General</c:formatCode>
                <c:ptCount val="48"/>
                <c:pt idx="26">
                  <c:v>-0.0150081332609951</c:v>
                </c:pt>
                <c:pt idx="27">
                  <c:v>-0.0316117954750065</c:v>
                </c:pt>
                <c:pt idx="28">
                  <c:v>-0.0250659254767241</c:v>
                </c:pt>
                <c:pt idx="29">
                  <c:v>-0.0248633540850418</c:v>
                </c:pt>
                <c:pt idx="30">
                  <c:v>-0.0227176522298999</c:v>
                </c:pt>
                <c:pt idx="31">
                  <c:v>-0.0212834348447127</c:v>
                </c:pt>
                <c:pt idx="32">
                  <c:v>-0.0203388734990056</c:v>
                </c:pt>
                <c:pt idx="33">
                  <c:v>-0.0188245028563883</c:v>
                </c:pt>
                <c:pt idx="34">
                  <c:v>-0.0160089785610057</c:v>
                </c:pt>
                <c:pt idx="35">
                  <c:v>-0.0137332339697685</c:v>
                </c:pt>
                <c:pt idx="36">
                  <c:v>-0.0106718708617214</c:v>
                </c:pt>
                <c:pt idx="37">
                  <c:v>-0.0082696380328296</c:v>
                </c:pt>
                <c:pt idx="38">
                  <c:v>-0.00648873147280894</c:v>
                </c:pt>
                <c:pt idx="39">
                  <c:v>-0.00412557846343018</c:v>
                </c:pt>
                <c:pt idx="40">
                  <c:v>-0.00178138423281819</c:v>
                </c:pt>
                <c:pt idx="41">
                  <c:v>0.000360545578223976</c:v>
                </c:pt>
                <c:pt idx="42">
                  <c:v>0.00176597569077937</c:v>
                </c:pt>
                <c:pt idx="43">
                  <c:v>0.00311004390498647</c:v>
                </c:pt>
                <c:pt idx="44">
                  <c:v>0.00502471670186577</c:v>
                </c:pt>
                <c:pt idx="45">
                  <c:v>0.00576411416051697</c:v>
                </c:pt>
                <c:pt idx="46">
                  <c:v>0.00681711726712537</c:v>
                </c:pt>
                <c:pt idx="47">
                  <c:v>0.00858450000703901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result'!$H$1:$H$2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result'!$H$3:$H$50</c:f>
              <c:numCache>
                <c:formatCode>General</c:formatCode>
                <c:ptCount val="48"/>
                <c:pt idx="26">
                  <c:v>-0.0283100704675938</c:v>
                </c:pt>
                <c:pt idx="27">
                  <c:v>-0.0485109655298808</c:v>
                </c:pt>
                <c:pt idx="28">
                  <c:v>-0.0422882407795455</c:v>
                </c:pt>
                <c:pt idx="29">
                  <c:v>-0.0424962079369362</c:v>
                </c:pt>
                <c:pt idx="30">
                  <c:v>-0.0405792673559154</c:v>
                </c:pt>
                <c:pt idx="31">
                  <c:v>-0.0394199833688574</c:v>
                </c:pt>
                <c:pt idx="32">
                  <c:v>-0.0393801341908871</c:v>
                </c:pt>
                <c:pt idx="33">
                  <c:v>-0.0389202452691165</c:v>
                </c:pt>
                <c:pt idx="34">
                  <c:v>-0.0368168135811619</c:v>
                </c:pt>
                <c:pt idx="35">
                  <c:v>-0.035426835737899</c:v>
                </c:pt>
                <c:pt idx="36">
                  <c:v>-0.0329621011454411</c:v>
                </c:pt>
                <c:pt idx="37">
                  <c:v>-0.0310069550369007</c:v>
                </c:pt>
                <c:pt idx="38">
                  <c:v>-0.0296811914346931</c:v>
                </c:pt>
                <c:pt idx="39">
                  <c:v>-0.0279687202620026</c:v>
                </c:pt>
                <c:pt idx="40">
                  <c:v>-0.0263213031302473</c:v>
                </c:pt>
                <c:pt idx="41">
                  <c:v>-0.0246636375042153</c:v>
                </c:pt>
                <c:pt idx="42">
                  <c:v>-0.023647178317594</c:v>
                </c:pt>
                <c:pt idx="43">
                  <c:v>-0.0228603152204737</c:v>
                </c:pt>
                <c:pt idx="44">
                  <c:v>-0.0214253910660841</c:v>
                </c:pt>
                <c:pt idx="45">
                  <c:v>-0.021174345886617</c:v>
                </c:pt>
                <c:pt idx="46">
                  <c:v>-0.0206393748940115</c:v>
                </c:pt>
                <c:pt idx="47">
                  <c:v>-0.0192838045982827</c:v>
                </c:pt>
              </c:numCache>
            </c:numRef>
          </c:yVal>
          <c:smooth val="0"/>
        </c:ser>
        <c:axId val="95342556"/>
        <c:axId val="26578945"/>
      </c:scatterChart>
      <c:valAx>
        <c:axId val="953425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578945"/>
        <c:crosses val="autoZero"/>
        <c:crossBetween val="midCat"/>
      </c:valAx>
      <c:valAx>
        <c:axId val="26578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34255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result'!$B$3:$B$50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result'!$D$3:$D$50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-0.0116326054864976</c:v>
                </c:pt>
                <c:pt idx="23">
                  <c:v>-0.0191993725951132</c:v>
                </c:pt>
                <c:pt idx="24">
                  <c:v>-0.0260033305924489</c:v>
                </c:pt>
                <c:pt idx="25">
                  <c:v>-0.0212135726764704</c:v>
                </c:pt>
                <c:pt idx="26">
                  <c:v>-0.0276739092810219</c:v>
                </c:pt>
                <c:pt idx="27">
                  <c:v>-0.0494454307520652</c:v>
                </c:pt>
                <c:pt idx="28">
                  <c:v>-0.0434937256558654</c:v>
                </c:pt>
                <c:pt idx="29">
                  <c:v>-0.0458611362697805</c:v>
                </c:pt>
                <c:pt idx="30">
                  <c:v>-0.0449542174430694</c:v>
                </c:pt>
                <c:pt idx="31">
                  <c:v>-0.0448119164213376</c:v>
                </c:pt>
                <c:pt idx="32">
                  <c:v>-0.0449337519407363</c:v>
                </c:pt>
                <c:pt idx="33">
                  <c:v>-0.0452640373559386</c:v>
                </c:pt>
                <c:pt idx="34">
                  <c:v>-0.0450780966599565</c:v>
                </c:pt>
                <c:pt idx="35">
                  <c:v>-0.043910691078444</c:v>
                </c:pt>
                <c:pt idx="36">
                  <c:v>-0.0424263595848551</c:v>
                </c:pt>
                <c:pt idx="37">
                  <c:v>-0.0411072854690075</c:v>
                </c:pt>
                <c:pt idx="38">
                  <c:v>-0.0401443316794314</c:v>
                </c:pt>
                <c:pt idx="39">
                  <c:v>-0.0397225985955639</c:v>
                </c:pt>
                <c:pt idx="40">
                  <c:v>-0.0383367630595955</c:v>
                </c:pt>
                <c:pt idx="41">
                  <c:v>-0.0373553644651651</c:v>
                </c:pt>
                <c:pt idx="42">
                  <c:v>-0.0367299385930502</c:v>
                </c:pt>
                <c:pt idx="43">
                  <c:v>-0.0362633874636437</c:v>
                </c:pt>
                <c:pt idx="44">
                  <c:v>-0.0354890522767515</c:v>
                </c:pt>
                <c:pt idx="45">
                  <c:v>-0.0355480467814445</c:v>
                </c:pt>
                <c:pt idx="46">
                  <c:v>-0.034425110036699</c:v>
                </c:pt>
                <c:pt idx="47">
                  <c:v>-0.0340719180955821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circle"/>
            <c:size val="1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result'!$F$3:$F$50</c:f>
              <c:numCache>
                <c:formatCode>General</c:formatCode>
                <c:ptCount val="48"/>
                <c:pt idx="26">
                  <c:v>-0.027623635618518</c:v>
                </c:pt>
                <c:pt idx="27">
                  <c:v>-0.0490935773234202</c:v>
                </c:pt>
                <c:pt idx="28">
                  <c:v>-0.0451621779602851</c:v>
                </c:pt>
                <c:pt idx="29">
                  <c:v>-0.0488618464968959</c:v>
                </c:pt>
                <c:pt idx="30">
                  <c:v>-0.0462903026740802</c:v>
                </c:pt>
                <c:pt idx="31">
                  <c:v>-0.0475549858486401</c:v>
                </c:pt>
                <c:pt idx="32">
                  <c:v>-0.048015658663318</c:v>
                </c:pt>
                <c:pt idx="33">
                  <c:v>-0.0468911600528992</c:v>
                </c:pt>
                <c:pt idx="34">
                  <c:v>-0.0453623383481226</c:v>
                </c:pt>
                <c:pt idx="35">
                  <c:v>-0.0453777682283436</c:v>
                </c:pt>
                <c:pt idx="36">
                  <c:v>-0.0452496961897263</c:v>
                </c:pt>
                <c:pt idx="37">
                  <c:v>-0.0442169163659721</c:v>
                </c:pt>
                <c:pt idx="38">
                  <c:v>-0.0450917203434904</c:v>
                </c:pt>
                <c:pt idx="39">
                  <c:v>-0.0453300813906852</c:v>
                </c:pt>
                <c:pt idx="40">
                  <c:v>-0.0453425246625747</c:v>
                </c:pt>
                <c:pt idx="41">
                  <c:v>-0.0463006307051744</c:v>
                </c:pt>
                <c:pt idx="42">
                  <c:v>-0.0461871657202684</c:v>
                </c:pt>
                <c:pt idx="43">
                  <c:v>-0.0466826524892112</c:v>
                </c:pt>
                <c:pt idx="44">
                  <c:v>-0.0472581418188721</c:v>
                </c:pt>
                <c:pt idx="45">
                  <c:v>-0.0471205078882819</c:v>
                </c:pt>
                <c:pt idx="46">
                  <c:v>-0.0480620948953505</c:v>
                </c:pt>
                <c:pt idx="47">
                  <c:v>-0.0486742070393716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669966"/>
            </a:solidFill>
            <a:ln w="28800">
              <a:solidFill>
                <a:srgbClr val="669966"/>
              </a:solidFill>
              <a:round/>
            </a:ln>
          </c:spPr>
          <c:marker>
            <c:symbol val="diamond"/>
            <c:size val="15"/>
            <c:spPr>
              <a:solidFill>
                <a:srgbClr val="66996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result'!$H$3:$H$50</c:f>
              <c:numCache>
                <c:formatCode>General</c:formatCode>
                <c:ptCount val="48"/>
                <c:pt idx="26">
                  <c:v>-0.0283100704675938</c:v>
                </c:pt>
                <c:pt idx="27">
                  <c:v>-0.0485109655298808</c:v>
                </c:pt>
                <c:pt idx="28">
                  <c:v>-0.0422882407795455</c:v>
                </c:pt>
                <c:pt idx="29">
                  <c:v>-0.0424962079369362</c:v>
                </c:pt>
                <c:pt idx="30">
                  <c:v>-0.0405792673559154</c:v>
                </c:pt>
                <c:pt idx="31">
                  <c:v>-0.0394199833688574</c:v>
                </c:pt>
                <c:pt idx="32">
                  <c:v>-0.0393801341908871</c:v>
                </c:pt>
                <c:pt idx="33">
                  <c:v>-0.0389202452691165</c:v>
                </c:pt>
                <c:pt idx="34">
                  <c:v>-0.0368168135811619</c:v>
                </c:pt>
                <c:pt idx="35">
                  <c:v>-0.035426835737899</c:v>
                </c:pt>
                <c:pt idx="36">
                  <c:v>-0.0329621011454411</c:v>
                </c:pt>
                <c:pt idx="37">
                  <c:v>-0.0310069550369007</c:v>
                </c:pt>
                <c:pt idx="38">
                  <c:v>-0.0296811914346931</c:v>
                </c:pt>
                <c:pt idx="39">
                  <c:v>-0.0279687202620026</c:v>
                </c:pt>
                <c:pt idx="40">
                  <c:v>-0.0263213031302473</c:v>
                </c:pt>
                <c:pt idx="41">
                  <c:v>-0.0246636375042153</c:v>
                </c:pt>
                <c:pt idx="42">
                  <c:v>-0.023647178317594</c:v>
                </c:pt>
                <c:pt idx="43">
                  <c:v>-0.0228603152204737</c:v>
                </c:pt>
                <c:pt idx="44">
                  <c:v>-0.0214253910660841</c:v>
                </c:pt>
                <c:pt idx="45">
                  <c:v>-0.021174345886617</c:v>
                </c:pt>
                <c:pt idx="46">
                  <c:v>-0.0206393748940115</c:v>
                </c:pt>
                <c:pt idx="47">
                  <c:v>-0.0192838045982827</c:v>
                </c:pt>
              </c:numCache>
            </c:numRef>
          </c:yVal>
          <c:smooth val="0"/>
        </c:ser>
        <c:axId val="89050871"/>
        <c:axId val="93598094"/>
      </c:scatterChart>
      <c:valAx>
        <c:axId val="89050871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598094"/>
        <c:crosses val="autoZero"/>
        <c:crossBetween val="midCat"/>
      </c:valAx>
      <c:valAx>
        <c:axId val="93598094"/>
        <c:scaling>
          <c:orientation val="minMax"/>
          <c:max val="0.02"/>
          <c:min val="-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050871"/>
        <c:crosses val="autoZero"/>
        <c:crossBetween val="midCat"/>
        <c:majorUnit val="0.01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result'!$C$146:$C$146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-0.0136316295108704</c:v>
                </c:pt>
                <c:pt idx="6">
                  <c:v>-0.0155995093030069</c:v>
                </c:pt>
                <c:pt idx="7">
                  <c:v>-0.0134005938431997</c:v>
                </c:pt>
                <c:pt idx="8">
                  <c:v>-0.0130924528628861</c:v>
                </c:pt>
                <c:pt idx="9">
                  <c:v>-0.0124651098698953</c:v>
                </c:pt>
                <c:pt idx="10">
                  <c:v>-0.0122733953036493</c:v>
                </c:pt>
                <c:pt idx="11">
                  <c:v>-0.0121392471238736</c:v>
                </c:pt>
                <c:pt idx="12">
                  <c:v>-0.0117482466263433</c:v>
                </c:pt>
                <c:pt idx="13">
                  <c:v>-0.0113730694374728</c:v>
                </c:pt>
                <c:pt idx="14">
                  <c:v>-0.0109825928538159</c:v>
                </c:pt>
                <c:pt idx="15">
                  <c:v>-0.010491164004734</c:v>
                </c:pt>
                <c:pt idx="16">
                  <c:v>-0.0101245427202248</c:v>
                </c:pt>
                <c:pt idx="17">
                  <c:v>-0.00949581761902994</c:v>
                </c:pt>
                <c:pt idx="18">
                  <c:v>-0.00916950124534221</c:v>
                </c:pt>
                <c:pt idx="19">
                  <c:v>-0.00868853137764608</c:v>
                </c:pt>
                <c:pt idx="20">
                  <c:v>-0.00842491520477295</c:v>
                </c:pt>
                <c:pt idx="21">
                  <c:v>-0.00814397820043775</c:v>
                </c:pt>
                <c:pt idx="22">
                  <c:v>-0.00789777395057895</c:v>
                </c:pt>
                <c:pt idx="23">
                  <c:v>-0.00765073911536027</c:v>
                </c:pt>
                <c:pt idx="24">
                  <c:v>-0.00754051384919127</c:v>
                </c:pt>
                <c:pt idx="25">
                  <c:v>-0.00742366219770038</c:v>
                </c:pt>
                <c:pt idx="26">
                  <c:v>-0.00697162998095097</c:v>
                </c:pt>
              </c:numCache>
            </c:numRef>
          </c:val>
        </c:ser>
        <c:ser>
          <c:idx val="1"/>
          <c:order val="1"/>
          <c:tx>
            <c:strRef>
              <c:f>'Economic result'!$D$146:$D$146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-0.0821174703482337</c:v>
                </c:pt>
                <c:pt idx="3">
                  <c:v>-0.0847525809514072</c:v>
                </c:pt>
                <c:pt idx="4">
                  <c:v>-0.0817454571976054</c:v>
                </c:pt>
                <c:pt idx="5">
                  <c:v>-0.0767147567851068</c:v>
                </c:pt>
                <c:pt idx="6">
                  <c:v>-0.0941674353425147</c:v>
                </c:pt>
                <c:pt idx="7">
                  <c:v>-0.0854270439263265</c:v>
                </c:pt>
                <c:pt idx="8">
                  <c:v>-0.0862143580550718</c:v>
                </c:pt>
                <c:pt idx="9">
                  <c:v>-0.0857761388514113</c:v>
                </c:pt>
                <c:pt idx="10">
                  <c:v>-0.0865505001120608</c:v>
                </c:pt>
                <c:pt idx="11">
                  <c:v>-0.0881470945543886</c:v>
                </c:pt>
                <c:pt idx="12">
                  <c:v>-0.088676510873286</c:v>
                </c:pt>
                <c:pt idx="13">
                  <c:v>-0.088963368190169</c:v>
                </c:pt>
                <c:pt idx="14">
                  <c:v>-0.0886450924499108</c:v>
                </c:pt>
                <c:pt idx="15">
                  <c:v>-0.0881764794983711</c:v>
                </c:pt>
                <c:pt idx="16">
                  <c:v>-0.087658416643521</c:v>
                </c:pt>
                <c:pt idx="17">
                  <c:v>-0.0875799418986331</c:v>
                </c:pt>
                <c:pt idx="18">
                  <c:v>-0.0876706006167717</c:v>
                </c:pt>
                <c:pt idx="19">
                  <c:v>-0.086978905064727</c:v>
                </c:pt>
                <c:pt idx="20">
                  <c:v>-0.0866971635262329</c:v>
                </c:pt>
                <c:pt idx="21">
                  <c:v>-0.086558960409742</c:v>
                </c:pt>
                <c:pt idx="22">
                  <c:v>-0.0865273872701051</c:v>
                </c:pt>
                <c:pt idx="23">
                  <c:v>-0.0863012555619561</c:v>
                </c:pt>
                <c:pt idx="24">
                  <c:v>-0.0863994229035242</c:v>
                </c:pt>
                <c:pt idx="25">
                  <c:v>-0.0858858142223723</c:v>
                </c:pt>
                <c:pt idx="26">
                  <c:v>-0.0862996038344546</c:v>
                </c:pt>
              </c:numCache>
            </c:numRef>
          </c:val>
        </c:ser>
        <c:ser>
          <c:idx val="2"/>
          <c:order val="2"/>
          <c:tx>
            <c:strRef>
              <c:f>'Economic result'!$E$146:$E$146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0.0608077145935599</c:v>
                </c:pt>
                <c:pt idx="2">
                  <c:v>0.0613981988851851</c:v>
                </c:pt>
                <c:pt idx="3">
                  <c:v>0.0632114979056286</c:v>
                </c:pt>
                <c:pt idx="4">
                  <c:v>0.0590159622103877</c:v>
                </c:pt>
                <c:pt idx="5">
                  <c:v>0.0513845170542849</c:v>
                </c:pt>
                <c:pt idx="6">
                  <c:v>0.0521439859440649</c:v>
                </c:pt>
                <c:pt idx="7">
                  <c:v>0.0471563841642693</c:v>
                </c:pt>
                <c:pt idx="8">
                  <c:v>0.0452681466987859</c:v>
                </c:pt>
                <c:pt idx="9">
                  <c:v>0.0451095033288458</c:v>
                </c:pt>
                <c:pt idx="10">
                  <c:v>0.0458344510449811</c:v>
                </c:pt>
                <c:pt idx="11">
                  <c:v>0.0471750617881345</c:v>
                </c:pt>
                <c:pt idx="12">
                  <c:v>0.0469831921942993</c:v>
                </c:pt>
                <c:pt idx="13">
                  <c:v>0.0470808130182939</c:v>
                </c:pt>
                <c:pt idx="14">
                  <c:v>0.0475394662758912</c:v>
                </c:pt>
                <c:pt idx="15">
                  <c:v>0.0480637559688586</c:v>
                </c:pt>
                <c:pt idx="16">
                  <c:v>0.0484981459453469</c:v>
                </c:pt>
                <c:pt idx="17">
                  <c:v>0.0487538998888402</c:v>
                </c:pt>
                <c:pt idx="18">
                  <c:v>0.0489399753171585</c:v>
                </c:pt>
                <c:pt idx="19">
                  <c:v>0.0491531454333861</c:v>
                </c:pt>
                <c:pt idx="20">
                  <c:v>0.0495891863164493</c:v>
                </c:pt>
                <c:pt idx="21">
                  <c:v>0.0497954720677381</c:v>
                </c:pt>
                <c:pt idx="22">
                  <c:v>0.0499842458076489</c:v>
                </c:pt>
                <c:pt idx="23">
                  <c:v>0.0502854144511735</c:v>
                </c:pt>
                <c:pt idx="24">
                  <c:v>0.0502143620218796</c:v>
                </c:pt>
                <c:pt idx="25">
                  <c:v>0.0507068384339822</c:v>
                </c:pt>
                <c:pt idx="26">
                  <c:v>0.051021787770432</c:v>
                </c:pt>
              </c:numCache>
            </c:numRef>
          </c:val>
        </c:ser>
        <c:ser>
          <c:idx val="3"/>
          <c:order val="3"/>
          <c:tx>
            <c:strRef>
              <c:f>'Economic result'!$F$146:$F$146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0.00817752794939145</c:v>
                </c:pt>
                <c:pt idx="7">
                  <c:v>0.00817752794939145</c:v>
                </c:pt>
                <c:pt idx="8">
                  <c:v>0.00817752794939145</c:v>
                </c:pt>
                <c:pt idx="9">
                  <c:v>0.00817752794939145</c:v>
                </c:pt>
                <c:pt idx="10">
                  <c:v>0.00817752794939145</c:v>
                </c:pt>
                <c:pt idx="11">
                  <c:v>0.00817752794939145</c:v>
                </c:pt>
                <c:pt idx="12">
                  <c:v>0.00817752794939145</c:v>
                </c:pt>
                <c:pt idx="13">
                  <c:v>0.00817752794939145</c:v>
                </c:pt>
                <c:pt idx="14">
                  <c:v>0.00817752794939145</c:v>
                </c:pt>
                <c:pt idx="15">
                  <c:v>0.00817752794939145</c:v>
                </c:pt>
                <c:pt idx="16">
                  <c:v>0.00817752794939145</c:v>
                </c:pt>
                <c:pt idx="17">
                  <c:v>0.00817752794939145</c:v>
                </c:pt>
                <c:pt idx="18">
                  <c:v>0.00817752794939145</c:v>
                </c:pt>
                <c:pt idx="19">
                  <c:v>0.00817752794939145</c:v>
                </c:pt>
                <c:pt idx="20">
                  <c:v>0.00817752794939145</c:v>
                </c:pt>
                <c:pt idx="21">
                  <c:v>0.00817752794939145</c:v>
                </c:pt>
                <c:pt idx="22">
                  <c:v>0.00817752794939145</c:v>
                </c:pt>
                <c:pt idx="23">
                  <c:v>0.00817752794939145</c:v>
                </c:pt>
                <c:pt idx="24">
                  <c:v>0.00817752794939145</c:v>
                </c:pt>
                <c:pt idx="25">
                  <c:v>0.00817752794939145</c:v>
                </c:pt>
                <c:pt idx="26">
                  <c:v>0.00817752794939145</c:v>
                </c:pt>
              </c:numCache>
            </c:numRef>
          </c:val>
        </c:ser>
        <c:gapWidth val="100"/>
        <c:overlap val="100"/>
        <c:axId val="88214761"/>
        <c:axId val="11545933"/>
      </c:barChart>
      <c:lineChart>
        <c:grouping val="stacked"/>
        <c:varyColors val="0"/>
        <c:ser>
          <c:idx val="4"/>
          <c:order val="4"/>
          <c:tx>
            <c:strRef>
              <c:f>'Economic result'!$G$146:$G$146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-0.0116326054864977</c:v>
                </c:pt>
                <c:pt idx="2">
                  <c:v>-0.0191993725951131</c:v>
                </c:pt>
                <c:pt idx="3">
                  <c:v>-0.0260033305924489</c:v>
                </c:pt>
                <c:pt idx="4">
                  <c:v>-0.0212135726764704</c:v>
                </c:pt>
                <c:pt idx="5">
                  <c:v>-0.0276739092810219</c:v>
                </c:pt>
                <c:pt idx="6">
                  <c:v>-0.0494454307520652</c:v>
                </c:pt>
                <c:pt idx="7">
                  <c:v>-0.0434937256558654</c:v>
                </c:pt>
                <c:pt idx="8">
                  <c:v>-0.0458611362697805</c:v>
                </c:pt>
                <c:pt idx="9">
                  <c:v>-0.0449542174430694</c:v>
                </c:pt>
                <c:pt idx="10">
                  <c:v>-0.0448119164213376</c:v>
                </c:pt>
                <c:pt idx="11">
                  <c:v>-0.0449337519407362</c:v>
                </c:pt>
                <c:pt idx="12">
                  <c:v>-0.0452640373559386</c:v>
                </c:pt>
                <c:pt idx="13">
                  <c:v>-0.0450780966599565</c:v>
                </c:pt>
                <c:pt idx="14">
                  <c:v>-0.043910691078444</c:v>
                </c:pt>
                <c:pt idx="15">
                  <c:v>-0.0424263595848551</c:v>
                </c:pt>
                <c:pt idx="16">
                  <c:v>-0.0411072854690075</c:v>
                </c:pt>
                <c:pt idx="17">
                  <c:v>-0.0401443316794314</c:v>
                </c:pt>
                <c:pt idx="18">
                  <c:v>-0.0397225985955639</c:v>
                </c:pt>
                <c:pt idx="19">
                  <c:v>-0.0383367630595955</c:v>
                </c:pt>
                <c:pt idx="20">
                  <c:v>-0.0373553644651651</c:v>
                </c:pt>
                <c:pt idx="21">
                  <c:v>-0.0367299385930502</c:v>
                </c:pt>
                <c:pt idx="22">
                  <c:v>-0.0362633874636437</c:v>
                </c:pt>
                <c:pt idx="23">
                  <c:v>-0.0354890522767515</c:v>
                </c:pt>
                <c:pt idx="24">
                  <c:v>-0.0355480467814445</c:v>
                </c:pt>
                <c:pt idx="25">
                  <c:v>-0.034425110036699</c:v>
                </c:pt>
                <c:pt idx="26">
                  <c:v>-0.0340719180955821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996824"/>
        <c:axId val="51589623"/>
      </c:lineChart>
      <c:catAx>
        <c:axId val="882147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545933"/>
        <c:crosses val="autoZero"/>
        <c:auto val="1"/>
        <c:lblAlgn val="ctr"/>
        <c:lblOffset val="100"/>
      </c:catAx>
      <c:valAx>
        <c:axId val="11545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214761"/>
        <c:crossesAt val="1"/>
      </c:valAx>
      <c:catAx>
        <c:axId val="149968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589623"/>
        <c:crosses val="autoZero"/>
        <c:auto val="1"/>
        <c:lblAlgn val="ctr"/>
        <c:lblOffset val="100"/>
      </c:catAx>
      <c:valAx>
        <c:axId val="51589623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99682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image" Target="../media/image15.wmf"/><Relationship Id="rId3" Type="http://schemas.openxmlformats.org/officeDocument/2006/relationships/image" Target="../media/image16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6.xml"/><Relationship Id="rId2" Type="http://schemas.openxmlformats.org/officeDocument/2006/relationships/chart" Target="../charts/chart157.xml"/><Relationship Id="rId3" Type="http://schemas.openxmlformats.org/officeDocument/2006/relationships/chart" Target="../charts/chart1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399600</xdr:colOff>
      <xdr:row>2</xdr:row>
      <xdr:rowOff>117000</xdr:rowOff>
    </xdr:from>
    <xdr:to>
      <xdr:col>17</xdr:col>
      <xdr:colOff>743400</xdr:colOff>
      <xdr:row>20</xdr:row>
      <xdr:rowOff>132480</xdr:rowOff>
    </xdr:to>
    <xdr:graphicFrame>
      <xdr:nvGraphicFramePr>
        <xdr:cNvPr id="0" name=""/>
        <xdr:cNvGraphicFramePr/>
      </xdr:nvGraphicFramePr>
      <xdr:xfrm>
        <a:off x="11908800" y="454680"/>
        <a:ext cx="366372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396000</xdr:colOff>
      <xdr:row>4</xdr:row>
      <xdr:rowOff>169200</xdr:rowOff>
    </xdr:from>
    <xdr:to>
      <xdr:col>16</xdr:col>
      <xdr:colOff>739800</xdr:colOff>
      <xdr:row>25</xdr:row>
      <xdr:rowOff>9720</xdr:rowOff>
    </xdr:to>
    <xdr:graphicFrame>
      <xdr:nvGraphicFramePr>
        <xdr:cNvPr id="1" name=""/>
        <xdr:cNvGraphicFramePr/>
      </xdr:nvGraphicFramePr>
      <xdr:xfrm>
        <a:off x="11075400" y="1220760"/>
        <a:ext cx="366336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402840</xdr:colOff>
      <xdr:row>4</xdr:row>
      <xdr:rowOff>125640</xdr:rowOff>
    </xdr:from>
    <xdr:to>
      <xdr:col>16</xdr:col>
      <xdr:colOff>746640</xdr:colOff>
      <xdr:row>24</xdr:row>
      <xdr:rowOff>141120</xdr:rowOff>
    </xdr:to>
    <xdr:graphicFrame>
      <xdr:nvGraphicFramePr>
        <xdr:cNvPr id="2" name=""/>
        <xdr:cNvGraphicFramePr/>
      </xdr:nvGraphicFramePr>
      <xdr:xfrm>
        <a:off x="11082240" y="1177200"/>
        <a:ext cx="366336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132120</xdr:colOff>
      <xdr:row>0</xdr:row>
      <xdr:rowOff>318960</xdr:rowOff>
    </xdr:from>
    <xdr:to>
      <xdr:col>24</xdr:col>
      <xdr:colOff>749520</xdr:colOff>
      <xdr:row>36</xdr:row>
      <xdr:rowOff>139680</xdr:rowOff>
    </xdr:to>
    <xdr:graphicFrame>
      <xdr:nvGraphicFramePr>
        <xdr:cNvPr id="3" name="Chart 1"/>
        <xdr:cNvGraphicFramePr/>
      </xdr:nvGraphicFramePr>
      <xdr:xfrm>
        <a:off x="6598800" y="318960"/>
        <a:ext cx="13551120" cy="70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54000</xdr:colOff>
      <xdr:row>71</xdr:row>
      <xdr:rowOff>172440</xdr:rowOff>
    </xdr:from>
    <xdr:to>
      <xdr:col>21</xdr:col>
      <xdr:colOff>277560</xdr:colOff>
      <xdr:row>78</xdr:row>
      <xdr:rowOff>100800</xdr:rowOff>
    </xdr:to>
    <xdr:pic>
      <xdr:nvPicPr>
        <xdr:cNvPr id="4" name="Image 2" descr=""/>
        <xdr:cNvPicPr/>
      </xdr:nvPicPr>
      <xdr:blipFill>
        <a:blip r:embed="rId2"/>
        <a:stretch/>
      </xdr:blipFill>
      <xdr:spPr>
        <a:xfrm>
          <a:off x="7328880" y="13680000"/>
          <a:ext cx="9924120" cy="12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376560</xdr:colOff>
      <xdr:row>39</xdr:row>
      <xdr:rowOff>116640</xdr:rowOff>
    </xdr:from>
    <xdr:to>
      <xdr:col>26</xdr:col>
      <xdr:colOff>456480</xdr:colOff>
      <xdr:row>69</xdr:row>
      <xdr:rowOff>148320</xdr:rowOff>
    </xdr:to>
    <xdr:pic>
      <xdr:nvPicPr>
        <xdr:cNvPr id="5" name="Image 1" descr=""/>
        <xdr:cNvPicPr/>
      </xdr:nvPicPr>
      <xdr:blipFill>
        <a:blip r:embed="rId3"/>
        <a:stretch/>
      </xdr:blipFill>
      <xdr:spPr>
        <a:xfrm>
          <a:off x="8460000" y="7835400"/>
          <a:ext cx="13013640" cy="543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53280</xdr:colOff>
      <xdr:row>2</xdr:row>
      <xdr:rowOff>73080</xdr:rowOff>
    </xdr:from>
    <xdr:to>
      <xdr:col>28</xdr:col>
      <xdr:colOff>673560</xdr:colOff>
      <xdr:row>46</xdr:row>
      <xdr:rowOff>15480</xdr:rowOff>
    </xdr:to>
    <xdr:graphicFrame>
      <xdr:nvGraphicFramePr>
        <xdr:cNvPr id="6" name="Chart 1"/>
        <xdr:cNvGraphicFramePr/>
      </xdr:nvGraphicFramePr>
      <xdr:xfrm>
        <a:off x="9753480" y="1326960"/>
        <a:ext cx="13554000" cy="784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27720</xdr:colOff>
      <xdr:row>3</xdr:row>
      <xdr:rowOff>18000</xdr:rowOff>
    </xdr:from>
    <xdr:to>
      <xdr:col>47</xdr:col>
      <xdr:colOff>645120</xdr:colOff>
      <xdr:row>42</xdr:row>
      <xdr:rowOff>3600</xdr:rowOff>
    </xdr:to>
    <xdr:graphicFrame>
      <xdr:nvGraphicFramePr>
        <xdr:cNvPr id="7" name="Chart 1"/>
        <xdr:cNvGraphicFramePr/>
      </xdr:nvGraphicFramePr>
      <xdr:xfrm>
        <a:off x="25086600" y="1462320"/>
        <a:ext cx="13551120" cy="70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397800</xdr:colOff>
      <xdr:row>125</xdr:row>
      <xdr:rowOff>110520</xdr:rowOff>
    </xdr:from>
    <xdr:to>
      <xdr:col>13</xdr:col>
      <xdr:colOff>343800</xdr:colOff>
      <xdr:row>166</xdr:row>
      <xdr:rowOff>87120</xdr:rowOff>
    </xdr:to>
    <xdr:graphicFrame>
      <xdr:nvGraphicFramePr>
        <xdr:cNvPr id="8" name=""/>
        <xdr:cNvGraphicFramePr/>
      </xdr:nvGraphicFramePr>
      <xdr:xfrm>
        <a:off x="6056280" y="22113720"/>
        <a:ext cx="4795920" cy="664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lation and wages"/>
      <sheetName val="Historical wage and tax income"/>
      <sheetName val="Law 26.417 mobility computation"/>
      <sheetName val="Pension mobility"/>
      <sheetName val="Central macro hypothesis"/>
      <sheetName val="Central projection"/>
      <sheetName val="Optimist macro hypothesis"/>
      <sheetName val="Optimist projection"/>
      <sheetName val="Pessimist macro hypothesis"/>
      <sheetName val="Pessimist projection"/>
      <sheetName val="Real wage scenarios"/>
      <sheetName val="Real wage scenarios representat"/>
      <sheetName val="Rent autonomous"/>
      <sheetName val="Payment autonomous"/>
      <sheetName val="Minimum wage"/>
      <sheetName val="PBU"/>
      <sheetName val="Min pension"/>
      <sheetName val="Max pension"/>
      <sheetName val="Non taxable wage_27430_Law"/>
      <sheetName val="Non_taxable_wage_31_12_19_leg"/>
      <sheetName val="Max_taxable_wage"/>
      <sheetName val="globals_Macri_legislation"/>
      <sheetName val="globals_2017_leg"/>
      <sheetName val="globals_31_12_19_leg"/>
      <sheetName val="globals_2020_legislation"/>
      <sheetName val="copy_to_csv_Macri_leg"/>
      <sheetName val="copy_to_csv_2017_leg"/>
      <sheetName val="copy_to_csv_31_12_19_leg"/>
      <sheetName val="copy_to_csv_2020_leg"/>
      <sheetName val="RIPTE"/>
    </sheetNames>
    <sheetDataSet>
      <sheetData sheetId="0"/>
      <sheetData sheetId="1"/>
      <sheetData sheetId="2"/>
      <sheetData sheetId="3"/>
      <sheetData sheetId="4">
        <row r="17">
          <cell r="B17">
            <v>121.793348643799</v>
          </cell>
        </row>
        <row r="18">
          <cell r="B18">
            <v>120.360395863044</v>
          </cell>
        </row>
        <row r="19">
          <cell r="B19">
            <v>129.295276044114</v>
          </cell>
        </row>
        <row r="20">
          <cell r="B20">
            <v>128.704138203707</v>
          </cell>
        </row>
        <row r="21">
          <cell r="B21">
            <v>148.814842394282</v>
          </cell>
        </row>
        <row r="22">
          <cell r="B22">
            <v>138.913451314941</v>
          </cell>
        </row>
        <row r="23">
          <cell r="B23">
            <v>139.301780600983</v>
          </cell>
        </row>
        <row r="24">
          <cell r="B24">
            <v>136.073141423361</v>
          </cell>
        </row>
        <row r="25">
          <cell r="B25">
            <v>157.03200298982</v>
          </cell>
        </row>
        <row r="26">
          <cell r="B26">
            <v>145.537030624016</v>
          </cell>
        </row>
        <row r="27">
          <cell r="B27">
            <v>145.555424639123</v>
          </cell>
        </row>
        <row r="28">
          <cell r="B28">
            <v>142.127465696974</v>
          </cell>
        </row>
        <row r="29">
          <cell r="B29">
            <v>163.428616698433</v>
          </cell>
        </row>
        <row r="30">
          <cell r="B30">
            <v>151.12037719202</v>
          </cell>
        </row>
        <row r="31">
          <cell r="B31">
            <v>150.777877991517</v>
          </cell>
        </row>
        <row r="32">
          <cell r="B32">
            <v>147.077157123927</v>
          </cell>
        </row>
        <row r="33">
          <cell r="B33">
            <v>168.301130469874</v>
          </cell>
        </row>
        <row r="34">
          <cell r="B34">
            <v>155.920025005862</v>
          </cell>
        </row>
        <row r="35">
          <cell r="B35">
            <v>155.489207581396</v>
          </cell>
        </row>
        <row r="39">
          <cell r="C39">
            <v>-0.121359455238518</v>
          </cell>
        </row>
        <row r="40">
          <cell r="C40">
            <v>0.108448659425643</v>
          </cell>
        </row>
        <row r="41">
          <cell r="C41">
            <v>0.051217626198774</v>
          </cell>
        </row>
        <row r="42">
          <cell r="C42">
            <v>0.0398097115008873</v>
          </cell>
        </row>
        <row r="43">
          <cell r="C43">
            <v>0.0318265611192587</v>
          </cell>
        </row>
      </sheetData>
      <sheetData sheetId="5">
        <row r="274">
          <cell r="C274">
            <v>22285.48</v>
          </cell>
        </row>
        <row r="274">
          <cell r="L274">
            <v>34.2274371921194</v>
          </cell>
        </row>
        <row r="277">
          <cell r="C277">
            <v>23469.98</v>
          </cell>
        </row>
        <row r="277">
          <cell r="L277">
            <v>36.0654421469069</v>
          </cell>
        </row>
        <row r="280">
          <cell r="C280">
            <v>25136.35</v>
          </cell>
        </row>
        <row r="280">
          <cell r="L280">
            <v>37.9112181792913</v>
          </cell>
        </row>
        <row r="283">
          <cell r="C283">
            <v>26301.42</v>
          </cell>
        </row>
        <row r="283">
          <cell r="L283">
            <v>40.2405100148553</v>
          </cell>
        </row>
        <row r="286">
          <cell r="C286">
            <v>28072.31</v>
          </cell>
        </row>
        <row r="286">
          <cell r="L286">
            <v>42.9200162644462</v>
          </cell>
        </row>
        <row r="289">
          <cell r="C289">
            <v>29598.12</v>
          </cell>
        </row>
        <row r="289">
          <cell r="L289">
            <v>46.6926648443866</v>
          </cell>
        </row>
        <row r="292">
          <cell r="C292">
            <v>31523.56</v>
          </cell>
        </row>
        <row r="292">
          <cell r="L292">
            <v>53.281313331461</v>
          </cell>
        </row>
        <row r="295">
          <cell r="C295">
            <v>34339.61</v>
          </cell>
        </row>
        <row r="295">
          <cell r="L295">
            <v>59.4133384581602</v>
          </cell>
        </row>
        <row r="298">
          <cell r="C298">
            <v>38884.43</v>
          </cell>
        </row>
        <row r="298">
          <cell r="L298">
            <v>66.4111454665113</v>
          </cell>
        </row>
        <row r="301">
          <cell r="C301">
            <v>41584.2</v>
          </cell>
        </row>
        <row r="301">
          <cell r="L301">
            <v>72.7247107047078</v>
          </cell>
        </row>
        <row r="304">
          <cell r="C304">
            <v>45485.23</v>
          </cell>
        </row>
        <row r="304">
          <cell r="L304">
            <v>81.8091971509488</v>
          </cell>
        </row>
        <row r="307">
          <cell r="C307">
            <v>49574.33</v>
          </cell>
        </row>
        <row r="307">
          <cell r="L307">
            <v>91.396965668282</v>
          </cell>
        </row>
        <row r="310">
          <cell r="C310">
            <v>56872.86</v>
          </cell>
        </row>
        <row r="310">
          <cell r="L310">
            <v>98.5254944549653</v>
          </cell>
        </row>
        <row r="313">
          <cell r="C313">
            <v>57057.9</v>
          </cell>
        </row>
        <row r="313">
          <cell r="L313">
            <v>103.370505503761</v>
          </cell>
        </row>
        <row r="316">
          <cell r="C316">
            <v>57918.0549747375</v>
          </cell>
        </row>
        <row r="316">
          <cell r="L316">
            <v>111.861110736627</v>
          </cell>
        </row>
        <row r="319">
          <cell r="C319">
            <v>64946.282804131</v>
          </cell>
        </row>
        <row r="319">
          <cell r="L319">
            <v>122.654727926835</v>
          </cell>
        </row>
        <row r="322">
          <cell r="C322">
            <v>72267.3577289288</v>
          </cell>
        </row>
        <row r="322">
          <cell r="L322">
            <v>132.467106160981</v>
          </cell>
        </row>
        <row r="325">
          <cell r="C325">
            <v>79972.4739677305</v>
          </cell>
        </row>
        <row r="325">
          <cell r="L325">
            <v>142.279484395128</v>
          </cell>
        </row>
        <row r="328">
          <cell r="C328">
            <v>86776.5565272398</v>
          </cell>
        </row>
        <row r="328">
          <cell r="L328">
            <v>152.091862629275</v>
          </cell>
        </row>
        <row r="331">
          <cell r="C331">
            <v>93767.6093809871</v>
          </cell>
        </row>
        <row r="331">
          <cell r="L331">
            <v>161.904240863422</v>
          </cell>
        </row>
        <row r="334">
          <cell r="C334">
            <v>100542.492283439</v>
          </cell>
        </row>
        <row r="334">
          <cell r="L334">
            <v>172.306588338896</v>
          </cell>
        </row>
        <row r="337">
          <cell r="C337">
            <v>107413.951844086</v>
          </cell>
        </row>
        <row r="337">
          <cell r="L337">
            <v>182.708935814371</v>
          </cell>
        </row>
        <row r="340">
          <cell r="C340">
            <v>114383.057340873</v>
          </cell>
        </row>
        <row r="340">
          <cell r="L340">
            <v>193.111283289846</v>
          </cell>
        </row>
        <row r="343">
          <cell r="C343">
            <v>121450.888671387</v>
          </cell>
        </row>
        <row r="343">
          <cell r="L343">
            <v>203.513630765321</v>
          </cell>
        </row>
        <row r="346">
          <cell r="C346">
            <v>128321.42265336</v>
          </cell>
        </row>
        <row r="346">
          <cell r="L346">
            <v>213.689312303587</v>
          </cell>
        </row>
        <row r="349">
          <cell r="C349">
            <v>135267.955639944</v>
          </cell>
        </row>
        <row r="349">
          <cell r="L349">
            <v>223.864993841853</v>
          </cell>
        </row>
        <row r="352">
          <cell r="C352">
            <v>142290.487631137</v>
          </cell>
        </row>
        <row r="352">
          <cell r="L352">
            <v>234.040675380119</v>
          </cell>
        </row>
        <row r="355">
          <cell r="C355">
            <v>149389.01862694</v>
          </cell>
        </row>
        <row r="355">
          <cell r="L355">
            <v>244.216356918385</v>
          </cell>
        </row>
        <row r="358">
          <cell r="C358">
            <v>155937.294432844</v>
          </cell>
        </row>
        <row r="358">
          <cell r="L358">
            <v>253.374470302824</v>
          </cell>
        </row>
        <row r="361">
          <cell r="C361">
            <v>162553.969342897</v>
          </cell>
        </row>
        <row r="361">
          <cell r="L361">
            <v>262.532583687264</v>
          </cell>
        </row>
        <row r="364">
          <cell r="C364">
            <v>169239.043357098</v>
          </cell>
        </row>
        <row r="364">
          <cell r="L364">
            <v>271.690697071703</v>
          </cell>
        </row>
        <row r="367">
          <cell r="C367">
            <v>175992.516475449</v>
          </cell>
        </row>
        <row r="367">
          <cell r="L367">
            <v>280.848810456143</v>
          </cell>
        </row>
      </sheetData>
      <sheetData sheetId="6"/>
      <sheetData sheetId="7">
        <row r="274">
          <cell r="C274">
            <v>22285.48</v>
          </cell>
        </row>
        <row r="274">
          <cell r="L274">
            <v>34.2274371921194</v>
          </cell>
        </row>
        <row r="277">
          <cell r="C277">
            <v>23469.98</v>
          </cell>
        </row>
        <row r="277">
          <cell r="L277">
            <v>36.0654421469069</v>
          </cell>
        </row>
        <row r="280">
          <cell r="C280">
            <v>25136.35</v>
          </cell>
        </row>
        <row r="280">
          <cell r="L280">
            <v>37.9112181792913</v>
          </cell>
        </row>
        <row r="283">
          <cell r="C283">
            <v>26301.42</v>
          </cell>
        </row>
        <row r="283">
          <cell r="L283">
            <v>40.2405100148553</v>
          </cell>
        </row>
        <row r="286">
          <cell r="C286">
            <v>28072.31</v>
          </cell>
        </row>
        <row r="286">
          <cell r="L286">
            <v>42.9200162644462</v>
          </cell>
        </row>
        <row r="289">
          <cell r="C289">
            <v>29598.12</v>
          </cell>
        </row>
        <row r="289">
          <cell r="L289">
            <v>46.6926648443866</v>
          </cell>
        </row>
        <row r="292">
          <cell r="C292">
            <v>31523.56</v>
          </cell>
        </row>
        <row r="292">
          <cell r="L292">
            <v>53.281313331461</v>
          </cell>
        </row>
        <row r="295">
          <cell r="C295">
            <v>34339.61</v>
          </cell>
        </row>
        <row r="295">
          <cell r="L295">
            <v>59.4133384581602</v>
          </cell>
        </row>
        <row r="298">
          <cell r="C298">
            <v>38884.43</v>
          </cell>
        </row>
        <row r="298">
          <cell r="L298">
            <v>66.4111454665113</v>
          </cell>
        </row>
        <row r="301">
          <cell r="C301">
            <v>41584.2</v>
          </cell>
        </row>
        <row r="301">
          <cell r="L301">
            <v>72.7247107047078</v>
          </cell>
        </row>
        <row r="304">
          <cell r="C304">
            <v>45485.23</v>
          </cell>
        </row>
        <row r="304">
          <cell r="L304">
            <v>81.8091971509488</v>
          </cell>
        </row>
        <row r="307">
          <cell r="C307">
            <v>49574.33</v>
          </cell>
        </row>
        <row r="307">
          <cell r="L307">
            <v>91.396965668282</v>
          </cell>
        </row>
        <row r="310">
          <cell r="C310">
            <v>56872.86</v>
          </cell>
        </row>
        <row r="310">
          <cell r="L310">
            <v>98.5254944549653</v>
          </cell>
        </row>
        <row r="313">
          <cell r="C313">
            <v>57057.9</v>
          </cell>
        </row>
        <row r="313">
          <cell r="L313">
            <v>103.065877295007</v>
          </cell>
        </row>
        <row r="316">
          <cell r="C316">
            <v>57918.0549747375</v>
          </cell>
        </row>
        <row r="316">
          <cell r="L316">
            <v>109.159349017426</v>
          </cell>
        </row>
        <row r="319">
          <cell r="C319">
            <v>64479.1100699832</v>
          </cell>
        </row>
        <row r="319">
          <cell r="L319">
            <v>117.079513021069</v>
          </cell>
        </row>
        <row r="322">
          <cell r="C322">
            <v>71260.978128465</v>
          </cell>
        </row>
        <row r="322">
          <cell r="L322">
            <v>124.660411489184</v>
          </cell>
        </row>
        <row r="325">
          <cell r="C325">
            <v>78464.906460794</v>
          </cell>
        </row>
        <row r="325">
          <cell r="L325">
            <v>132.241309957298</v>
          </cell>
        </row>
        <row r="328">
          <cell r="C328">
            <v>85476.867373266</v>
          </cell>
        </row>
        <row r="328">
          <cell r="L328">
            <v>139.822208425412</v>
          </cell>
        </row>
        <row r="331">
          <cell r="C331">
            <v>92841.7245399312</v>
          </cell>
        </row>
        <row r="331">
          <cell r="L331">
            <v>147.403106893526</v>
          </cell>
        </row>
        <row r="334">
          <cell r="C334">
            <v>98859.1500745731</v>
          </cell>
        </row>
        <row r="334">
          <cell r="L334">
            <v>154.625859131309</v>
          </cell>
        </row>
        <row r="337">
          <cell r="C337">
            <v>105036.903339406</v>
          </cell>
        </row>
        <row r="337">
          <cell r="L337">
            <v>161.848611369092</v>
          </cell>
        </row>
        <row r="340">
          <cell r="C340">
            <v>110549.334174532</v>
          </cell>
        </row>
        <row r="340">
          <cell r="L340">
            <v>169.071363606875</v>
          </cell>
        </row>
        <row r="343">
          <cell r="C343">
            <v>116138.720431556</v>
          </cell>
        </row>
        <row r="343">
          <cell r="L343">
            <v>176.294115844657</v>
          </cell>
        </row>
        <row r="346">
          <cell r="C346">
            <v>121495.984963591</v>
          </cell>
        </row>
        <row r="346">
          <cell r="L346">
            <v>183.786615768055</v>
          </cell>
        </row>
        <row r="349">
          <cell r="C349">
            <v>126887.605714009</v>
          </cell>
        </row>
        <row r="349">
          <cell r="L349">
            <v>191.279115691453</v>
          </cell>
        </row>
        <row r="352">
          <cell r="C352">
            <v>132313.58268281</v>
          </cell>
        </row>
        <row r="352">
          <cell r="L352">
            <v>198.771615614851</v>
          </cell>
        </row>
        <row r="355">
          <cell r="C355">
            <v>137773.915869993</v>
          </cell>
        </row>
        <row r="355">
          <cell r="L355">
            <v>206.264115538249</v>
          </cell>
        </row>
        <row r="358">
          <cell r="C358">
            <v>142394.223684599</v>
          </cell>
        </row>
        <row r="358">
          <cell r="L358">
            <v>212.452039004397</v>
          </cell>
        </row>
        <row r="361">
          <cell r="C361">
            <v>147042.905693681</v>
          </cell>
        </row>
        <row r="361">
          <cell r="L361">
            <v>218.639962470544</v>
          </cell>
        </row>
        <row r="364">
          <cell r="C364">
            <v>151719.961897239</v>
          </cell>
        </row>
        <row r="364">
          <cell r="L364">
            <v>224.827885936692</v>
          </cell>
        </row>
        <row r="367">
          <cell r="C367">
            <v>156425.392295273</v>
          </cell>
        </row>
        <row r="367">
          <cell r="L367">
            <v>231.015809402839</v>
          </cell>
        </row>
      </sheetData>
      <sheetData sheetId="8"/>
      <sheetData sheetId="9">
        <row r="274">
          <cell r="C274">
            <v>22285.48</v>
          </cell>
        </row>
        <row r="274">
          <cell r="L274">
            <v>34.2274371921193</v>
          </cell>
        </row>
        <row r="277">
          <cell r="C277">
            <v>23469.98</v>
          </cell>
        </row>
        <row r="277">
          <cell r="L277">
            <v>36.0654421469069</v>
          </cell>
        </row>
        <row r="280">
          <cell r="C280">
            <v>25136.35</v>
          </cell>
        </row>
        <row r="280">
          <cell r="L280">
            <v>37.9112181792914</v>
          </cell>
        </row>
        <row r="283">
          <cell r="C283">
            <v>26301.42</v>
          </cell>
        </row>
        <row r="283">
          <cell r="L283">
            <v>40.2405100148553</v>
          </cell>
        </row>
        <row r="286">
          <cell r="C286">
            <v>28072.31</v>
          </cell>
        </row>
        <row r="286">
          <cell r="L286">
            <v>42.9200162644461</v>
          </cell>
        </row>
        <row r="289">
          <cell r="C289">
            <v>29598.12</v>
          </cell>
        </row>
        <row r="289">
          <cell r="L289">
            <v>46.6926648443865</v>
          </cell>
        </row>
        <row r="292">
          <cell r="C292">
            <v>31523.56</v>
          </cell>
        </row>
        <row r="292">
          <cell r="L292">
            <v>53.2813133314609</v>
          </cell>
        </row>
        <row r="295">
          <cell r="C295">
            <v>34339.61</v>
          </cell>
        </row>
        <row r="295">
          <cell r="L295">
            <v>59.4133384581601</v>
          </cell>
        </row>
        <row r="298">
          <cell r="C298">
            <v>38884.43</v>
          </cell>
        </row>
        <row r="298">
          <cell r="L298">
            <v>66.4111454665113</v>
          </cell>
        </row>
        <row r="301">
          <cell r="C301">
            <v>41584.2</v>
          </cell>
        </row>
        <row r="301">
          <cell r="L301">
            <v>72.7247107047078</v>
          </cell>
        </row>
        <row r="304">
          <cell r="C304">
            <v>45485.23</v>
          </cell>
        </row>
        <row r="304">
          <cell r="L304">
            <v>81.8091971509489</v>
          </cell>
        </row>
        <row r="307">
          <cell r="C307">
            <v>49574.33</v>
          </cell>
        </row>
        <row r="307">
          <cell r="L307">
            <v>91.396965668282</v>
          </cell>
        </row>
        <row r="310">
          <cell r="C310">
            <v>56872.86</v>
          </cell>
        </row>
        <row r="310">
          <cell r="L310">
            <v>98.5254944549653</v>
          </cell>
        </row>
        <row r="313">
          <cell r="C313">
            <v>57057.9</v>
          </cell>
        </row>
        <row r="313">
          <cell r="L313">
            <v>103.878219185017</v>
          </cell>
        </row>
        <row r="316">
          <cell r="C316">
            <v>57918.0549747375</v>
          </cell>
        </row>
        <row r="316">
          <cell r="L316">
            <v>114.614825728601</v>
          </cell>
        </row>
        <row r="319">
          <cell r="C319">
            <v>65285.3539364786</v>
          </cell>
        </row>
        <row r="319">
          <cell r="L319">
            <v>128.2299428326</v>
          </cell>
        </row>
        <row r="322">
          <cell r="C322">
            <v>72581.7123791775</v>
          </cell>
        </row>
        <row r="322">
          <cell r="L322">
            <v>140.443844887405</v>
          </cell>
        </row>
        <row r="325">
          <cell r="C325">
            <v>80083.2211430559</v>
          </cell>
        </row>
        <row r="325">
          <cell r="L325">
            <v>152.65774694221</v>
          </cell>
        </row>
        <row r="328">
          <cell r="C328">
            <v>87140.8537057608</v>
          </cell>
        </row>
        <row r="328">
          <cell r="L328">
            <v>164.871648997015</v>
          </cell>
        </row>
        <row r="331">
          <cell r="C331">
            <v>94300.0883871125</v>
          </cell>
        </row>
        <row r="331">
          <cell r="L331">
            <v>177.08555105182</v>
          </cell>
        </row>
        <row r="334">
          <cell r="C334">
            <v>102102.641742763</v>
          </cell>
        </row>
        <row r="334">
          <cell r="L334">
            <v>191.16385236044</v>
          </cell>
        </row>
        <row r="337">
          <cell r="C337">
            <v>109951.20684986</v>
          </cell>
        </row>
        <row r="337">
          <cell r="L337">
            <v>205.24215366906</v>
          </cell>
        </row>
        <row r="340">
          <cell r="C340">
            <v>117845.989691532</v>
          </cell>
        </row>
        <row r="340">
          <cell r="L340">
            <v>219.320454977679</v>
          </cell>
        </row>
        <row r="343">
          <cell r="C343">
            <v>125787.197073108</v>
          </cell>
        </row>
        <row r="343">
          <cell r="L343">
            <v>233.398756286299</v>
          </cell>
        </row>
        <row r="346">
          <cell r="C346">
            <v>134258.315787701</v>
          </cell>
        </row>
        <row r="346">
          <cell r="L346">
            <v>247.402681663477</v>
          </cell>
        </row>
        <row r="349">
          <cell r="C349">
            <v>142834.025470997</v>
          </cell>
        </row>
        <row r="349">
          <cell r="L349">
            <v>261.406607040655</v>
          </cell>
        </row>
        <row r="352">
          <cell r="C352">
            <v>151514.326122996</v>
          </cell>
        </row>
        <row r="352">
          <cell r="L352">
            <v>275.410532417833</v>
          </cell>
        </row>
        <row r="355">
          <cell r="C355">
            <v>160299.217743698</v>
          </cell>
        </row>
        <row r="355">
          <cell r="L355">
            <v>289.414457795011</v>
          </cell>
        </row>
        <row r="358">
          <cell r="C358">
            <v>168642.090685872</v>
          </cell>
        </row>
        <row r="358">
          <cell r="L358">
            <v>302.438108395786</v>
          </cell>
        </row>
        <row r="361">
          <cell r="C361">
            <v>177082.23322894</v>
          </cell>
        </row>
        <row r="361">
          <cell r="L361">
            <v>315.461758996562</v>
          </cell>
        </row>
        <row r="364">
          <cell r="C364">
            <v>185619.645372901</v>
          </cell>
        </row>
        <row r="364">
          <cell r="L364">
            <v>328.485409597337</v>
          </cell>
        </row>
        <row r="367">
          <cell r="C367">
            <v>194254.327117756</v>
          </cell>
        </row>
        <row r="367">
          <cell r="L367">
            <v>341.509060198113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1"/>
  <sheetViews>
    <sheetView showFormulas="false" showGridLines="true" showRowColHeaders="true" showZeros="true" rightToLeft="false" tabSelected="false" showOutlineSymbols="true" defaultGridColor="true" view="normal" topLeftCell="A67" colorId="64" zoomScale="65" zoomScaleNormal="65" zoomScalePageLayoutView="100" workbookViewId="0">
      <selection pane="topLeft" activeCell="E116" activeCellId="0" sqref="E116"/>
    </sheetView>
  </sheetViews>
  <sheetFormatPr defaultColWidth="11.742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M6" s="0" t="s">
        <v>4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4972208293.2784</v>
      </c>
      <c r="F19" s="6" t="n">
        <f aca="false">E19/$B$14*100</f>
        <v>97.0296026962821</v>
      </c>
      <c r="G19" s="7"/>
      <c r="H19" s="11" t="n">
        <f aca="false">'Central scenario'!BB22</f>
        <v>54.5536421818645</v>
      </c>
      <c r="K19" s="6" t="n">
        <f aca="false">'High scenario'!AG22</f>
        <v>4972208293.2784</v>
      </c>
      <c r="L19" s="6" t="n">
        <f aca="false">K19/$B$14*100</f>
        <v>97.0296026962821</v>
      </c>
      <c r="M19" s="7"/>
      <c r="O19" s="5" t="n">
        <f aca="false">O15+1</f>
        <v>2017</v>
      </c>
      <c r="P19" s="6" t="n">
        <f aca="false">'Low scenario'!AG22</f>
        <v>4972208293.2784</v>
      </c>
      <c r="Q19" s="6" t="n">
        <f aca="false">P19/$B$14*100</f>
        <v>97.0296026962821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5679661013.81294</v>
      </c>
      <c r="F20" s="9" t="n">
        <f aca="false">E20/$B$14*100</f>
        <v>110.835109696595</v>
      </c>
      <c r="G20" s="7"/>
      <c r="H20" s="12" t="n">
        <f aca="false">'Central scenario'!BB23</f>
        <v>49.9198466641054</v>
      </c>
      <c r="K20" s="9" t="n">
        <f aca="false">'High scenario'!AG23</f>
        <v>5679661013.81294</v>
      </c>
      <c r="L20" s="9" t="n">
        <f aca="false">K20/$B$14*100</f>
        <v>110.835109696595</v>
      </c>
      <c r="M20" s="7"/>
      <c r="O20" s="7" t="n">
        <f aca="false">O16+1</f>
        <v>2017</v>
      </c>
      <c r="P20" s="9" t="n">
        <f aca="false">'Low scenario'!AG23</f>
        <v>5679661013.81294</v>
      </c>
      <c r="Q20" s="9" t="n">
        <f aca="false">P20/$B$14*100</f>
        <v>110.835109696595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5261704462.58878</v>
      </c>
      <c r="F21" s="9" t="n">
        <f aca="false">E21/$B$14*100</f>
        <v>102.678943317884</v>
      </c>
      <c r="G21" s="10" t="n">
        <f aca="false">AVERAGE(E19:E22)/AVERAGE(E15:E18)-1</f>
        <v>0.0281850297283728</v>
      </c>
      <c r="H21" s="12" t="n">
        <f aca="false">'Central scenario'!BB24</f>
        <v>50.6467141402216</v>
      </c>
      <c r="K21" s="9" t="n">
        <f aca="false">'High scenario'!AG24</f>
        <v>5261704462.58878</v>
      </c>
      <c r="L21" s="9" t="n">
        <f aca="false">K21/$B$14*100</f>
        <v>102.678943317884</v>
      </c>
      <c r="M21" s="10" t="n">
        <f aca="false">AVERAGE(K19:K22)/AVERAGE(K15:K18)-1</f>
        <v>0.0281850297283728</v>
      </c>
      <c r="O21" s="7" t="n">
        <f aca="false">O17+1</f>
        <v>2017</v>
      </c>
      <c r="P21" s="9" t="n">
        <f aca="false">'Low scenario'!AG24</f>
        <v>5261704462.58878</v>
      </c>
      <c r="Q21" s="9" t="n">
        <f aca="false">P21/$B$14*100</f>
        <v>102.678943317884</v>
      </c>
      <c r="R21" s="10" t="n">
        <f aca="false">AVERAGE(P19:P22)/AVERAGE(P15:P18)-1</f>
        <v>0.0281850297283728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5287041758.04225</v>
      </c>
      <c r="F22" s="9" t="n">
        <f aca="false">E22/$B$14*100</f>
        <v>103.173385136536</v>
      </c>
      <c r="G22" s="7"/>
      <c r="H22" s="12" t="n">
        <f aca="false">'Central scenario'!BB25</f>
        <v>52.5759107757715</v>
      </c>
      <c r="K22" s="9" t="n">
        <f aca="false">'High scenario'!AG25</f>
        <v>5287041758.04225</v>
      </c>
      <c r="L22" s="9" t="n">
        <f aca="false">K22/$B$14*100</f>
        <v>103.173385136536</v>
      </c>
      <c r="M22" s="7"/>
      <c r="O22" s="7" t="n">
        <f aca="false">O18+1</f>
        <v>2017</v>
      </c>
      <c r="P22" s="9" t="n">
        <f aca="false">'Low scenario'!AG25</f>
        <v>5287041758.04225</v>
      </c>
      <c r="Q22" s="9" t="n">
        <f aca="false">P22/$B$14*100</f>
        <v>103.173385136536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5160359434.5937</v>
      </c>
      <c r="F23" s="6" t="n">
        <f aca="false">E23/$B$14*100</f>
        <v>100.701257102506</v>
      </c>
      <c r="G23" s="7"/>
      <c r="H23" s="11" t="n">
        <f aca="false">'Central scenario'!BB26</f>
        <v>51.3153715443761</v>
      </c>
      <c r="K23" s="6" t="n">
        <f aca="false">'High scenario'!AG26</f>
        <v>5160359434.5937</v>
      </c>
      <c r="L23" s="6" t="n">
        <f aca="false">K23/$B$14*100</f>
        <v>100.701257102506</v>
      </c>
      <c r="M23" s="7"/>
      <c r="O23" s="5" t="n">
        <f aca="false">O19+1</f>
        <v>2018</v>
      </c>
      <c r="P23" s="6" t="n">
        <f aca="false">'Low scenario'!AG26</f>
        <v>5160359434.5937</v>
      </c>
      <c r="Q23" s="6" t="n">
        <f aca="false">P23/$B$14*100</f>
        <v>100.701257102506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5453601637.88744</v>
      </c>
      <c r="F24" s="9" t="n">
        <f aca="false">E24/$B$14*100</f>
        <v>106.423699285356</v>
      </c>
      <c r="G24" s="7"/>
      <c r="H24" s="12" t="n">
        <f aca="false">'Central scenario'!BB27</f>
        <v>46.4292581733586</v>
      </c>
      <c r="K24" s="9" t="n">
        <f aca="false">'High scenario'!AG27</f>
        <v>5453601637.88744</v>
      </c>
      <c r="L24" s="9" t="n">
        <f aca="false">K24/$B$14*100</f>
        <v>106.423699285356</v>
      </c>
      <c r="M24" s="7"/>
      <c r="O24" s="7" t="n">
        <f aca="false">O20+1</f>
        <v>2018</v>
      </c>
      <c r="P24" s="9" t="n">
        <f aca="false">'Low scenario'!AG27</f>
        <v>5453601637.88744</v>
      </c>
      <c r="Q24" s="9" t="n">
        <f aca="false">P24/$B$14*100</f>
        <v>106.423699285356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5081850101.88732</v>
      </c>
      <c r="F25" s="9" t="n">
        <f aca="false">E25/$B$14*100</f>
        <v>99.1691955091187</v>
      </c>
      <c r="G25" s="10" t="n">
        <f aca="false">AVERAGE(E23:E26)/AVERAGE(E19:E22)-1</f>
        <v>-0.0256535187698723</v>
      </c>
      <c r="H25" s="12" t="n">
        <f aca="false">'Central scenario'!BB28</f>
        <v>45.5379530641625</v>
      </c>
      <c r="K25" s="9" t="n">
        <f aca="false">'High scenario'!AG28</f>
        <v>5081850101.88732</v>
      </c>
      <c r="L25" s="9" t="n">
        <f aca="false">K25/$B$14*100</f>
        <v>99.1691955091187</v>
      </c>
      <c r="M25" s="10" t="n">
        <f aca="false">AVERAGE(K23:K26)/AVERAGE(K19:K22)-1</f>
        <v>-0.0256535187698723</v>
      </c>
      <c r="O25" s="7" t="n">
        <f aca="false">O21+1</f>
        <v>2018</v>
      </c>
      <c r="P25" s="9" t="n">
        <f aca="false">'Low scenario'!AG28</f>
        <v>5081850101.88732</v>
      </c>
      <c r="Q25" s="9" t="n">
        <f aca="false">P25/$B$14*100</f>
        <v>99.1691955091187</v>
      </c>
      <c r="R25" s="10" t="n">
        <f aca="false">AVERAGE(P23:P26)/AVERAGE(P19:P22)-1</f>
        <v>-0.0256535187698723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4960933964.98063</v>
      </c>
      <c r="F26" s="9" t="n">
        <f aca="false">E26/$B$14*100</f>
        <v>96.8095910775255</v>
      </c>
      <c r="G26" s="7"/>
      <c r="H26" s="12" t="n">
        <f aca="false">'Central scenario'!BB29</f>
        <v>47.1428829501671</v>
      </c>
      <c r="K26" s="9" t="n">
        <f aca="false">'High scenario'!AG29</f>
        <v>4960933964.98063</v>
      </c>
      <c r="L26" s="9" t="n">
        <f aca="false">K26/$B$14*100</f>
        <v>96.8095910775255</v>
      </c>
      <c r="M26" s="7"/>
      <c r="O26" s="7" t="n">
        <f aca="false">O22+1</f>
        <v>2018</v>
      </c>
      <c r="P26" s="9" t="n">
        <f aca="false">'Low scenario'!AG29</f>
        <v>4960933964.98063</v>
      </c>
      <c r="Q26" s="9" t="n">
        <f aca="false">P26/$B$14*100</f>
        <v>96.8095910775255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4855658150.41326</v>
      </c>
      <c r="F27" s="6" t="n">
        <f aca="false">E27/$B$14*100</f>
        <v>94.7551979671628</v>
      </c>
      <c r="G27" s="7"/>
      <c r="H27" s="11" t="n">
        <f aca="false">'Central scenario'!BB30</f>
        <v>48.2222149172159</v>
      </c>
      <c r="K27" s="6" t="n">
        <f aca="false">'High scenario'!AG30</f>
        <v>4855658150.41326</v>
      </c>
      <c r="L27" s="6" t="n">
        <f aca="false">K27/$B$14*100</f>
        <v>94.7551979671628</v>
      </c>
      <c r="M27" s="7"/>
      <c r="O27" s="5" t="n">
        <f aca="false">O23+1</f>
        <v>2019</v>
      </c>
      <c r="P27" s="6" t="n">
        <f aca="false">'Low scenario'!AG30</f>
        <v>4855658150.41326</v>
      </c>
      <c r="Q27" s="6" t="n">
        <f aca="false">P27/$B$14*100</f>
        <v>94.7551979671628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5473914129.94675</v>
      </c>
      <c r="F28" s="9" t="n">
        <f aca="false">E28/$B$14*100</f>
        <v>106.820085140098</v>
      </c>
      <c r="G28" s="7"/>
      <c r="H28" s="12" t="n">
        <f aca="false">'Central scenario'!BB31</f>
        <v>42.7303296573139</v>
      </c>
      <c r="K28" s="9" t="n">
        <f aca="false">'High scenario'!AG31</f>
        <v>5473914129.94675</v>
      </c>
      <c r="L28" s="9" t="n">
        <f aca="false">K28/$B$14*100</f>
        <v>106.820085140098</v>
      </c>
      <c r="M28" s="7"/>
      <c r="O28" s="7" t="n">
        <f aca="false">O24+1</f>
        <v>2019</v>
      </c>
      <c r="P28" s="9" t="n">
        <f aca="false">'Low scenario'!AG31</f>
        <v>5473914129.94675</v>
      </c>
      <c r="Q28" s="9" t="n">
        <f aca="false">P28/$B$14*100</f>
        <v>106.820085140098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4989339116.60385</v>
      </c>
      <c r="F29" s="9" t="n">
        <f aca="false">E29/$B$14*100</f>
        <v>97.3639002323238</v>
      </c>
      <c r="G29" s="10" t="n">
        <f aca="false">AVERAGE(E27:E30)/AVERAGE(E23:E26)-1</f>
        <v>-0.0208801486349116</v>
      </c>
      <c r="H29" s="12" t="n">
        <f aca="false">'Central scenario'!BB32</f>
        <v>45.1393247714544</v>
      </c>
      <c r="K29" s="9" t="n">
        <f aca="false">'High scenario'!AG32</f>
        <v>4989339116.60385</v>
      </c>
      <c r="L29" s="9" t="n">
        <f aca="false">K29/$B$14*100</f>
        <v>97.3639002323238</v>
      </c>
      <c r="M29" s="10" t="n">
        <f aca="false">AVERAGE(K27:K30)/AVERAGE(K23:K26)-1</f>
        <v>-0.0208801486349116</v>
      </c>
      <c r="O29" s="7" t="n">
        <f aca="false">O25+1</f>
        <v>2019</v>
      </c>
      <c r="P29" s="9" t="n">
        <f aca="false">'Low scenario'!AG32</f>
        <v>4989339116.60385</v>
      </c>
      <c r="Q29" s="9" t="n">
        <f aca="false">P29/$B$14*100</f>
        <v>97.3639002323238</v>
      </c>
      <c r="R29" s="10" t="n">
        <f aca="false">AVERAGE(P27:P30)/AVERAGE(P23:P26)-1</f>
        <v>-0.0208801486349116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4906517833.56213</v>
      </c>
      <c r="F30" s="9" t="n">
        <f aca="false">E30/$B$14*100</f>
        <v>95.7476935663242</v>
      </c>
      <c r="G30" s="7"/>
      <c r="H30" s="12" t="n">
        <f aca="false">'Central scenario'!BB33</f>
        <v>45.6642623283349</v>
      </c>
      <c r="K30" s="9" t="n">
        <f aca="false">'High scenario'!AG33</f>
        <v>4906517833.56213</v>
      </c>
      <c r="L30" s="9" t="n">
        <f aca="false">K30/$B$14*100</f>
        <v>95.7476935663242</v>
      </c>
      <c r="M30" s="7"/>
      <c r="O30" s="7" t="n">
        <f aca="false">O26+1</f>
        <v>2019</v>
      </c>
      <c r="P30" s="9" t="n">
        <f aca="false">'Low scenario'!AG33</f>
        <v>4906517833.56213</v>
      </c>
      <c r="Q30" s="9" t="n">
        <f aca="false">P30/$B$14*100</f>
        <v>95.7476935663242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4592447932.43736</v>
      </c>
      <c r="F31" s="6" t="n">
        <f aca="false">E31/$B$14*100</f>
        <v>89.6188116033154</v>
      </c>
      <c r="G31" s="7"/>
      <c r="H31" s="11" t="n">
        <f aca="false">'Central scenario'!BB34</f>
        <v>45.9981967462512</v>
      </c>
      <c r="K31" s="6" t="n">
        <f aca="false">'High scenario'!AG34</f>
        <v>4592447932.43736</v>
      </c>
      <c r="L31" s="6" t="n">
        <f aca="false">K31/$B$14*100</f>
        <v>89.6188116033154</v>
      </c>
      <c r="M31" s="7"/>
      <c r="O31" s="5" t="n">
        <f aca="false">O27+1</f>
        <v>2020</v>
      </c>
      <c r="P31" s="6" t="n">
        <f aca="false">'Low scenario'!AG34</f>
        <v>4592447932.43736</v>
      </c>
      <c r="Q31" s="6" t="n">
        <f aca="false">P31/$B$14*100</f>
        <v>89.6188116033154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4305412222.71334</v>
      </c>
      <c r="F32" s="9" t="n">
        <f aca="false">E32/$B$14*100</f>
        <v>84.0174853451584</v>
      </c>
      <c r="G32" s="7"/>
      <c r="H32" s="12" t="n">
        <f aca="false">'Central scenario'!BB35</f>
        <v>46.3321311641675</v>
      </c>
      <c r="K32" s="9" t="n">
        <f aca="false">'High scenario'!AG35</f>
        <v>4369993406.05404</v>
      </c>
      <c r="L32" s="9" t="n">
        <f aca="false">K32/$B$14*100</f>
        <v>85.2777476253358</v>
      </c>
      <c r="M32" s="7"/>
      <c r="O32" s="7" t="n">
        <f aca="false">O28+1</f>
        <v>2020</v>
      </c>
      <c r="P32" s="9" t="n">
        <f aca="false">'Low scenario'!AG35</f>
        <v>4359378131.4839</v>
      </c>
      <c r="Q32" s="9" t="n">
        <f aca="false">P32/$B$14*100</f>
        <v>85.0705970368445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4254757137.80492</v>
      </c>
      <c r="F33" s="9" t="n">
        <f aca="false">E33/$B$14*100</f>
        <v>83.0289823554796</v>
      </c>
      <c r="G33" s="10" t="n">
        <f aca="false">AVERAGE(E31:E34)/AVERAGE(E27:E30)-1</f>
        <v>-0.12371581755656</v>
      </c>
      <c r="H33" s="12" t="n">
        <f aca="false">'Central scenario'!BB36</f>
        <v>46.6660655820837</v>
      </c>
      <c r="K33" s="9" t="n">
        <f aca="false">'High scenario'!AG36</f>
        <v>4339852280.56101</v>
      </c>
      <c r="L33" s="9" t="n">
        <f aca="false">K33/$B$14*100</f>
        <v>84.6895620025892</v>
      </c>
      <c r="M33" s="10" t="n">
        <f aca="false">AVERAGE(K31:K34)/AVERAGE(K27:K30)-1</f>
        <v>-0.111795751393979</v>
      </c>
      <c r="O33" s="7" t="n">
        <f aca="false">O29+1</f>
        <v>2020</v>
      </c>
      <c r="P33" s="9" t="n">
        <f aca="false">'Low scenario'!AG36</f>
        <v>4377703389.93153</v>
      </c>
      <c r="Q33" s="9" t="n">
        <f aca="false">P33/$B$14*100</f>
        <v>85.4282032435041</v>
      </c>
      <c r="R33" s="10" t="n">
        <f aca="false">AVERAGE(P31:P34)/AVERAGE(P27:P30)-1</f>
        <v>-0.114426462264863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4570606424.8835</v>
      </c>
      <c r="F34" s="9" t="n">
        <f aca="false">E34/$B$14*100</f>
        <v>89.1925879466952</v>
      </c>
      <c r="G34" s="7"/>
      <c r="H34" s="12" t="n">
        <f aca="false">'Central scenario'!BB37</f>
        <v>47</v>
      </c>
      <c r="K34" s="9" t="n">
        <f aca="false">'High scenario'!AG37</f>
        <v>4662018553.38117</v>
      </c>
      <c r="L34" s="9" t="n">
        <f aca="false">K34/$B$14*100</f>
        <v>90.9764397056291</v>
      </c>
      <c r="M34" s="7"/>
      <c r="O34" s="7" t="n">
        <f aca="false">O30+1</f>
        <v>2020</v>
      </c>
      <c r="P34" s="9" t="n">
        <f aca="false">'Low scenario'!AG37</f>
        <v>4581575462.03578</v>
      </c>
      <c r="Q34" s="9" t="n">
        <f aca="false">P34/$B$14*100</f>
        <v>89.406641995534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4549709618.02388</v>
      </c>
      <c r="F35" s="6" t="n">
        <f aca="false">E35/$B$14*100</f>
        <v>88.7847995461265</v>
      </c>
      <c r="G35" s="7"/>
      <c r="H35" s="11" t="n">
        <f aca="false">'Central scenario'!BB38</f>
        <v>48</v>
      </c>
      <c r="K35" s="6" t="n">
        <f aca="false">'High scenario'!AG38</f>
        <v>4708949454.65471</v>
      </c>
      <c r="L35" s="6" t="n">
        <f aca="false">K35/$B$14*100</f>
        <v>91.8922675302409</v>
      </c>
      <c r="M35" s="7"/>
      <c r="O35" s="5" t="n">
        <f aca="false">O31+1</f>
        <v>2021</v>
      </c>
      <c r="P35" s="6" t="n">
        <f aca="false">'Low scenario'!AG38</f>
        <v>4425577745.23945</v>
      </c>
      <c r="Q35" s="6" t="n">
        <f aca="false">P35/$B$14*100</f>
        <v>86.3624419963633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5260625875.71462</v>
      </c>
      <c r="F36" s="9" t="n">
        <f aca="false">E36/$B$14*100</f>
        <v>102.657895354947</v>
      </c>
      <c r="G36" s="7"/>
      <c r="H36" s="12" t="n">
        <f aca="false">'Central scenario'!BB39</f>
        <v>49</v>
      </c>
      <c r="K36" s="9" t="n">
        <f aca="false">'High scenario'!AG39</f>
        <v>5431596216.67535</v>
      </c>
      <c r="L36" s="9" t="n">
        <f aca="false">K36/$B$14*100</f>
        <v>105.994276953982</v>
      </c>
      <c r="M36" s="7"/>
      <c r="O36" s="7" t="n">
        <f aca="false">O32+1</f>
        <v>2021</v>
      </c>
      <c r="P36" s="9" t="n">
        <f aca="false">'Low scenario'!AG39</f>
        <v>5095299336.25008</v>
      </c>
      <c r="Q36" s="9" t="n">
        <f aca="false">P36/$B$14*100</f>
        <v>99.4316490890606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4910610290.71305</v>
      </c>
      <c r="F37" s="9" t="n">
        <f aca="false">E37/$B$14*100</f>
        <v>95.8275553637358</v>
      </c>
      <c r="G37" s="10" t="n">
        <f aca="false">AVERAGE(E35:E38)/AVERAGE(E31:E34)-1</f>
        <v>0.108448659425643</v>
      </c>
      <c r="H37" s="12" t="n">
        <f aca="false">'Central scenario'!BB40</f>
        <v>50</v>
      </c>
      <c r="K37" s="9" t="n">
        <f aca="false">'High scenario'!AG40</f>
        <v>5070205125.16123</v>
      </c>
      <c r="L37" s="9" t="n">
        <f aca="false">K37/$B$14*100</f>
        <v>98.9419509130572</v>
      </c>
      <c r="M37" s="10" t="n">
        <f aca="false">AVERAGE(K35:K38)/AVERAGE(K31:K34)-1</f>
        <v>0.130432393423964</v>
      </c>
      <c r="O37" s="7" t="n">
        <f aca="false">O33+1</f>
        <v>2021</v>
      </c>
      <c r="P37" s="9" t="n">
        <f aca="false">'Low scenario'!AG40</f>
        <v>4794770071.61991</v>
      </c>
      <c r="Q37" s="9" t="n">
        <f aca="false">P37/$B$14*100</f>
        <v>93.567004362674</v>
      </c>
      <c r="R37" s="10" t="n">
        <f aca="false">AVERAGE(P35:P38)/AVERAGE(P31:P34)-1</f>
        <v>0.0674397835625984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4924337786.28798</v>
      </c>
      <c r="F38" s="9" t="n">
        <f aca="false">E38/$B$14*100</f>
        <v>96.0954390409845</v>
      </c>
      <c r="G38" s="7"/>
      <c r="H38" s="12" t="n">
        <f aca="false">'Central scenario'!BB41</f>
        <v>51</v>
      </c>
      <c r="K38" s="9" t="n">
        <f aca="false">'High scenario'!AG41</f>
        <v>5096689608.80805</v>
      </c>
      <c r="L38" s="9" t="n">
        <f aca="false">K38/$B$14*100</f>
        <v>99.4587794074189</v>
      </c>
      <c r="M38" s="7"/>
      <c r="O38" s="7" t="n">
        <f aca="false">O34+1</f>
        <v>2021</v>
      </c>
      <c r="P38" s="9" t="n">
        <f aca="false">'Low scenario'!AG41</f>
        <v>4803378801.67364</v>
      </c>
      <c r="Q38" s="9" t="n">
        <f aca="false">P38/$B$14*100</f>
        <v>93.7349984625918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4810204931.47405</v>
      </c>
      <c r="F39" s="6" t="n">
        <f aca="false">E39/$B$14*100</f>
        <v>93.8682062092146</v>
      </c>
      <c r="G39" s="7"/>
      <c r="H39" s="11" t="n">
        <f aca="false">'Central scenario'!BB42</f>
        <v>51.125</v>
      </c>
      <c r="K39" s="6" t="n">
        <f aca="false">'High scenario'!AG42</f>
        <v>5026664153.39038</v>
      </c>
      <c r="L39" s="6" t="n">
        <f aca="false">K39/$B$14*100</f>
        <v>98.0922754886293</v>
      </c>
      <c r="M39" s="7"/>
      <c r="O39" s="5" t="n">
        <f aca="false">O35+1</f>
        <v>2022</v>
      </c>
      <c r="P39" s="6" t="n">
        <f aca="false">'Low scenario'!AG42</f>
        <v>4641355284.00175</v>
      </c>
      <c r="Q39" s="6" t="n">
        <f aca="false">P39/$B$14*100</f>
        <v>90.5732086461014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5551103673.21321</v>
      </c>
      <c r="F40" s="9" t="n">
        <f aca="false">E40/$B$14*100</f>
        <v>108.326391850051</v>
      </c>
      <c r="G40" s="7"/>
      <c r="H40" s="12" t="n">
        <f aca="false">'Central scenario'!BB43</f>
        <v>51.25</v>
      </c>
      <c r="K40" s="9" t="n">
        <f aca="false">'High scenario'!AG43</f>
        <v>5800903338.5078</v>
      </c>
      <c r="L40" s="9" t="n">
        <f aca="false">K40/$B$14*100</f>
        <v>113.201079483303</v>
      </c>
      <c r="M40" s="7"/>
      <c r="O40" s="7" t="n">
        <f aca="false">O36+1</f>
        <v>2022</v>
      </c>
      <c r="P40" s="9" t="n">
        <f aca="false">'Low scenario'!AG43</f>
        <v>5356246715.62891</v>
      </c>
      <c r="Q40" s="9" t="n">
        <f aca="false">P40/$B$14*100</f>
        <v>104.523877542159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5144754762.74662</v>
      </c>
      <c r="F41" s="9" t="n">
        <f aca="false">E41/$B$14*100</f>
        <v>100.396741478819</v>
      </c>
      <c r="G41" s="10" t="n">
        <f aca="false">AVERAGE(E39:E42)/AVERAGE(E35:E38)-1</f>
        <v>0.0512176261987731</v>
      </c>
      <c r="H41" s="12" t="n">
        <f aca="false">'Central scenario'!BB44</f>
        <v>51.375</v>
      </c>
      <c r="K41" s="9" t="n">
        <f aca="false">'High scenario'!AG44</f>
        <v>5363406840.16335</v>
      </c>
      <c r="L41" s="9" t="n">
        <f aca="false">K41/$B$14*100</f>
        <v>104.663602991669</v>
      </c>
      <c r="M41" s="10" t="n">
        <f aca="false">AVERAGE(K39:K42)/AVERAGE(K35:K38)-1</f>
        <v>0.0614365280852347</v>
      </c>
      <c r="O41" s="7" t="n">
        <f aca="false">O37+1</f>
        <v>2022</v>
      </c>
      <c r="P41" s="9" t="n">
        <f aca="false">'Low scenario'!AG44</f>
        <v>4938306611.1094</v>
      </c>
      <c r="Q41" s="9" t="n">
        <f aca="false">P41/$B$14*100</f>
        <v>96.3680321108261</v>
      </c>
      <c r="R41" s="10" t="n">
        <f aca="false">AVERAGE(P39:P42)/AVERAGE(P35:P38)-1</f>
        <v>0.038179514545879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5145404993.80068</v>
      </c>
      <c r="F42" s="9" t="n">
        <f aca="false">E42/$B$14*100</f>
        <v>100.409430340008</v>
      </c>
      <c r="G42" s="7"/>
      <c r="H42" s="12" t="n">
        <f aca="false">'Central scenario'!BB45</f>
        <v>51.5</v>
      </c>
      <c r="K42" s="9" t="n">
        <f aca="false">'High scenario'!AG45</f>
        <v>5364084706.03721</v>
      </c>
      <c r="L42" s="9" t="n">
        <f aca="false">K42/$B$14*100</f>
        <v>104.676831129458</v>
      </c>
      <c r="M42" s="7"/>
      <c r="O42" s="7" t="n">
        <f aca="false">O38+1</f>
        <v>2022</v>
      </c>
      <c r="P42" s="9" t="n">
        <f aca="false">'Low scenario'!AG45</f>
        <v>4913072473.58669</v>
      </c>
      <c r="Q42" s="9" t="n">
        <f aca="false">P42/$B$14*100</f>
        <v>95.875603356077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5024226156.91977</v>
      </c>
      <c r="F43" s="6" t="n">
        <f aca="false">E43/$B$14*100</f>
        <v>98.0446994791451</v>
      </c>
      <c r="G43" s="7"/>
      <c r="H43" s="11" t="n">
        <f aca="false">'Central scenario'!BB46</f>
        <v>51.625</v>
      </c>
      <c r="K43" s="6" t="n">
        <f aca="false">'High scenario'!AG46</f>
        <v>5300558595.55035</v>
      </c>
      <c r="L43" s="6" t="n">
        <f aca="false">K43/$B$14*100</f>
        <v>103.437157950498</v>
      </c>
      <c r="M43" s="7"/>
      <c r="O43" s="5" t="n">
        <f aca="false">O39+1</f>
        <v>2023</v>
      </c>
      <c r="P43" s="6" t="n">
        <f aca="false">'Low scenario'!AG46</f>
        <v>5049858182.07592</v>
      </c>
      <c r="Q43" s="6" t="n">
        <f aca="false">P43/$B$14*100</f>
        <v>98.544892767621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5777224878.94163</v>
      </c>
      <c r="F44" s="9" t="n">
        <f aca="false">E44/$B$14*100</f>
        <v>112.739008832066</v>
      </c>
      <c r="G44" s="7"/>
      <c r="H44" s="12" t="n">
        <f aca="false">'Central scenario'!BB47</f>
        <v>51.75</v>
      </c>
      <c r="K44" s="9" t="n">
        <f aca="false">'High scenario'!AG47</f>
        <v>6066086122.88871</v>
      </c>
      <c r="L44" s="9" t="n">
        <f aca="false">K44/$B$14*100</f>
        <v>118.375959273669</v>
      </c>
      <c r="M44" s="7"/>
      <c r="O44" s="7" t="n">
        <f aca="false">O40+1</f>
        <v>2023</v>
      </c>
      <c r="P44" s="9" t="n">
        <f aca="false">'Low scenario'!AG47</f>
        <v>5806698467.27242</v>
      </c>
      <c r="Q44" s="9" t="n">
        <f aca="false">P44/$B$14*100</f>
        <v>113.31416787551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5342126859.21334</v>
      </c>
      <c r="F45" s="9" t="n">
        <f aca="false">E45/$B$14*100</f>
        <v>104.248337183163</v>
      </c>
      <c r="G45" s="10" t="n">
        <f aca="false">AVERAGE(E43:E46)/AVERAGE(E39:E42)-1</f>
        <v>0.0398097115008853</v>
      </c>
      <c r="H45" s="12" t="n">
        <f aca="false">'Central scenario'!BB48</f>
        <v>51.875</v>
      </c>
      <c r="K45" s="9" t="n">
        <f aca="false">'High scenario'!AG48</f>
        <v>5609233202.17401</v>
      </c>
      <c r="L45" s="9" t="n">
        <f aca="false">K45/$B$14*100</f>
        <v>109.460754042322</v>
      </c>
      <c r="M45" s="10" t="n">
        <f aca="false">AVERAGE(K43:K46)/AVERAGE(K39:K42)-1</f>
        <v>0.0478154277483811</v>
      </c>
      <c r="O45" s="7" t="n">
        <f aca="false">O41+1</f>
        <v>2023</v>
      </c>
      <c r="P45" s="9" t="n">
        <f aca="false">'Low scenario'!AG48</f>
        <v>5369380713.98941</v>
      </c>
      <c r="Q45" s="9" t="n">
        <f aca="false">P45/$B$14*100</f>
        <v>104.780179484388</v>
      </c>
      <c r="R45" s="10" t="n">
        <f aca="false">AVERAGE(P43:P46)/AVERAGE(P39:P42)-1</f>
        <v>0.087368103278318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5330019463.69023</v>
      </c>
      <c r="F46" s="9" t="n">
        <f aca="false">E46/$B$14*100</f>
        <v>104.0120687672</v>
      </c>
      <c r="G46" s="7"/>
      <c r="H46" s="12" t="n">
        <f aca="false">'Central scenario'!BB49</f>
        <v>52</v>
      </c>
      <c r="K46" s="9" t="n">
        <f aca="false">'High scenario'!AG49</f>
        <v>5609845485.53397</v>
      </c>
      <c r="L46" s="9" t="n">
        <f aca="false">K46/$B$14*100</f>
        <v>109.472702377478</v>
      </c>
      <c r="M46" s="7"/>
      <c r="O46" s="7" t="n">
        <f aca="false">O42+1</f>
        <v>2023</v>
      </c>
      <c r="P46" s="9" t="n">
        <f aca="false">'Low scenario'!AG49</f>
        <v>5357211550.33384</v>
      </c>
      <c r="Q46" s="9" t="n">
        <f aca="false">P46/$B$14*100</f>
        <v>104.542705701111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5199198453.89296</v>
      </c>
      <c r="F47" s="6" t="n">
        <f aca="false">E47/$B$14*100</f>
        <v>101.459176801247</v>
      </c>
      <c r="G47" s="7"/>
      <c r="H47" s="11" t="n">
        <f aca="false">'Central scenario'!BB50</f>
        <v>52</v>
      </c>
      <c r="K47" s="6" t="n">
        <f aca="false">'High scenario'!AG50</f>
        <v>5511150361.12654</v>
      </c>
      <c r="L47" s="6" t="n">
        <f aca="false">K47/$B$14*100</f>
        <v>107.546727409322</v>
      </c>
      <c r="M47" s="7"/>
      <c r="O47" s="5" t="n">
        <f aca="false">O43+1</f>
        <v>2024</v>
      </c>
      <c r="P47" s="6" t="n">
        <f aca="false">'Low scenario'!AG50</f>
        <v>5225723132.79867</v>
      </c>
      <c r="Q47" s="6" t="n">
        <f aca="false">P47/$B$14*100</f>
        <v>101.976789681493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5949468934.79935</v>
      </c>
      <c r="F48" s="9" t="n">
        <f aca="false">E48/$B$14*100</f>
        <v>116.100246198019</v>
      </c>
      <c r="G48" s="7"/>
      <c r="H48" s="12" t="n">
        <f aca="false">'Central scenario'!BB51</f>
        <v>52</v>
      </c>
      <c r="K48" s="9" t="n">
        <f aca="false">'High scenario'!AG51</f>
        <v>6306437070.88731</v>
      </c>
      <c r="L48" s="9" t="n">
        <f aca="false">K48/$B$14*100</f>
        <v>123.0662609699</v>
      </c>
      <c r="M48" s="7"/>
      <c r="O48" s="7" t="n">
        <f aca="false">O44+1</f>
        <v>2024</v>
      </c>
      <c r="P48" s="9" t="n">
        <f aca="false">'Low scenario'!AG51</f>
        <v>5979821258.24969</v>
      </c>
      <c r="Q48" s="9" t="n">
        <f aca="false">P48/$B$14*100</f>
        <v>116.692553219685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5511795093.09097</v>
      </c>
      <c r="F49" s="9" t="n">
        <f aca="false">E49/$B$14*100</f>
        <v>107.559308959141</v>
      </c>
      <c r="G49" s="10" t="n">
        <f aca="false">AVERAGE(E47:E50)/AVERAGE(E43:E46)-1</f>
        <v>0.031826561119259</v>
      </c>
      <c r="H49" s="12" t="n">
        <f aca="false">'Central scenario'!BB52</f>
        <v>52</v>
      </c>
      <c r="K49" s="9" t="n">
        <f aca="false">'High scenario'!AG52</f>
        <v>5814943823.21097</v>
      </c>
      <c r="L49" s="9" t="n">
        <f aca="false">K49/$B$14*100</f>
        <v>113.475070951894</v>
      </c>
      <c r="M49" s="10" t="n">
        <f aca="false">AVERAGE(K47:K50)/AVERAGE(K43:K46)-1</f>
        <v>0.0380517370841205</v>
      </c>
      <c r="O49" s="7" t="n">
        <f aca="false">O45+1</f>
        <v>2024</v>
      </c>
      <c r="P49" s="9" t="n">
        <f aca="false">'Low scenario'!AG52</f>
        <v>5539914541.95118</v>
      </c>
      <c r="Q49" s="9" t="n">
        <f aca="false">P49/$B$14*100</f>
        <v>108.108042799321</v>
      </c>
      <c r="R49" s="10" t="n">
        <f aca="false">AVERAGE(P47:P50)/AVERAGE(P43:P46)-1</f>
        <v>0.0318265611192561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5496565635.77078</v>
      </c>
      <c r="F50" s="9" t="n">
        <f aca="false">E50/$B$14*100</f>
        <v>107.262115417379</v>
      </c>
      <c r="G50" s="7"/>
      <c r="H50" s="7" t="n">
        <v>52</v>
      </c>
      <c r="K50" s="9" t="n">
        <f aca="false">'High scenario'!AG53</f>
        <v>5812618159.82759</v>
      </c>
      <c r="L50" s="9" t="n">
        <f aca="false">K50/$B$14*100</f>
        <v>113.429687053878</v>
      </c>
      <c r="M50" s="7"/>
      <c r="O50" s="7" t="n">
        <f aca="false">O46+1</f>
        <v>2024</v>
      </c>
      <c r="P50" s="9" t="n">
        <f aca="false">'Low scenario'!AG53</f>
        <v>5524607388.71903</v>
      </c>
      <c r="Q50" s="9" t="n">
        <f aca="false">P50/$B$14*100</f>
        <v>107.809333069374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5559469197.19228</v>
      </c>
      <c r="F51" s="6" t="n">
        <f aca="false">E51/$B$14*100</f>
        <v>108.489639932223</v>
      </c>
      <c r="G51" s="7"/>
      <c r="H51" s="3" t="n">
        <f aca="false">H50</f>
        <v>52</v>
      </c>
      <c r="K51" s="6" t="n">
        <f aca="false">'High scenario'!AG54</f>
        <v>5905568242.55342</v>
      </c>
      <c r="L51" s="6" t="n">
        <f aca="false">K51/$B$14*100</f>
        <v>115.243551048608</v>
      </c>
      <c r="M51" s="7"/>
      <c r="O51" s="5" t="n">
        <f aca="false">O47+1</f>
        <v>2025</v>
      </c>
      <c r="P51" s="6" t="n">
        <f aca="false">'Low scenario'!AG54</f>
        <v>5590571666.81461</v>
      </c>
      <c r="Q51" s="6" t="n">
        <f aca="false">P51/$B$14*100</f>
        <v>109.096585597473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5628048284.93529</v>
      </c>
      <c r="F52" s="9" t="n">
        <f aca="false">E52/$B$14*100</f>
        <v>109.827918870773</v>
      </c>
      <c r="G52" s="7"/>
      <c r="H52" s="3" t="n">
        <f aca="false">H51</f>
        <v>52</v>
      </c>
      <c r="K52" s="9" t="n">
        <f aca="false">'High scenario'!AG55</f>
        <v>5961357546.87916</v>
      </c>
      <c r="L52" s="9" t="n">
        <f aca="false">K52/$B$14*100</f>
        <v>116.332245188945</v>
      </c>
      <c r="M52" s="7"/>
      <c r="O52" s="7" t="n">
        <f aca="false">O48+1</f>
        <v>2025</v>
      </c>
      <c r="P52" s="9" t="n">
        <f aca="false">'Low scenario'!AG55</f>
        <v>5625792764.24038</v>
      </c>
      <c r="Q52" s="9" t="n">
        <f aca="false">P52/$B$14*100</f>
        <v>109.783903764407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5667939581.00566</v>
      </c>
      <c r="F53" s="9" t="n">
        <f aca="false">E53/$B$14*100</f>
        <v>110.606373106888</v>
      </c>
      <c r="G53" s="10" t="n">
        <f aca="false">AVERAGE(E51:E54)/AVERAGE(E47:E50)-1</f>
        <v>0.0199182956823416</v>
      </c>
      <c r="H53" s="3" t="n">
        <f aca="false">H52</f>
        <v>52</v>
      </c>
      <c r="K53" s="9" t="n">
        <f aca="false">'High scenario'!AG56</f>
        <v>5995672221.48736</v>
      </c>
      <c r="L53" s="9" t="n">
        <f aca="false">K53/$B$14*100</f>
        <v>117.001875069171</v>
      </c>
      <c r="M53" s="10" t="n">
        <f aca="false">AVERAGE(K51:K54)/AVERAGE(K47:K50)-1</f>
        <v>0.0190631070365317</v>
      </c>
      <c r="O53" s="7" t="n">
        <f aca="false">O49+1</f>
        <v>2025</v>
      </c>
      <c r="P53" s="9" t="n">
        <f aca="false">'Low scenario'!AG56</f>
        <v>5678104117.00031</v>
      </c>
      <c r="Q53" s="9" t="n">
        <f aca="false">P53/$B$14*100</f>
        <v>110.804727807853</v>
      </c>
      <c r="R53" s="10" t="n">
        <f aca="false">AVERAGE(P51:P54)/AVERAGE(P47:P50)-1</f>
        <v>0.0162316448411721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5742901291.90824</v>
      </c>
      <c r="F54" s="9" t="n">
        <f aca="false">E54/$B$14*100</f>
        <v>112.069205031315</v>
      </c>
      <c r="G54" s="7"/>
      <c r="H54" s="3" t="n">
        <f aca="false">H53</f>
        <v>52</v>
      </c>
      <c r="K54" s="9" t="n">
        <f aca="false">'High scenario'!AG57</f>
        <v>6029488796.91911</v>
      </c>
      <c r="L54" s="9" t="n">
        <f aca="false">K54/$B$14*100</f>
        <v>117.66178484872</v>
      </c>
      <c r="M54" s="7"/>
      <c r="O54" s="7" t="n">
        <f aca="false">O50+1</f>
        <v>2025</v>
      </c>
      <c r="P54" s="9" t="n">
        <f aca="false">'Low scenario'!AG57</f>
        <v>5737077580.78675</v>
      </c>
      <c r="Q54" s="9" t="n">
        <f aca="false">P54/$B$14*100</f>
        <v>111.955558871901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5797851987.55469</v>
      </c>
      <c r="F55" s="6" t="n">
        <f aca="false">E55/$B$14*100</f>
        <v>113.141534236362</v>
      </c>
      <c r="G55" s="7"/>
      <c r="H55" s="3" t="n">
        <f aca="false">H54</f>
        <v>52</v>
      </c>
      <c r="K55" s="6" t="n">
        <f aca="false">'High scenario'!AG58</f>
        <v>6116470707.21039</v>
      </c>
      <c r="L55" s="6" t="n">
        <f aca="false">K55/$B$14*100</f>
        <v>119.359183609898</v>
      </c>
      <c r="M55" s="7"/>
      <c r="O55" s="5" t="n">
        <f aca="false">O51+1</f>
        <v>2026</v>
      </c>
      <c r="P55" s="6" t="n">
        <f aca="false">'Low scenario'!AG58</f>
        <v>5806881195.65507</v>
      </c>
      <c r="Q55" s="6" t="n">
        <f aca="false">P55/$B$14*100</f>
        <v>113.317733708099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5840854176.553</v>
      </c>
      <c r="F56" s="9" t="n">
        <f aca="false">E56/$B$14*100</f>
        <v>113.980695644628</v>
      </c>
      <c r="G56" s="7"/>
      <c r="H56" s="3" t="n">
        <f aca="false">H55</f>
        <v>52</v>
      </c>
      <c r="K56" s="9" t="n">
        <f aca="false">'High scenario'!AG59</f>
        <v>6185202945.94176</v>
      </c>
      <c r="L56" s="9" t="n">
        <f aca="false">K56/$B$14*100</f>
        <v>120.700451196283</v>
      </c>
      <c r="M56" s="7"/>
      <c r="O56" s="7" t="n">
        <f aca="false">O52+1</f>
        <v>2026</v>
      </c>
      <c r="P56" s="9" t="n">
        <f aca="false">'Low scenario'!AG59</f>
        <v>5886522500.57515</v>
      </c>
      <c r="Q56" s="9" t="n">
        <f aca="false">P56/$B$14*100</f>
        <v>114.871885046661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5861349063.13381</v>
      </c>
      <c r="F57" s="9" t="n">
        <f aca="false">E57/$B$14*100</f>
        <v>114.380640816862</v>
      </c>
      <c r="G57" s="10" t="n">
        <f aca="false">AVERAGE(E55:E58)/AVERAGE(E51:E54)-1</f>
        <v>0.0351105907988294</v>
      </c>
      <c r="H57" s="3" t="n">
        <f aca="false">H56</f>
        <v>52</v>
      </c>
      <c r="K57" s="9" t="n">
        <f aca="false">'High scenario'!AG60</f>
        <v>6237786394.92722</v>
      </c>
      <c r="L57" s="9" t="n">
        <f aca="false">K57/$B$14*100</f>
        <v>121.726585031094</v>
      </c>
      <c r="M57" s="10" t="n">
        <f aca="false">AVERAGE(K55:K58)/AVERAGE(K51:K54)-1</f>
        <v>0.0392359052425686</v>
      </c>
      <c r="O57" s="7" t="n">
        <f aca="false">O53+1</f>
        <v>2026</v>
      </c>
      <c r="P57" s="9" t="n">
        <f aca="false">'Low scenario'!AG60</f>
        <v>5947498515.97265</v>
      </c>
      <c r="Q57" s="9" t="n">
        <f aca="false">P57/$B$14*100</f>
        <v>116.061794680178</v>
      </c>
      <c r="R57" s="10" t="n">
        <f aca="false">AVERAGE(P55:P58)/AVERAGE(P51:P54)-1</f>
        <v>0.0452014855088914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5891744840.72913</v>
      </c>
      <c r="F58" s="9" t="n">
        <f aca="false">E58/$B$14*100</f>
        <v>114.973795819581</v>
      </c>
      <c r="G58" s="7"/>
      <c r="H58" s="3" t="n">
        <f aca="false">H57</f>
        <v>52</v>
      </c>
      <c r="K58" s="9" t="n">
        <f aca="false">'High scenario'!AG61</f>
        <v>6290054413.79928</v>
      </c>
      <c r="L58" s="9" t="n">
        <f aca="false">K58/$B$14*100</f>
        <v>122.746563440231</v>
      </c>
      <c r="M58" s="7"/>
      <c r="O58" s="7" t="n">
        <f aca="false">O54+1</f>
        <v>2026</v>
      </c>
      <c r="P58" s="9" t="n">
        <f aca="false">'Low scenario'!AG61</f>
        <v>6013623421.02583</v>
      </c>
      <c r="Q58" s="9" t="n">
        <f aca="false">P58/$B$14*100</f>
        <v>117.352181745079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5895713585.85929</v>
      </c>
      <c r="F59" s="6" t="n">
        <f aca="false">E59/$B$14*100</f>
        <v>115.051243452598</v>
      </c>
      <c r="G59" s="7"/>
      <c r="H59" s="3" t="n">
        <f aca="false">H58</f>
        <v>52</v>
      </c>
      <c r="K59" s="6" t="n">
        <f aca="false">'High scenario'!AG62</f>
        <v>6345545565.77219</v>
      </c>
      <c r="L59" s="6" t="n">
        <f aca="false">K59/$B$14*100</f>
        <v>123.829439319822</v>
      </c>
      <c r="M59" s="7"/>
      <c r="O59" s="5" t="n">
        <f aca="false">O55+1</f>
        <v>2027</v>
      </c>
      <c r="P59" s="6" t="n">
        <f aca="false">'Low scenario'!AG62</f>
        <v>6059820442.18122</v>
      </c>
      <c r="Q59" s="6" t="n">
        <f aca="false">P59/$B$14*100</f>
        <v>118.253688348195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5932111825.19869</v>
      </c>
      <c r="F60" s="9" t="n">
        <f aca="false">E60/$B$14*100</f>
        <v>115.761532823765</v>
      </c>
      <c r="G60" s="7"/>
      <c r="H60" s="3" t="n">
        <f aca="false">H59</f>
        <v>52</v>
      </c>
      <c r="K60" s="9" t="n">
        <f aca="false">'High scenario'!AG63</f>
        <v>6405149516.57262</v>
      </c>
      <c r="L60" s="9" t="n">
        <f aca="false">K60/$B$14*100</f>
        <v>124.992573952197</v>
      </c>
      <c r="M60" s="7"/>
      <c r="O60" s="7" t="n">
        <f aca="false">O56+1</f>
        <v>2027</v>
      </c>
      <c r="P60" s="9" t="n">
        <f aca="false">'Low scenario'!AG63</f>
        <v>6123295523.05339</v>
      </c>
      <c r="Q60" s="9" t="n">
        <f aca="false">P60/$B$14*100</f>
        <v>119.492365715446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6009785378.09791</v>
      </c>
      <c r="F61" s="9" t="n">
        <f aca="false">E61/$B$14*100</f>
        <v>117.277284685571</v>
      </c>
      <c r="G61" s="10" t="n">
        <f aca="false">AVERAGE(E59:E62)/AVERAGE(E55:E58)-1</f>
        <v>0.021161997922948</v>
      </c>
      <c r="H61" s="3" t="n">
        <f aca="false">H60</f>
        <v>52</v>
      </c>
      <c r="K61" s="9" t="n">
        <f aca="false">'High scenario'!AG64</f>
        <v>6465962017.71847</v>
      </c>
      <c r="L61" s="9" t="n">
        <f aca="false">K61/$B$14*100</f>
        <v>126.179292705135</v>
      </c>
      <c r="M61" s="10" t="n">
        <f aca="false">AVERAGE(K59:K62)/AVERAGE(K55:K58)-1</f>
        <v>0.0367118698032436</v>
      </c>
      <c r="O61" s="7" t="n">
        <f aca="false">O57+1</f>
        <v>2027</v>
      </c>
      <c r="P61" s="9" t="n">
        <f aca="false">'Low scenario'!AG64</f>
        <v>6169830483.27829</v>
      </c>
      <c r="Q61" s="9" t="n">
        <f aca="false">P61/$B$14*100</f>
        <v>120.400466992742</v>
      </c>
      <c r="R61" s="10" t="n">
        <f aca="false">AVERAGE(P59:P62)/AVERAGE(P55:P58)-1</f>
        <v>0.0403587565062733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6049206503.26715</v>
      </c>
      <c r="F62" s="9" t="n">
        <f aca="false">E62/$B$14*100</f>
        <v>118.046563824215</v>
      </c>
      <c r="G62" s="7"/>
      <c r="H62" s="3" t="n">
        <f aca="false">H61</f>
        <v>52</v>
      </c>
      <c r="K62" s="9" t="n">
        <f aca="false">'High scenario'!AG65</f>
        <v>6524395264.0176</v>
      </c>
      <c r="L62" s="9" t="n">
        <f aca="false">K62/$B$14*100</f>
        <v>127.319581755439</v>
      </c>
      <c r="M62" s="7"/>
      <c r="O62" s="7" t="n">
        <f aca="false">O58+1</f>
        <v>2027</v>
      </c>
      <c r="P62" s="9" t="n">
        <f aca="false">'Low scenario'!AG65</f>
        <v>6256246425.01869</v>
      </c>
      <c r="Q62" s="9" t="n">
        <f aca="false">P62/$B$14*100</f>
        <v>122.086821223925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6105584068.18591</v>
      </c>
      <c r="F63" s="6" t="n">
        <f aca="false">E63/$B$14*100</f>
        <v>119.146737510109</v>
      </c>
      <c r="G63" s="7"/>
      <c r="H63" s="3" t="n">
        <f aca="false">H62</f>
        <v>52</v>
      </c>
      <c r="K63" s="6" t="n">
        <f aca="false">'High scenario'!AG66</f>
        <v>6564416566.84813</v>
      </c>
      <c r="L63" s="6" t="n">
        <f aca="false">K63/$B$14*100</f>
        <v>128.100572993937</v>
      </c>
      <c r="M63" s="7"/>
      <c r="O63" s="5" t="n">
        <f aca="false">O59+1</f>
        <v>2028</v>
      </c>
      <c r="P63" s="6" t="n">
        <f aca="false">'Low scenario'!AG66</f>
        <v>6277982510.63606</v>
      </c>
      <c r="Q63" s="6" t="n">
        <f aca="false">P63/$B$14*100</f>
        <v>122.510987635955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6107034212.28912</v>
      </c>
      <c r="F64" s="9" t="n">
        <f aca="false">E64/$B$14*100</f>
        <v>119.175036185041</v>
      </c>
      <c r="G64" s="7"/>
      <c r="H64" s="3" t="n">
        <f aca="false">H63</f>
        <v>52</v>
      </c>
      <c r="K64" s="9" t="n">
        <f aca="false">'High scenario'!AG67</f>
        <v>6600648612.13477</v>
      </c>
      <c r="L64" s="9" t="n">
        <f aca="false">K64/$B$14*100</f>
        <v>128.807619189847</v>
      </c>
      <c r="M64" s="7"/>
      <c r="O64" s="7" t="n">
        <f aca="false">O60+1</f>
        <v>2028</v>
      </c>
      <c r="P64" s="9" t="n">
        <f aca="false">'Low scenario'!AG67</f>
        <v>6267474857.75532</v>
      </c>
      <c r="Q64" s="9" t="n">
        <f aca="false">P64/$B$14*100</f>
        <v>122.305937218887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6164593688.6187</v>
      </c>
      <c r="F65" s="9" t="n">
        <f aca="false">E65/$B$14*100</f>
        <v>120.298274148989</v>
      </c>
      <c r="G65" s="10" t="n">
        <f aca="false">AVERAGE(E63:E66)/AVERAGE(E59:E62)-1</f>
        <v>0.0291254319351537</v>
      </c>
      <c r="H65" s="3" t="n">
        <f aca="false">H64</f>
        <v>52</v>
      </c>
      <c r="K65" s="9" t="n">
        <f aca="false">'High scenario'!AG68</f>
        <v>6653001085.43992</v>
      </c>
      <c r="L65" s="9" t="n">
        <f aca="false">K65/$B$14*100</f>
        <v>129.829245675574</v>
      </c>
      <c r="M65" s="10" t="n">
        <f aca="false">AVERAGE(K63:K66)/AVERAGE(K59:K62)-1</f>
        <v>0.0312409999672441</v>
      </c>
      <c r="O65" s="7" t="n">
        <f aca="false">O61+1</f>
        <v>2028</v>
      </c>
      <c r="P65" s="9" t="n">
        <f aca="false">'Low scenario'!AG68</f>
        <v>6295967358.05245</v>
      </c>
      <c r="Q65" s="9" t="n">
        <f aca="false">P65/$B$14*100</f>
        <v>122.861950929614</v>
      </c>
      <c r="R65" s="10" t="n">
        <f aca="false">AVERAGE(P63:P66)/AVERAGE(P59:P62)-1</f>
        <v>0.0220588739377618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6205319194.52724</v>
      </c>
      <c r="F66" s="9" t="n">
        <f aca="false">E66/$B$14*100</f>
        <v>121.093007479701</v>
      </c>
      <c r="G66" s="7"/>
      <c r="H66" s="3" t="n">
        <f aca="false">H65</f>
        <v>52</v>
      </c>
      <c r="K66" s="9" t="n">
        <f aca="false">'High scenario'!AG69</f>
        <v>6727162315.72115</v>
      </c>
      <c r="L66" s="9" t="n">
        <f aca="false">K66/$B$14*100</f>
        <v>131.276456710434</v>
      </c>
      <c r="M66" s="7"/>
      <c r="O66" s="7" t="n">
        <f aca="false">O62+1</f>
        <v>2028</v>
      </c>
      <c r="P66" s="9" t="n">
        <f aca="false">'Low scenario'!AG69</f>
        <v>6310619230.39505</v>
      </c>
      <c r="Q66" s="9" t="n">
        <f aca="false">P66/$B$14*100</f>
        <v>123.147873253922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6229811170.15878</v>
      </c>
      <c r="F67" s="6" t="n">
        <f aca="false">E67/$B$14*100</f>
        <v>121.570953399221</v>
      </c>
      <c r="G67" s="7"/>
      <c r="H67" s="3" t="n">
        <f aca="false">H66</f>
        <v>52</v>
      </c>
      <c r="K67" s="6" t="n">
        <f aca="false">'High scenario'!AG70</f>
        <v>6781681465.4341</v>
      </c>
      <c r="L67" s="6" t="n">
        <f aca="false">K67/$B$14*100</f>
        <v>132.340364560622</v>
      </c>
      <c r="M67" s="7"/>
      <c r="O67" s="5" t="n">
        <f aca="false">O63+1</f>
        <v>2029</v>
      </c>
      <c r="P67" s="6" t="n">
        <f aca="false">'Low scenario'!AG70</f>
        <v>6349057214.7976</v>
      </c>
      <c r="Q67" s="6" t="n">
        <f aca="false">P67/$B$14*100</f>
        <v>123.897967002019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6282662812.76362</v>
      </c>
      <c r="F68" s="9" t="n">
        <f aca="false">E68/$B$14*100</f>
        <v>122.602320868425</v>
      </c>
      <c r="G68" s="7"/>
      <c r="H68" s="3" t="n">
        <f aca="false">H67</f>
        <v>52</v>
      </c>
      <c r="K68" s="9" t="n">
        <f aca="false">'High scenario'!AG71</f>
        <v>6841575420.2715</v>
      </c>
      <c r="L68" s="9" t="n">
        <f aca="false">K68/$B$14*100</f>
        <v>133.509158444345</v>
      </c>
      <c r="M68" s="7"/>
      <c r="O68" s="7" t="n">
        <f aca="false">O64+1</f>
        <v>2029</v>
      </c>
      <c r="P68" s="9" t="n">
        <f aca="false">'Low scenario'!AG71</f>
        <v>6372897241.81622</v>
      </c>
      <c r="Q68" s="9" t="n">
        <f aca="false">P68/$B$14*100</f>
        <v>124.36319054324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6319040466.35493</v>
      </c>
      <c r="F69" s="9" t="n">
        <f aca="false">E69/$B$14*100</f>
        <v>123.312208521313</v>
      </c>
      <c r="G69" s="10" t="n">
        <f aca="false">AVERAGE(E67:E70)/AVERAGE(E63:E66)-1</f>
        <v>0.024733999570536</v>
      </c>
      <c r="H69" s="3" t="n">
        <f aca="false">H68</f>
        <v>52</v>
      </c>
      <c r="K69" s="9" t="n">
        <f aca="false">'High scenario'!AG72</f>
        <v>6912961671.27162</v>
      </c>
      <c r="L69" s="9" t="n">
        <f aca="false">K69/$B$14*100</f>
        <v>134.90221745635</v>
      </c>
      <c r="M69" s="10" t="n">
        <f aca="false">AVERAGE(K67:K70)/AVERAGE(K63:K66)-1</f>
        <v>0.0354996456333674</v>
      </c>
      <c r="O69" s="7" t="n">
        <f aca="false">O65+1</f>
        <v>2029</v>
      </c>
      <c r="P69" s="9" t="n">
        <f aca="false">'Low scenario'!AG72</f>
        <v>6395850348.80356</v>
      </c>
      <c r="Q69" s="9" t="n">
        <f aca="false">P69/$B$14*100</f>
        <v>124.811106382695</v>
      </c>
      <c r="R69" s="10" t="n">
        <f aca="false">AVERAGE(P67:P70)/AVERAGE(P63:P66)-1</f>
        <v>0.0148297176729109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6359041029.58733</v>
      </c>
      <c r="F70" s="9" t="n">
        <f aca="false">E70/$B$14*100</f>
        <v>124.092795039242</v>
      </c>
      <c r="G70" s="7"/>
      <c r="H70" s="3" t="n">
        <f aca="false">H69</f>
        <v>52</v>
      </c>
      <c r="K70" s="9" t="n">
        <f aca="false">'High scenario'!AG73</f>
        <v>6951356231.0186</v>
      </c>
      <c r="L70" s="9" t="n">
        <f aca="false">K70/$B$14*100</f>
        <v>135.651463798863</v>
      </c>
      <c r="M70" s="7"/>
      <c r="O70" s="7" t="n">
        <f aca="false">O66+1</f>
        <v>2029</v>
      </c>
      <c r="P70" s="9" t="n">
        <f aca="false">'Low scenario'!AG73</f>
        <v>6407236862.19807</v>
      </c>
      <c r="Q70" s="9" t="n">
        <f aca="false">P70/$B$14*100</f>
        <v>125.033307224976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6428074787.21459</v>
      </c>
      <c r="F71" s="6" t="n">
        <f aca="false">E71/$B$14*100</f>
        <v>125.439946582402</v>
      </c>
      <c r="G71" s="7"/>
      <c r="H71" s="3" t="n">
        <f aca="false">H70</f>
        <v>52</v>
      </c>
      <c r="K71" s="6" t="n">
        <f aca="false">'High scenario'!AG74</f>
        <v>7009001271.78222</v>
      </c>
      <c r="L71" s="6" t="n">
        <f aca="false">K71/$B$14*100</f>
        <v>136.77637150039</v>
      </c>
      <c r="M71" s="7"/>
      <c r="O71" s="5" t="n">
        <f aca="false">O67+1</f>
        <v>2030</v>
      </c>
      <c r="P71" s="6" t="n">
        <f aca="false">'Low scenario'!AG74</f>
        <v>6458784825.72953</v>
      </c>
      <c r="Q71" s="6" t="n">
        <f aca="false">P71/$B$14*100</f>
        <v>126.039234194693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6442984003.89784</v>
      </c>
      <c r="F72" s="9" t="n">
        <f aca="false">E72/$B$14*100</f>
        <v>125.730890824067</v>
      </c>
      <c r="G72" s="7"/>
      <c r="H72" s="3" t="n">
        <f aca="false">H71</f>
        <v>52</v>
      </c>
      <c r="K72" s="9" t="n">
        <f aca="false">'High scenario'!AG75</f>
        <v>7041345921.05921</v>
      </c>
      <c r="L72" s="9" t="n">
        <f aca="false">K72/$B$14*100</f>
        <v>137.407557541598</v>
      </c>
      <c r="M72" s="7"/>
      <c r="O72" s="7" t="n">
        <f aca="false">O68+1</f>
        <v>2030</v>
      </c>
      <c r="P72" s="9" t="n">
        <f aca="false">'Low scenario'!AG75</f>
        <v>6483752070.02374</v>
      </c>
      <c r="Q72" s="9" t="n">
        <f aca="false">P72/$B$14*100</f>
        <v>126.526454691381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6483726091.85778</v>
      </c>
      <c r="F73" s="9" t="n">
        <f aca="false">E73/$B$14*100</f>
        <v>126.525947743367</v>
      </c>
      <c r="G73" s="10" t="n">
        <f aca="false">AVERAGE(E71:E74)/AVERAGE(E67:E70)-1</f>
        <v>0.0271254290838978</v>
      </c>
      <c r="H73" s="3" t="n">
        <f aca="false">H72</f>
        <v>52</v>
      </c>
      <c r="K73" s="9" t="n">
        <f aca="false">'High scenario'!AG76</f>
        <v>7095899065.54314</v>
      </c>
      <c r="L73" s="9" t="n">
        <f aca="false">K73/$B$14*100</f>
        <v>138.472128778942</v>
      </c>
      <c r="M73" s="10" t="n">
        <f aca="false">AVERAGE(K71:K74)/AVERAGE(K67:K70)-1</f>
        <v>0.0302739176113336</v>
      </c>
      <c r="O73" s="7" t="n">
        <f aca="false">O69+1</f>
        <v>2030</v>
      </c>
      <c r="P73" s="9" t="n">
        <f aca="false">'Low scenario'!AG76</f>
        <v>6513983763.79596</v>
      </c>
      <c r="Q73" s="9" t="n">
        <f aca="false">P73/$B$14*100</f>
        <v>127.116407698684</v>
      </c>
      <c r="R73" s="10" t="n">
        <f aca="false">AVERAGE(P71:P74)/AVERAGE(P67:P70)-1</f>
        <v>0.0178821217178697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6519075222.12039</v>
      </c>
      <c r="F74" s="9" t="n">
        <f aca="false">E74/$B$14*100</f>
        <v>127.215764392777</v>
      </c>
      <c r="G74" s="7"/>
      <c r="H74" s="3" t="n">
        <f aca="false">H73</f>
        <v>52</v>
      </c>
      <c r="K74" s="9" t="n">
        <f aca="false">'High scenario'!AG77</f>
        <v>7173485104.0784</v>
      </c>
      <c r="L74" s="9" t="n">
        <f aca="false">K74/$B$14*100</f>
        <v>139.986172851479</v>
      </c>
      <c r="M74" s="7"/>
      <c r="O74" s="7" t="n">
        <f aca="false">O70+1</f>
        <v>2030</v>
      </c>
      <c r="P74" s="9" t="n">
        <f aca="false">'Low scenario'!AG77</f>
        <v>6524962910.02022</v>
      </c>
      <c r="Q74" s="9" t="n">
        <f aca="false">P74/$B$14*100</f>
        <v>127.330659019878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6534695959.84183</v>
      </c>
      <c r="F75" s="6" t="n">
        <f aca="false">E75/$B$14*100</f>
        <v>127.520593532173</v>
      </c>
      <c r="G75" s="7"/>
      <c r="H75" s="3" t="n">
        <f aca="false">H74</f>
        <v>52</v>
      </c>
      <c r="K75" s="6" t="n">
        <f aca="false">'High scenario'!AG78</f>
        <v>7265729310.10236</v>
      </c>
      <c r="L75" s="6" t="n">
        <f aca="false">K75/$B$14*100</f>
        <v>141.786262094248</v>
      </c>
      <c r="M75" s="7"/>
      <c r="O75" s="5" t="n">
        <f aca="false">O71+1</f>
        <v>2031</v>
      </c>
      <c r="P75" s="6" t="n">
        <f aca="false">'Low scenario'!AG78</f>
        <v>6502933620.67587</v>
      </c>
      <c r="Q75" s="6" t="n">
        <f aca="false">P75/$B$14*100</f>
        <v>126.900770916506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6578965568.03016</v>
      </c>
      <c r="F76" s="9" t="n">
        <f aca="false">E76/$B$14*100</f>
        <v>128.384487850486</v>
      </c>
      <c r="G76" s="7"/>
      <c r="H76" s="3" t="n">
        <f aca="false">H75</f>
        <v>52</v>
      </c>
      <c r="K76" s="9" t="n">
        <f aca="false">'High scenario'!AG79</f>
        <v>7229691825.61374</v>
      </c>
      <c r="L76" s="9" t="n">
        <f aca="false">K76/$B$14*100</f>
        <v>141.083012633273</v>
      </c>
      <c r="M76" s="7"/>
      <c r="O76" s="7" t="n">
        <f aca="false">O72+1</f>
        <v>2031</v>
      </c>
      <c r="P76" s="9" t="n">
        <f aca="false">'Low scenario'!AG79</f>
        <v>6531266732.76974</v>
      </c>
      <c r="Q76" s="9" t="n">
        <f aca="false">P76/$B$14*100</f>
        <v>127.453674263965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6607520583.64318</v>
      </c>
      <c r="F77" s="9" t="n">
        <f aca="false">E77/$B$14*100</f>
        <v>128.941721509354</v>
      </c>
      <c r="G77" s="10" t="n">
        <f aca="false">AVERAGE(E75:E78)/AVERAGE(E71:E74)-1</f>
        <v>0.0189030782685824</v>
      </c>
      <c r="H77" s="3" t="n">
        <f aca="false">H76</f>
        <v>52</v>
      </c>
      <c r="K77" s="9" t="n">
        <f aca="false">'High scenario'!AG80</f>
        <v>7273815536.34987</v>
      </c>
      <c r="L77" s="9" t="n">
        <f aca="false">K77/$B$14*100</f>
        <v>141.944059852071</v>
      </c>
      <c r="M77" s="10" t="n">
        <f aca="false">AVERAGE(K75:K78)/AVERAGE(K71:K74)-1</f>
        <v>0.0279464156477895</v>
      </c>
      <c r="O77" s="7" t="n">
        <f aca="false">O73+1</f>
        <v>2031</v>
      </c>
      <c r="P77" s="9" t="n">
        <f aca="false">'Low scenario'!AG80</f>
        <v>6523737079.81635</v>
      </c>
      <c r="Q77" s="9" t="n">
        <f aca="false">P77/$B$14*100</f>
        <v>127.306737693449</v>
      </c>
      <c r="R77" s="10" t="n">
        <f aca="false">AVERAGE(P75:P78)/AVERAGE(P71:P74)-1</f>
        <v>0.00393905102543601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6641773596.2523</v>
      </c>
      <c r="F78" s="9" t="n">
        <f aca="false">E78/$B$14*100</f>
        <v>129.610148093395</v>
      </c>
      <c r="G78" s="7"/>
      <c r="H78" s="3" t="n">
        <f aca="false">H77</f>
        <v>52</v>
      </c>
      <c r="K78" s="9" t="n">
        <f aca="false">'High scenario'!AG81</f>
        <v>7341929674.08613</v>
      </c>
      <c r="L78" s="9" t="n">
        <f aca="false">K78/$B$14*100</f>
        <v>143.27326557571</v>
      </c>
      <c r="M78" s="7"/>
      <c r="O78" s="7" t="n">
        <f aca="false">O74+1</f>
        <v>2031</v>
      </c>
      <c r="P78" s="9" t="n">
        <f aca="false">'Low scenario'!AG81</f>
        <v>6525888525.80455</v>
      </c>
      <c r="Q78" s="9" t="n">
        <f aca="false">P78/$B$14*100</f>
        <v>127.348721845589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6647231333.56633</v>
      </c>
      <c r="F79" s="6" t="n">
        <f aca="false">E79/$B$14*100</f>
        <v>129.71665249787</v>
      </c>
      <c r="G79" s="7"/>
      <c r="H79" s="3" t="n">
        <f aca="false">H78</f>
        <v>52</v>
      </c>
      <c r="K79" s="6" t="n">
        <f aca="false">'High scenario'!AG82</f>
        <v>7387460453.80515</v>
      </c>
      <c r="L79" s="6" t="n">
        <f aca="false">K79/$B$14*100</f>
        <v>144.161770884821</v>
      </c>
      <c r="M79" s="7"/>
      <c r="O79" s="5" t="n">
        <f aca="false">O75+1</f>
        <v>2032</v>
      </c>
      <c r="P79" s="6" t="n">
        <f aca="false">'Low scenario'!AG82</f>
        <v>6549073468.55871</v>
      </c>
      <c r="Q79" s="6" t="n">
        <f aca="false">P79/$B$14*100</f>
        <v>127.801161818189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6693061176.15429</v>
      </c>
      <c r="F80" s="9" t="n">
        <f aca="false">E80/$B$14*100</f>
        <v>130.610993835893</v>
      </c>
      <c r="G80" s="7"/>
      <c r="H80" s="3" t="n">
        <f aca="false">H79</f>
        <v>52</v>
      </c>
      <c r="K80" s="9" t="n">
        <f aca="false">'High scenario'!AG83</f>
        <v>7457092496.67795</v>
      </c>
      <c r="L80" s="9" t="n">
        <f aca="false">K80/$B$14*100</f>
        <v>145.520597598499</v>
      </c>
      <c r="M80" s="7"/>
      <c r="O80" s="7" t="n">
        <f aca="false">O76+1</f>
        <v>2032</v>
      </c>
      <c r="P80" s="9" t="n">
        <f aca="false">'Low scenario'!AG83</f>
        <v>6562987147.58189</v>
      </c>
      <c r="Q80" s="9" t="n">
        <f aca="false">P80/$B$14*100</f>
        <v>128.072678751518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6716976952.61133</v>
      </c>
      <c r="F81" s="9" t="n">
        <f aca="false">E81/$B$14*100</f>
        <v>131.077695581059</v>
      </c>
      <c r="G81" s="10" t="n">
        <f aca="false">AVERAGE(E79:E82)/AVERAGE(E75:E78)-1</f>
        <v>0.0167950503537677</v>
      </c>
      <c r="H81" s="3" t="n">
        <f aca="false">H80</f>
        <v>52</v>
      </c>
      <c r="K81" s="9" t="n">
        <f aca="false">'High scenario'!AG84</f>
        <v>7501149685.20605</v>
      </c>
      <c r="L81" s="9" t="n">
        <f aca="false">K81/$B$14*100</f>
        <v>146.380346677108</v>
      </c>
      <c r="M81" s="10" t="n">
        <f aca="false">AVERAGE(K79:K82)/AVERAGE(K75:K78)-1</f>
        <v>0.0272291269140712</v>
      </c>
      <c r="O81" s="7" t="n">
        <f aca="false">O77+1</f>
        <v>2032</v>
      </c>
      <c r="P81" s="9" t="n">
        <f aca="false">'Low scenario'!AG84</f>
        <v>6550821744.99022</v>
      </c>
      <c r="Q81" s="9" t="n">
        <f aca="false">P81/$B$14*100</f>
        <v>127.835278363102</v>
      </c>
      <c r="R81" s="10" t="n">
        <f aca="false">AVERAGE(P79:P82)/AVERAGE(P75:P78)-1</f>
        <v>0.00535509048406824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6748453414.02162</v>
      </c>
      <c r="F82" s="9" t="n">
        <f aca="false">E82/$B$14*100</f>
        <v>131.691939467232</v>
      </c>
      <c r="G82" s="7"/>
      <c r="H82" s="3" t="n">
        <f aca="false">H81</f>
        <v>52</v>
      </c>
      <c r="K82" s="9" t="n">
        <f aca="false">'High scenario'!AG85</f>
        <v>7558135353.51897</v>
      </c>
      <c r="L82" s="9" t="n">
        <f aca="false">K82/$B$14*100</f>
        <v>147.492387128684</v>
      </c>
      <c r="M82" s="7"/>
      <c r="O82" s="7" t="n">
        <f aca="false">O78+1</f>
        <v>2032</v>
      </c>
      <c r="P82" s="9" t="n">
        <f aca="false">'Low scenario'!AG85</f>
        <v>6560624846.11718</v>
      </c>
      <c r="Q82" s="9" t="n">
        <f aca="false">P82/$B$14*100</f>
        <v>128.026579883761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6812747184.30744</v>
      </c>
      <c r="F83" s="6" t="n">
        <f aca="false">E83/$B$14*100</f>
        <v>132.946593057491</v>
      </c>
      <c r="G83" s="7"/>
      <c r="H83" s="3" t="n">
        <f aca="false">H82</f>
        <v>52</v>
      </c>
      <c r="K83" s="6" t="n">
        <f aca="false">'High scenario'!AG86</f>
        <v>7586425031.41587</v>
      </c>
      <c r="L83" s="6" t="n">
        <f aca="false">K83/$B$14*100</f>
        <v>148.044442884363</v>
      </c>
      <c r="M83" s="7"/>
      <c r="O83" s="5" t="n">
        <f aca="false">O79+1</f>
        <v>2033</v>
      </c>
      <c r="P83" s="6" t="n">
        <f aca="false">'Low scenario'!AG86</f>
        <v>6608920963.46794</v>
      </c>
      <c r="Q83" s="6" t="n">
        <f aca="false">P83/$B$14*100</f>
        <v>128.96904906484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6837942989.06158</v>
      </c>
      <c r="F84" s="9" t="n">
        <f aca="false">E84/$B$14*100</f>
        <v>133.438273771715</v>
      </c>
      <c r="G84" s="7"/>
      <c r="H84" s="3" t="n">
        <f aca="false">H83</f>
        <v>52</v>
      </c>
      <c r="K84" s="9" t="n">
        <f aca="false">'High scenario'!AG87</f>
        <v>7635908464.34544</v>
      </c>
      <c r="L84" s="9" t="n">
        <f aca="false">K84/$B$14*100</f>
        <v>149.010081802527</v>
      </c>
      <c r="M84" s="7"/>
      <c r="O84" s="7" t="n">
        <f aca="false">O80+1</f>
        <v>2033</v>
      </c>
      <c r="P84" s="9" t="n">
        <f aca="false">'Low scenario'!AG87</f>
        <v>6626890141.58867</v>
      </c>
      <c r="Q84" s="9" t="n">
        <f aca="false">P84/$B$14*100</f>
        <v>129.31970658178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6897678693.68855</v>
      </c>
      <c r="F85" s="9" t="n">
        <f aca="false">E85/$B$14*100</f>
        <v>134.603979499404</v>
      </c>
      <c r="G85" s="10" t="n">
        <f aca="false">AVERAGE(E83:E86)/AVERAGE(E79:E82)-1</f>
        <v>0.0263280774676653</v>
      </c>
      <c r="H85" s="3" t="n">
        <f aca="false">H84</f>
        <v>52</v>
      </c>
      <c r="K85" s="9" t="n">
        <f aca="false">'High scenario'!AG88</f>
        <v>7710609948.34714</v>
      </c>
      <c r="L85" s="9" t="n">
        <f aca="false">K85/$B$14*100</f>
        <v>150.467835558198</v>
      </c>
      <c r="M85" s="10" t="n">
        <f aca="false">AVERAGE(K83:K86)/AVERAGE(K79:K82)-1</f>
        <v>0.0272638900347915</v>
      </c>
      <c r="O85" s="7" t="n">
        <f aca="false">O81+1</f>
        <v>2033</v>
      </c>
      <c r="P85" s="9" t="n">
        <f aca="false">'Low scenario'!AG88</f>
        <v>6602301056.26719</v>
      </c>
      <c r="Q85" s="9" t="n">
        <f aca="false">P85/$B$14*100</f>
        <v>128.839865626076</v>
      </c>
      <c r="R85" s="10" t="n">
        <f aca="false">AVERAGE(P83:P86)/AVERAGE(P79:P82)-1</f>
        <v>0.00870093315143627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6963097157.76141</v>
      </c>
      <c r="F86" s="9" t="n">
        <f aca="false">E86/$B$14*100</f>
        <v>135.880580800796</v>
      </c>
      <c r="G86" s="7"/>
      <c r="H86" s="3" t="n">
        <f aca="false">H85</f>
        <v>52</v>
      </c>
      <c r="K86" s="9" t="n">
        <f aca="false">'High scenario'!AG89</f>
        <v>7786189495.65566</v>
      </c>
      <c r="L86" s="9" t="n">
        <f aca="false">K86/$B$14*100</f>
        <v>151.942724182077</v>
      </c>
      <c r="M86" s="7"/>
      <c r="O86" s="7" t="n">
        <f aca="false">O82+1</f>
        <v>2033</v>
      </c>
      <c r="P86" s="9" t="n">
        <f aca="false">'Low scenario'!AG89</f>
        <v>6613564029.13067</v>
      </c>
      <c r="Q86" s="9" t="n">
        <f aca="false">P86/$B$14*100</f>
        <v>129.05965565048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6970884198.90481</v>
      </c>
      <c r="F87" s="6" t="n">
        <f aca="false">E87/$B$14*100</f>
        <v>136.032540144362</v>
      </c>
      <c r="G87" s="7"/>
      <c r="H87" s="3" t="n">
        <f aca="false">H86</f>
        <v>52</v>
      </c>
      <c r="K87" s="6" t="n">
        <f aca="false">'High scenario'!AG90</f>
        <v>7830333082.33699</v>
      </c>
      <c r="L87" s="6" t="n">
        <f aca="false">K87/$B$14*100</f>
        <v>152.804159267785</v>
      </c>
      <c r="M87" s="7"/>
      <c r="O87" s="5" t="n">
        <f aca="false">O83+1</f>
        <v>2034</v>
      </c>
      <c r="P87" s="6" t="n">
        <f aca="false">'Low scenario'!AG90</f>
        <v>6614062124.69088</v>
      </c>
      <c r="Q87" s="6" t="n">
        <f aca="false">P87/$B$14*100</f>
        <v>129.069375680588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7038449863.47853</v>
      </c>
      <c r="F88" s="9" t="n">
        <f aca="false">E88/$B$14*100</f>
        <v>137.351042749806</v>
      </c>
      <c r="G88" s="7"/>
      <c r="H88" s="3" t="n">
        <f aca="false">H87</f>
        <v>52</v>
      </c>
      <c r="K88" s="9" t="n">
        <f aca="false">'High scenario'!AG91</f>
        <v>7869074284.88674</v>
      </c>
      <c r="L88" s="9" t="n">
        <f aca="false">K88/$B$14*100</f>
        <v>153.560170132506</v>
      </c>
      <c r="M88" s="7"/>
      <c r="O88" s="7" t="n">
        <f aca="false">O84+1</f>
        <v>2034</v>
      </c>
      <c r="P88" s="9" t="n">
        <f aca="false">'Low scenario'!AG91</f>
        <v>6617528315.03421</v>
      </c>
      <c r="Q88" s="9" t="n">
        <f aca="false">P88/$B$14*100</f>
        <v>129.137016264418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7014925052.32454</v>
      </c>
      <c r="F89" s="9" t="n">
        <f aca="false">E89/$B$14*100</f>
        <v>136.891970453325</v>
      </c>
      <c r="G89" s="10" t="n">
        <f aca="false">AVERAGE(E87:E90)/AVERAGE(E83:E86)-1</f>
        <v>0.021097285234178</v>
      </c>
      <c r="H89" s="3" t="n">
        <f aca="false">H88</f>
        <v>52</v>
      </c>
      <c r="K89" s="9" t="n">
        <f aca="false">'High scenario'!AG92</f>
        <v>7923482971.31037</v>
      </c>
      <c r="L89" s="9" t="n">
        <f aca="false">K89/$B$14*100</f>
        <v>154.621922359188</v>
      </c>
      <c r="M89" s="10" t="n">
        <f aca="false">AVERAGE(K87:K90)/AVERAGE(K83:K86)-1</f>
        <v>0.0303222146553868</v>
      </c>
      <c r="O89" s="7" t="n">
        <f aca="false">O85+1</f>
        <v>2034</v>
      </c>
      <c r="P89" s="9" t="n">
        <f aca="false">'Low scenario'!AG92</f>
        <v>6610585712.18787</v>
      </c>
      <c r="Q89" s="9" t="n">
        <f aca="false">P89/$B$14*100</f>
        <v>129.001535617566</v>
      </c>
      <c r="R89" s="10" t="n">
        <f aca="false">AVERAGE(P87:P90)/AVERAGE(P83:P86)-1</f>
        <v>0.000633867344748351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7067624156.0471</v>
      </c>
      <c r="F90" s="9" t="n">
        <f aca="false">E90/$B$14*100</f>
        <v>137.92036121957</v>
      </c>
      <c r="G90" s="7"/>
      <c r="H90" s="3" t="n">
        <f aca="false">H89</f>
        <v>52</v>
      </c>
      <c r="K90" s="9" t="n">
        <f aca="false">'High scenario'!AG93</f>
        <v>8027714744.25689</v>
      </c>
      <c r="L90" s="9" t="n">
        <f aca="false">K90/$B$14*100</f>
        <v>156.655941636096</v>
      </c>
      <c r="M90" s="7"/>
      <c r="O90" s="7" t="n">
        <f aca="false">O86+1</f>
        <v>2034</v>
      </c>
      <c r="P90" s="9" t="n">
        <f aca="false">'Low scenario'!AG93</f>
        <v>6626266892.29249</v>
      </c>
      <c r="Q90" s="9" t="n">
        <f aca="false">P90/$B$14*100</f>
        <v>129.307544253088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7091137109.50367</v>
      </c>
      <c r="F91" s="6" t="n">
        <f aca="false">E91/$B$14*100</f>
        <v>138.37920212034</v>
      </c>
      <c r="G91" s="7"/>
      <c r="H91" s="3" t="n">
        <f aca="false">H90</f>
        <v>52</v>
      </c>
      <c r="K91" s="6" t="n">
        <f aca="false">'High scenario'!AG94</f>
        <v>8050426375.60412</v>
      </c>
      <c r="L91" s="6" t="n">
        <f aca="false">K91/$B$14*100</f>
        <v>157.099145226176</v>
      </c>
      <c r="M91" s="7"/>
      <c r="O91" s="5" t="n">
        <f aca="false">O87+1</f>
        <v>2035</v>
      </c>
      <c r="P91" s="6" t="n">
        <f aca="false">'Low scenario'!AG94</f>
        <v>6646075080.7012</v>
      </c>
      <c r="Q91" s="6" t="n">
        <f aca="false">P91/$B$14*100</f>
        <v>129.694088930637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7122322673.78715</v>
      </c>
      <c r="F92" s="9" t="n">
        <f aca="false">E92/$B$14*100</f>
        <v>138.987769327063</v>
      </c>
      <c r="G92" s="7"/>
      <c r="H92" s="3" t="n">
        <f aca="false">H91</f>
        <v>52</v>
      </c>
      <c r="K92" s="9" t="n">
        <f aca="false">'High scenario'!AG95</f>
        <v>8080453128.24833</v>
      </c>
      <c r="L92" s="9" t="n">
        <f aca="false">K92/$B$14*100</f>
        <v>157.685098932754</v>
      </c>
      <c r="M92" s="7"/>
      <c r="O92" s="7" t="n">
        <f aca="false">O88+1</f>
        <v>2035</v>
      </c>
      <c r="P92" s="9" t="n">
        <f aca="false">'Low scenario'!AG95</f>
        <v>6684412702.35525</v>
      </c>
      <c r="Q92" s="9" t="n">
        <f aca="false">P92/$B$14*100</f>
        <v>130.442224161102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7140640367.30316</v>
      </c>
      <c r="F93" s="9" t="n">
        <f aca="false">E93/$B$14*100</f>
        <v>139.345227908711</v>
      </c>
      <c r="G93" s="10" t="n">
        <f aca="false">AVERAGE(E91:E94)/AVERAGE(E87:E90)-1</f>
        <v>0.0154072950094522</v>
      </c>
      <c r="H93" s="3" t="n">
        <f aca="false">H92</f>
        <v>52</v>
      </c>
      <c r="K93" s="9" t="n">
        <f aca="false">'High scenario'!AG96</f>
        <v>8111479840.20616</v>
      </c>
      <c r="L93" s="9" t="n">
        <f aca="false">K93/$B$14*100</f>
        <v>158.290566233533</v>
      </c>
      <c r="M93" s="10" t="n">
        <f aca="false">AVERAGE(K91:K94)/AVERAGE(K87:K90)-1</f>
        <v>0.0240727873307112</v>
      </c>
      <c r="O93" s="7" t="n">
        <f aca="false">O89+1</f>
        <v>2035</v>
      </c>
      <c r="P93" s="9" t="n">
        <f aca="false">'Low scenario'!AG96</f>
        <v>6692873599.73043</v>
      </c>
      <c r="Q93" s="9" t="n">
        <f aca="false">P93/$B$14*100</f>
        <v>130.607333396746</v>
      </c>
      <c r="R93" s="10" t="n">
        <f aca="false">AVERAGE(P91:P94)/AVERAGE(P87:P90)-1</f>
        <v>0.00893269055953638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7170603053.08462</v>
      </c>
      <c r="F94" s="9" t="n">
        <f aca="false">E94/$B$14*100</f>
        <v>139.929931389661</v>
      </c>
      <c r="G94" s="7"/>
      <c r="H94" s="3" t="n">
        <f aca="false">H93</f>
        <v>52</v>
      </c>
      <c r="K94" s="9" t="n">
        <f aca="false">'High scenario'!AG97</f>
        <v>8170164023.77874</v>
      </c>
      <c r="L94" s="9" t="n">
        <f aca="false">K94/$B$14*100</f>
        <v>159.435752171198</v>
      </c>
      <c r="M94" s="7"/>
      <c r="O94" s="7" t="n">
        <f aca="false">O90+1</f>
        <v>2035</v>
      </c>
      <c r="P94" s="9" t="n">
        <f aca="false">'Low scenario'!AG97</f>
        <v>6681516072.72518</v>
      </c>
      <c r="Q94" s="9" t="n">
        <f aca="false">P94/$B$14*100</f>
        <v>130.385698206117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7197433404.14143</v>
      </c>
      <c r="F95" s="6" t="n">
        <f aca="false">E95/$B$14*100</f>
        <v>140.453509274916</v>
      </c>
      <c r="G95" s="7"/>
      <c r="H95" s="3" t="n">
        <f aca="false">H94</f>
        <v>52</v>
      </c>
      <c r="K95" s="6" t="n">
        <f aca="false">'High scenario'!AG98</f>
        <v>8215263402.35735</v>
      </c>
      <c r="L95" s="6" t="n">
        <f aca="false">K95/$B$14*100</f>
        <v>160.315838950999</v>
      </c>
      <c r="M95" s="7"/>
      <c r="O95" s="5" t="n">
        <f aca="false">O91+1</f>
        <v>2036</v>
      </c>
      <c r="P95" s="6" t="n">
        <f aca="false">'Low scenario'!AG98</f>
        <v>6700957242.82062</v>
      </c>
      <c r="Q95" s="6" t="n">
        <f aca="false">P95/$B$14*100</f>
        <v>130.765080745835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7197681125.14541</v>
      </c>
      <c r="F96" s="9" t="n">
        <f aca="false">E96/$B$14*100</f>
        <v>140.458343398746</v>
      </c>
      <c r="G96" s="7"/>
      <c r="H96" s="3" t="n">
        <f aca="false">H95</f>
        <v>52</v>
      </c>
      <c r="K96" s="9" t="n">
        <f aca="false">'High scenario'!AG99</f>
        <v>8232390814.77944</v>
      </c>
      <c r="L96" s="9" t="n">
        <f aca="false">K96/$B$14*100</f>
        <v>160.650069925348</v>
      </c>
      <c r="M96" s="7"/>
      <c r="O96" s="7" t="n">
        <f aca="false">O92+1</f>
        <v>2036</v>
      </c>
      <c r="P96" s="9" t="n">
        <f aca="false">'Low scenario'!AG99</f>
        <v>6723765006.27653</v>
      </c>
      <c r="Q96" s="9" t="n">
        <f aca="false">P96/$B$14*100</f>
        <v>131.210160295199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7248156006.34063</v>
      </c>
      <c r="F97" s="9" t="n">
        <f aca="false">E97/$B$14*100</f>
        <v>141.443329823215</v>
      </c>
      <c r="G97" s="10" t="n">
        <f aca="false">AVERAGE(E95:E98)/AVERAGE(E91:E94)-1</f>
        <v>0.0146041249771969</v>
      </c>
      <c r="H97" s="3" t="n">
        <f aca="false">H96</f>
        <v>52</v>
      </c>
      <c r="K97" s="9" t="n">
        <f aca="false">'High scenario'!AG100</f>
        <v>8311377600.66942</v>
      </c>
      <c r="L97" s="9" t="n">
        <f aca="false">K97/$B$14*100</f>
        <v>162.191448725493</v>
      </c>
      <c r="M97" s="10" t="n">
        <f aca="false">AVERAGE(K95:K98)/AVERAGE(K91:K94)-1</f>
        <v>0.0218996731021421</v>
      </c>
      <c r="O97" s="7" t="n">
        <f aca="false">O93+1</f>
        <v>2036</v>
      </c>
      <c r="P97" s="9" t="n">
        <f aca="false">'Low scenario'!AG100</f>
        <v>6741857977.94743</v>
      </c>
      <c r="Q97" s="9" t="n">
        <f aca="false">P97/$B$14*100</f>
        <v>131.563233567531</v>
      </c>
      <c r="R97" s="10" t="n">
        <f aca="false">AVERAGE(P95:P98)/AVERAGE(P91:P94)-1</f>
        <v>0.00759553557547132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7298010998.5751</v>
      </c>
      <c r="F98" s="9" t="n">
        <f aca="false">E98/$B$14*100</f>
        <v>142.416219493882</v>
      </c>
      <c r="G98" s="7"/>
      <c r="H98" s="3" t="n">
        <f aca="false">H97</f>
        <v>52</v>
      </c>
      <c r="K98" s="9" t="n">
        <f aca="false">'High scenario'!AG101</f>
        <v>8363315216.20232</v>
      </c>
      <c r="L98" s="9" t="n">
        <f aca="false">K98/$B$14*100</f>
        <v>163.204979515617</v>
      </c>
      <c r="M98" s="7"/>
      <c r="O98" s="7" t="n">
        <f aca="false">O94+1</f>
        <v>2036</v>
      </c>
      <c r="P98" s="9" t="n">
        <f aca="false">'Low scenario'!AG101</f>
        <v>6741135075.21941</v>
      </c>
      <c r="Q98" s="9" t="n">
        <f aca="false">P98/$B$14*100</f>
        <v>131.549126563087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7350893980.96401</v>
      </c>
      <c r="F99" s="6" t="n">
        <f aca="false">E99/$B$14*100</f>
        <v>143.448198539798</v>
      </c>
      <c r="G99" s="7"/>
      <c r="H99" s="3" t="n">
        <f aca="false">H98</f>
        <v>52</v>
      </c>
      <c r="K99" s="6" t="n">
        <f aca="false">'High scenario'!AG102</f>
        <v>8425863697.01214</v>
      </c>
      <c r="L99" s="6" t="n">
        <f aca="false">K99/$B$14*100</f>
        <v>164.425574849573</v>
      </c>
      <c r="M99" s="7"/>
      <c r="O99" s="5" t="n">
        <f aca="false">O95+1</f>
        <v>2037</v>
      </c>
      <c r="P99" s="6" t="n">
        <f aca="false">'Low scenario'!AG102</f>
        <v>6745686204.5589</v>
      </c>
      <c r="Q99" s="6" t="n">
        <f aca="false">P99/$B$14*100</f>
        <v>131.637939067629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7390979144.84438</v>
      </c>
      <c r="F100" s="9" t="n">
        <f aca="false">E100/$B$14*100</f>
        <v>144.230435987611</v>
      </c>
      <c r="G100" s="7"/>
      <c r="H100" s="3" t="n">
        <f aca="false">H99</f>
        <v>52</v>
      </c>
      <c r="K100" s="9" t="n">
        <f aca="false">'High scenario'!AG103</f>
        <v>8492830336.76564</v>
      </c>
      <c r="L100" s="9" t="n">
        <f aca="false">K100/$B$14*100</f>
        <v>165.732387852152</v>
      </c>
      <c r="M100" s="7"/>
      <c r="O100" s="7" t="n">
        <f aca="false">O96+1</f>
        <v>2037</v>
      </c>
      <c r="P100" s="9" t="n">
        <f aca="false">'Low scenario'!AG103</f>
        <v>6765490031.78334</v>
      </c>
      <c r="Q100" s="9" t="n">
        <f aca="false">P100/$B$14*100</f>
        <v>132.024398639335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7411101625.29125</v>
      </c>
      <c r="F101" s="9" t="n">
        <f aca="false">E101/$B$14*100</f>
        <v>144.623113881991</v>
      </c>
      <c r="G101" s="10" t="n">
        <f aca="false">AVERAGE(E99:E102)/AVERAGE(E95:E98)-1</f>
        <v>0.0220748351043731</v>
      </c>
      <c r="H101" s="3" t="n">
        <f aca="false">H100</f>
        <v>52</v>
      </c>
      <c r="K101" s="9" t="n">
        <f aca="false">'High scenario'!AG104</f>
        <v>8554037489.00063</v>
      </c>
      <c r="L101" s="9" t="n">
        <f aca="false">K101/$B$14*100</f>
        <v>166.926807979635</v>
      </c>
      <c r="M101" s="10" t="n">
        <f aca="false">AVERAGE(K99:K102)/AVERAGE(K95:K98)-1</f>
        <v>0.0293207023537363</v>
      </c>
      <c r="O101" s="7" t="n">
        <f aca="false">O97+1</f>
        <v>2037</v>
      </c>
      <c r="P101" s="9" t="n">
        <f aca="false">'Low scenario'!AG104</f>
        <v>6797648221.16776</v>
      </c>
      <c r="Q101" s="9" t="n">
        <f aca="false">P101/$B$14*100</f>
        <v>132.651946029822</v>
      </c>
      <c r="R101" s="10" t="n">
        <f aca="false">AVERAGE(P99:P102)/AVERAGE(P95:P98)-1</f>
        <v>0.00860149737064608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7427180800.67969</v>
      </c>
      <c r="F102" s="9" t="n">
        <f aca="false">E102/$B$14*100</f>
        <v>144.936889151972</v>
      </c>
      <c r="G102" s="7"/>
      <c r="H102" s="3" t="n">
        <f aca="false">H101</f>
        <v>52</v>
      </c>
      <c r="K102" s="9" t="n">
        <f aca="false">'High scenario'!AG105</f>
        <v>8620785989.87145</v>
      </c>
      <c r="L102" s="9" t="n">
        <f aca="false">K102/$B$14*100</f>
        <v>168.229364135383</v>
      </c>
      <c r="M102" s="7"/>
      <c r="O102" s="7" t="n">
        <f aca="false">O98+1</f>
        <v>2037</v>
      </c>
      <c r="P102" s="9" t="n">
        <f aca="false">'Low scenario'!AG105</f>
        <v>6830337487.17651</v>
      </c>
      <c r="Q102" s="9" t="n">
        <f aca="false">P102/$B$14*100</f>
        <v>133.289857055703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7456754089.39646</v>
      </c>
      <c r="F103" s="6" t="n">
        <f aca="false">E103/$B$14*100</f>
        <v>145.513993787449</v>
      </c>
      <c r="G103" s="7"/>
      <c r="H103" s="3" t="n">
        <f aca="false">H102</f>
        <v>52</v>
      </c>
      <c r="K103" s="6" t="n">
        <f aca="false">'High scenario'!AG106</f>
        <v>8668684970.38187</v>
      </c>
      <c r="L103" s="6" t="n">
        <f aca="false">K103/$B$14*100</f>
        <v>169.164083434002</v>
      </c>
      <c r="M103" s="7"/>
      <c r="O103" s="5" t="n">
        <f aca="false">O99+1</f>
        <v>2038</v>
      </c>
      <c r="P103" s="6" t="n">
        <f aca="false">'Low scenario'!AG106</f>
        <v>6837891688.28035</v>
      </c>
      <c r="Q103" s="6" t="n">
        <f aca="false">P103/$B$14*100</f>
        <v>133.437272668356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7513881557.0195</v>
      </c>
      <c r="F104" s="9" t="n">
        <f aca="false">E104/$B$14*100</f>
        <v>146.628801365804</v>
      </c>
      <c r="G104" s="7"/>
      <c r="H104" s="3" t="n">
        <f aca="false">H103</f>
        <v>52</v>
      </c>
      <c r="K104" s="9" t="n">
        <f aca="false">'High scenario'!AG107</f>
        <v>8701233663.02414</v>
      </c>
      <c r="L104" s="9" t="n">
        <f aca="false">K104/$B$14*100</f>
        <v>169.799251256644</v>
      </c>
      <c r="M104" s="7"/>
      <c r="O104" s="7" t="n">
        <f aca="false">O100+1</f>
        <v>2038</v>
      </c>
      <c r="P104" s="9" t="n">
        <f aca="false">'Low scenario'!AG107</f>
        <v>6887522546.95671</v>
      </c>
      <c r="Q104" s="9" t="n">
        <f aca="false">P104/$B$14*100</f>
        <v>134.405788509769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7531761828.01409</v>
      </c>
      <c r="F105" s="9" t="n">
        <f aca="false">E105/$B$14*100</f>
        <v>146.977723914575</v>
      </c>
      <c r="G105" s="10" t="n">
        <f aca="false">AVERAGE(E103:E106)/AVERAGE(E99:E102)-1</f>
        <v>0.0172846362197101</v>
      </c>
      <c r="H105" s="3" t="n">
        <f aca="false">H104</f>
        <v>52</v>
      </c>
      <c r="K105" s="9" t="n">
        <f aca="false">'High scenario'!AG108</f>
        <v>8734472661.7378</v>
      </c>
      <c r="L105" s="9" t="n">
        <f aca="false">K105/$B$14*100</f>
        <v>170.447889979919</v>
      </c>
      <c r="M105" s="10" t="n">
        <f aca="false">AVERAGE(K103:K106)/AVERAGE(K99:K102)-1</f>
        <v>0.0242193517572622</v>
      </c>
      <c r="O105" s="7" t="n">
        <f aca="false">O101+1</f>
        <v>2038</v>
      </c>
      <c r="P105" s="9" t="n">
        <f aca="false">'Low scenario'!AG108</f>
        <v>6896115557.19093</v>
      </c>
      <c r="Q105" s="9" t="n">
        <f aca="false">P105/$B$14*100</f>
        <v>134.573475847027</v>
      </c>
      <c r="R105" s="10" t="n">
        <f aca="false">AVERAGE(P103:P106)/AVERAGE(P99:P102)-1</f>
        <v>0.0126915681499526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7589040305.38423</v>
      </c>
      <c r="F106" s="9" t="n">
        <f aca="false">E106/$B$14*100</f>
        <v>148.095478355752</v>
      </c>
      <c r="G106" s="7"/>
      <c r="H106" s="3" t="n">
        <f aca="false">H105</f>
        <v>52</v>
      </c>
      <c r="K106" s="9" t="n">
        <f aca="false">'High scenario'!AG109</f>
        <v>8814849110.78729</v>
      </c>
      <c r="L106" s="9" t="n">
        <f aca="false">K106/$B$14*100</f>
        <v>172.016387206383</v>
      </c>
      <c r="M106" s="7"/>
      <c r="O106" s="7" t="n">
        <f aca="false">O102+1</f>
        <v>2038</v>
      </c>
      <c r="P106" s="9" t="n">
        <f aca="false">'Low scenario'!AG109</f>
        <v>6862070675.61211</v>
      </c>
      <c r="Q106" s="9" t="n">
        <f aca="false">P106/$B$14*100</f>
        <v>133.909110812702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7655938865.41085</v>
      </c>
      <c r="F107" s="6" t="n">
        <f aca="false">E107/$B$14*100</f>
        <v>149.400962824114</v>
      </c>
      <c r="G107" s="7"/>
      <c r="H107" s="3" t="n">
        <f aca="false">H106</f>
        <v>52</v>
      </c>
      <c r="K107" s="6" t="n">
        <f aca="false">'High scenario'!AG110</f>
        <v>8825247571.70354</v>
      </c>
      <c r="L107" s="6" t="n">
        <f aca="false">K107/$B$14*100</f>
        <v>172.219306809072</v>
      </c>
      <c r="M107" s="7"/>
      <c r="O107" s="5" t="n">
        <f aca="false">O103+1</f>
        <v>2039</v>
      </c>
      <c r="P107" s="6" t="n">
        <f aca="false">'Low scenario'!AG110</f>
        <v>6869871328.9926</v>
      </c>
      <c r="Q107" s="6" t="n">
        <f aca="false">P107/$B$14*100</f>
        <v>134.061335790747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7689238136.5842</v>
      </c>
      <c r="F108" s="9" t="n">
        <f aca="false">E108/$B$14*100</f>
        <v>150.050777727564</v>
      </c>
      <c r="G108" s="7"/>
      <c r="H108" s="3" t="n">
        <f aca="false">H107</f>
        <v>52</v>
      </c>
      <c r="K108" s="9" t="n">
        <f aca="false">'High scenario'!AG111</f>
        <v>8882224420.32081</v>
      </c>
      <c r="L108" s="9" t="n">
        <f aca="false">K108/$B$14*100</f>
        <v>173.331175149683</v>
      </c>
      <c r="M108" s="7"/>
      <c r="O108" s="7" t="n">
        <f aca="false">O104+1</f>
        <v>2039</v>
      </c>
      <c r="P108" s="9" t="n">
        <f aca="false">'Low scenario'!AG111</f>
        <v>6893182179.05795</v>
      </c>
      <c r="Q108" s="9" t="n">
        <f aca="false">P108/$B$14*100</f>
        <v>134.516232767491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7731878272.72141</v>
      </c>
      <c r="F109" s="9" t="n">
        <f aca="false">E109/$B$14*100</f>
        <v>150.88287389576</v>
      </c>
      <c r="G109" s="10" t="n">
        <f aca="false">AVERAGE(E107:E110)/AVERAGE(E103:E106)-1</f>
        <v>0.0240553980782583</v>
      </c>
      <c r="H109" s="3" t="n">
        <f aca="false">H108</f>
        <v>52</v>
      </c>
      <c r="K109" s="9" t="n">
        <f aca="false">'High scenario'!AG112</f>
        <v>8911843383.61945</v>
      </c>
      <c r="L109" s="9" t="n">
        <f aca="false">K109/$B$14*100</f>
        <v>173.90917109668</v>
      </c>
      <c r="M109" s="10" t="n">
        <f aca="false">AVERAGE(K107:K110)/AVERAGE(K103:K106)-1</f>
        <v>0.0193280755809673</v>
      </c>
      <c r="O109" s="7" t="n">
        <f aca="false">O105+1</f>
        <v>2039</v>
      </c>
      <c r="P109" s="9" t="n">
        <f aca="false">'Low scenario'!AG112</f>
        <v>6923708674.86956</v>
      </c>
      <c r="Q109" s="9" t="n">
        <f aca="false">P109/$B$14*100</f>
        <v>135.111938656223</v>
      </c>
      <c r="R109" s="10" t="n">
        <f aca="false">AVERAGE(P107:P110)/AVERAGE(P103:P106)-1</f>
        <v>0.00521842021828656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7738244019.63839</v>
      </c>
      <c r="F110" s="9" t="n">
        <f aca="false">E110/$B$14*100</f>
        <v>151.007097552088</v>
      </c>
      <c r="G110" s="7"/>
      <c r="H110" s="3" t="n">
        <f aca="false">H109</f>
        <v>52</v>
      </c>
      <c r="K110" s="9" t="n">
        <f aca="false">'High scenario'!AG113</f>
        <v>8974846748.08309</v>
      </c>
      <c r="L110" s="9" t="n">
        <f aca="false">K110/$B$14*100</f>
        <v>175.138643206829</v>
      </c>
      <c r="M110" s="7"/>
      <c r="O110" s="7" t="n">
        <f aca="false">O106+1</f>
        <v>2039</v>
      </c>
      <c r="P110" s="9" t="n">
        <f aca="false">'Low scenario'!AG113</f>
        <v>6940259261.47371</v>
      </c>
      <c r="Q110" s="9" t="n">
        <f aca="false">P110/$B$14*100</f>
        <v>135.434913227655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7771429266.40664</v>
      </c>
      <c r="F111" s="6" t="n">
        <f aca="false">E111/$B$14*100</f>
        <v>151.654687339036</v>
      </c>
      <c r="G111" s="7"/>
      <c r="H111" s="3" t="n">
        <f aca="false">H110</f>
        <v>52</v>
      </c>
      <c r="K111" s="6" t="n">
        <f aca="false">'High scenario'!AG114</f>
        <v>9019706851.47376</v>
      </c>
      <c r="L111" s="6" t="n">
        <f aca="false">K111/$B$14*100</f>
        <v>176.014060677733</v>
      </c>
      <c r="M111" s="7"/>
      <c r="O111" s="5" t="n">
        <f aca="false">O107+1</f>
        <v>2040</v>
      </c>
      <c r="P111" s="6" t="n">
        <f aca="false">'Low scenario'!AG114</f>
        <v>6951006611.40986</v>
      </c>
      <c r="Q111" s="6" t="n">
        <f aca="false">P111/$B$14*100</f>
        <v>135.644641186106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7824306884.55299</v>
      </c>
      <c r="F112" s="9" t="n">
        <f aca="false">E112/$B$14*100</f>
        <v>152.68656170504</v>
      </c>
      <c r="G112" s="7"/>
      <c r="H112" s="3" t="n">
        <f aca="false">H111</f>
        <v>52</v>
      </c>
      <c r="K112" s="9" t="n">
        <f aca="false">'High scenario'!AG115</f>
        <v>9097444804.17105</v>
      </c>
      <c r="L112" s="9" t="n">
        <f aca="false">K112/$B$14*100</f>
        <v>177.531069262196</v>
      </c>
      <c r="M112" s="7"/>
      <c r="O112" s="7" t="n">
        <f aca="false">O108+1</f>
        <v>2040</v>
      </c>
      <c r="P112" s="9" t="n">
        <f aca="false">'Low scenario'!AG115</f>
        <v>6959288149.16839</v>
      </c>
      <c r="Q112" s="9" t="n">
        <f aca="false">P112/$B$14*100</f>
        <v>135.806250328569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7831590476.86819</v>
      </c>
      <c r="F113" s="9" t="n">
        <f aca="false">E113/$B$14*100</f>
        <v>152.828696552749</v>
      </c>
      <c r="G113" s="10" t="n">
        <f aca="false">AVERAGE(E111:E114)/AVERAGE(E107:E110)-1</f>
        <v>0.0146219403232377</v>
      </c>
      <c r="H113" s="3" t="n">
        <f aca="false">H112</f>
        <v>52</v>
      </c>
      <c r="K113" s="9" t="n">
        <f aca="false">'High scenario'!AG116</f>
        <v>9158532767.66347</v>
      </c>
      <c r="L113" s="9" t="n">
        <f aca="false">K113/$B$14*100</f>
        <v>178.723163494291</v>
      </c>
      <c r="M113" s="10" t="n">
        <f aca="false">AVERAGE(K111:K114)/AVERAGE(K107:K110)-1</f>
        <v>0.0250636819375876</v>
      </c>
      <c r="O113" s="7" t="n">
        <f aca="false">O109+1</f>
        <v>2040</v>
      </c>
      <c r="P113" s="9" t="n">
        <f aca="false">'Low scenario'!AG116</f>
        <v>6975430990.13174</v>
      </c>
      <c r="Q113" s="9" t="n">
        <f aca="false">P113/$B$14*100</f>
        <v>136.121267993292</v>
      </c>
      <c r="R113" s="10" t="n">
        <f aca="false">AVERAGE(P111:P114)/AVERAGE(P107:P110)-1</f>
        <v>0.00730754531766031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7838552133.85181</v>
      </c>
      <c r="F114" s="9" t="n">
        <f aca="false">E114/$B$14*100</f>
        <v>152.964549029433</v>
      </c>
      <c r="G114" s="7"/>
      <c r="H114" s="3" t="n">
        <f aca="false">H113</f>
        <v>52</v>
      </c>
      <c r="K114" s="9" t="n">
        <f aca="false">'High scenario'!AG117</f>
        <v>9210598458.72264</v>
      </c>
      <c r="L114" s="9" t="n">
        <f aca="false">K114/$B$14*100</f>
        <v>179.739193599951</v>
      </c>
      <c r="M114" s="7"/>
      <c r="O114" s="7" t="n">
        <f aca="false">O110+1</f>
        <v>2040</v>
      </c>
      <c r="P114" s="9" t="n">
        <f aca="false">'Low scenario'!AG117</f>
        <v>6943181404.88073</v>
      </c>
      <c r="Q114" s="9" t="n">
        <f aca="false">P114/$B$14*100</f>
        <v>135.491937068388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73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26" activeCellId="0" sqref="B26"/>
    </sheetView>
  </sheetViews>
  <sheetFormatPr defaultColWidth="11.47265625" defaultRowHeight="12.8" zeroHeight="false" outlineLevelRow="0" outlineLevelCol="0"/>
  <sheetData>
    <row r="1" customFormat="false" ht="85.95" hidden="false" customHeight="false" outlineLevel="0" collapsed="false">
      <c r="A1" s="90"/>
      <c r="B1" s="91" t="s">
        <v>122</v>
      </c>
      <c r="C1" s="92" t="s">
        <v>0</v>
      </c>
      <c r="D1" s="92" t="s">
        <v>128</v>
      </c>
      <c r="E1" s="92" t="s">
        <v>124</v>
      </c>
      <c r="F1" s="92" t="s">
        <v>129</v>
      </c>
      <c r="G1" s="92" t="s">
        <v>126</v>
      </c>
      <c r="H1" s="92" t="s">
        <v>130</v>
      </c>
      <c r="I1" s="92"/>
    </row>
    <row r="2" customFormat="false" ht="12.8" hidden="false" customHeight="false" outlineLevel="0" collapsed="false">
      <c r="A2" s="90"/>
      <c r="B2" s="91"/>
      <c r="C2" s="90"/>
      <c r="D2" s="90"/>
      <c r="E2" s="90"/>
      <c r="F2" s="90"/>
      <c r="G2" s="90"/>
      <c r="H2" s="90"/>
      <c r="I2" s="90"/>
    </row>
    <row r="3" customFormat="false" ht="15" hidden="false" customHeight="false" outlineLevel="0" collapsed="false">
      <c r="A3" s="93" t="n">
        <v>1993</v>
      </c>
      <c r="B3" s="94" t="n">
        <v>-0.000446069275463893</v>
      </c>
      <c r="C3" s="90"/>
      <c r="D3" s="90"/>
      <c r="E3" s="90"/>
      <c r="F3" s="90"/>
      <c r="G3" s="90"/>
      <c r="H3" s="90"/>
      <c r="I3" s="90"/>
    </row>
    <row r="4" customFormat="false" ht="15" hidden="false" customHeight="false" outlineLevel="0" collapsed="false">
      <c r="A4" s="93" t="n">
        <v>1994</v>
      </c>
      <c r="B4" s="95" t="n">
        <v>-0.0130853294610615</v>
      </c>
      <c r="C4" s="90"/>
      <c r="D4" s="90"/>
      <c r="E4" s="90"/>
      <c r="F4" s="90"/>
      <c r="G4" s="90"/>
      <c r="H4" s="90"/>
      <c r="I4" s="90"/>
    </row>
    <row r="5" customFormat="false" ht="15" hidden="false" customHeight="false" outlineLevel="0" collapsed="false">
      <c r="A5" s="93" t="n">
        <v>1995</v>
      </c>
      <c r="B5" s="94" t="n">
        <v>-0.00637934959758819</v>
      </c>
      <c r="C5" s="90"/>
      <c r="D5" s="90"/>
      <c r="E5" s="90"/>
      <c r="F5" s="90"/>
      <c r="G5" s="90"/>
      <c r="H5" s="90"/>
      <c r="I5" s="90"/>
    </row>
    <row r="6" customFormat="false" ht="15" hidden="false" customHeight="false" outlineLevel="0" collapsed="false">
      <c r="A6" s="93" t="n">
        <v>1996</v>
      </c>
      <c r="B6" s="95" t="n">
        <v>-0.00528730473079139</v>
      </c>
      <c r="C6" s="90"/>
      <c r="D6" s="90"/>
      <c r="E6" s="90"/>
      <c r="F6" s="90"/>
      <c r="G6" s="90"/>
      <c r="H6" s="90"/>
      <c r="I6" s="90"/>
      <c r="BJ6" s="31"/>
    </row>
    <row r="7" customFormat="false" ht="15" hidden="false" customHeight="false" outlineLevel="0" collapsed="false">
      <c r="A7" s="93" t="n">
        <v>1997</v>
      </c>
      <c r="B7" s="94" t="n">
        <v>-0.00315594528811225</v>
      </c>
      <c r="C7" s="90"/>
      <c r="D7" s="90"/>
      <c r="E7" s="90"/>
      <c r="F7" s="90"/>
      <c r="G7" s="90"/>
      <c r="H7" s="90"/>
      <c r="I7" s="90"/>
    </row>
    <row r="8" customFormat="false" ht="15" hidden="false" customHeight="false" outlineLevel="0" collapsed="false">
      <c r="A8" s="93" t="n">
        <v>1998</v>
      </c>
      <c r="B8" s="95" t="n">
        <v>-0.00266006212398561</v>
      </c>
      <c r="C8" s="90"/>
      <c r="D8" s="90"/>
      <c r="E8" s="90"/>
      <c r="F8" s="90"/>
      <c r="G8" s="90"/>
      <c r="H8" s="90"/>
      <c r="I8" s="90"/>
    </row>
    <row r="9" customFormat="false" ht="15" hidden="false" customHeight="false" outlineLevel="0" collapsed="false">
      <c r="A9" s="93" t="n">
        <v>1999</v>
      </c>
      <c r="B9" s="94" t="n">
        <v>-0.0077596880146275</v>
      </c>
      <c r="C9" s="90"/>
      <c r="D9" s="90"/>
      <c r="E9" s="90"/>
      <c r="F9" s="90"/>
      <c r="G9" s="90"/>
      <c r="H9" s="90"/>
      <c r="I9" s="90"/>
    </row>
    <row r="10" customFormat="false" ht="15" hidden="false" customHeight="false" outlineLevel="0" collapsed="false">
      <c r="A10" s="93" t="n">
        <v>2000</v>
      </c>
      <c r="B10" s="95" t="n">
        <v>-0.00673854445377408</v>
      </c>
      <c r="C10" s="90"/>
      <c r="D10" s="90"/>
      <c r="E10" s="90"/>
      <c r="F10" s="90"/>
      <c r="G10" s="90"/>
      <c r="H10" s="90"/>
      <c r="I10" s="90"/>
    </row>
    <row r="11" customFormat="false" ht="15" hidden="false" customHeight="false" outlineLevel="0" collapsed="false">
      <c r="A11" s="93" t="n">
        <v>2001</v>
      </c>
      <c r="B11" s="94" t="n">
        <v>-0.0101649287372602</v>
      </c>
      <c r="C11" s="90"/>
      <c r="D11" s="90"/>
      <c r="E11" s="90"/>
      <c r="F11" s="90"/>
      <c r="G11" s="90"/>
      <c r="H11" s="90"/>
      <c r="I11" s="90"/>
    </row>
    <row r="12" customFormat="false" ht="15" hidden="false" customHeight="false" outlineLevel="0" collapsed="false">
      <c r="A12" s="93" t="n">
        <v>2002</v>
      </c>
      <c r="B12" s="95" t="n">
        <v>-0.0114398617982835</v>
      </c>
      <c r="C12" s="90"/>
      <c r="D12" s="90"/>
      <c r="E12" s="90"/>
      <c r="F12" s="90"/>
      <c r="G12" s="90"/>
      <c r="H12" s="90"/>
      <c r="I12" s="90"/>
    </row>
    <row r="13" customFormat="false" ht="15" hidden="false" customHeight="false" outlineLevel="0" collapsed="false">
      <c r="A13" s="93" t="n">
        <v>2003</v>
      </c>
      <c r="B13" s="94" t="n">
        <v>-0.00492707399415027</v>
      </c>
      <c r="C13" s="90"/>
      <c r="D13" s="90"/>
      <c r="E13" s="90"/>
      <c r="F13" s="90"/>
      <c r="G13" s="90"/>
      <c r="H13" s="90"/>
      <c r="I13" s="90"/>
    </row>
    <row r="14" customFormat="false" ht="15" hidden="false" customHeight="false" outlineLevel="0" collapsed="false">
      <c r="A14" s="93" t="n">
        <v>2004</v>
      </c>
      <c r="B14" s="95" t="n">
        <v>0.00382133245719463</v>
      </c>
      <c r="C14" s="90"/>
      <c r="D14" s="90"/>
      <c r="E14" s="90"/>
      <c r="F14" s="90"/>
      <c r="G14" s="90"/>
      <c r="H14" s="90"/>
      <c r="I14" s="90"/>
    </row>
    <row r="15" customFormat="false" ht="15" hidden="false" customHeight="false" outlineLevel="0" collapsed="false">
      <c r="A15" s="93" t="n">
        <v>2005</v>
      </c>
      <c r="B15" s="94" t="n">
        <v>0.00757769102751198</v>
      </c>
      <c r="C15" s="90"/>
      <c r="D15" s="90"/>
      <c r="E15" s="90"/>
      <c r="F15" s="90"/>
      <c r="G15" s="90"/>
      <c r="H15" s="90"/>
      <c r="I15" s="90"/>
    </row>
    <row r="16" customFormat="false" ht="15" hidden="false" customHeight="false" outlineLevel="0" collapsed="false">
      <c r="A16" s="93" t="n">
        <v>2006</v>
      </c>
      <c r="B16" s="95" t="n">
        <v>0.00917791831736937</v>
      </c>
      <c r="C16" s="90"/>
      <c r="D16" s="90"/>
      <c r="E16" s="90"/>
      <c r="F16" s="90"/>
      <c r="G16" s="90"/>
      <c r="H16" s="90"/>
      <c r="I16" s="90"/>
    </row>
    <row r="17" customFormat="false" ht="15" hidden="false" customHeight="false" outlineLevel="0" collapsed="false">
      <c r="A17" s="93" t="n">
        <v>2007</v>
      </c>
      <c r="B17" s="94" t="n">
        <v>0.0108470293692913</v>
      </c>
      <c r="C17" s="90"/>
      <c r="D17" s="90"/>
      <c r="E17" s="90"/>
      <c r="F17" s="90"/>
      <c r="G17" s="90"/>
      <c r="H17" s="90"/>
      <c r="I17" s="90"/>
    </row>
    <row r="18" customFormat="false" ht="15" hidden="false" customHeight="false" outlineLevel="0" collapsed="false">
      <c r="A18" s="93" t="n">
        <v>2008</v>
      </c>
      <c r="B18" s="95" t="n">
        <v>0.00473047402209589</v>
      </c>
      <c r="C18" s="90"/>
      <c r="D18" s="90"/>
      <c r="E18" s="90"/>
      <c r="F18" s="90"/>
      <c r="G18" s="90"/>
      <c r="H18" s="90"/>
      <c r="I18" s="90"/>
    </row>
    <row r="19" customFormat="false" ht="15" hidden="false" customHeight="false" outlineLevel="0" collapsed="false">
      <c r="A19" s="93" t="n">
        <v>2009</v>
      </c>
      <c r="B19" s="94" t="n">
        <v>0.00347884656778641</v>
      </c>
      <c r="C19" s="90"/>
      <c r="D19" s="90"/>
      <c r="E19" s="90"/>
      <c r="F19" s="90"/>
      <c r="G19" s="90"/>
      <c r="H19" s="90"/>
      <c r="I19" s="90"/>
    </row>
    <row r="20" customFormat="false" ht="15" hidden="false" customHeight="false" outlineLevel="0" collapsed="false">
      <c r="A20" s="93" t="n">
        <v>2010</v>
      </c>
      <c r="B20" s="95" t="n">
        <v>0.00411235591593429</v>
      </c>
      <c r="C20" s="90"/>
      <c r="D20" s="90"/>
      <c r="E20" s="90"/>
      <c r="F20" s="90"/>
      <c r="G20" s="90"/>
      <c r="H20" s="90"/>
      <c r="I20" s="90"/>
    </row>
    <row r="21" customFormat="false" ht="15" hidden="false" customHeight="false" outlineLevel="0" collapsed="false">
      <c r="A21" s="93" t="n">
        <v>2011</v>
      </c>
      <c r="B21" s="94" t="n">
        <v>0.00326307905881009</v>
      </c>
      <c r="C21" s="90"/>
      <c r="D21" s="90"/>
      <c r="E21" s="90"/>
      <c r="F21" s="90"/>
      <c r="G21" s="90"/>
      <c r="H21" s="90"/>
      <c r="I21" s="90"/>
    </row>
    <row r="22" customFormat="false" ht="15" hidden="false" customHeight="false" outlineLevel="0" collapsed="false">
      <c r="A22" s="93" t="n">
        <v>2012</v>
      </c>
      <c r="B22" s="95" t="n">
        <v>0.00105161751029002</v>
      </c>
      <c r="C22" s="90"/>
      <c r="D22" s="90"/>
      <c r="E22" s="90"/>
      <c r="F22" s="90"/>
      <c r="G22" s="90"/>
      <c r="H22" s="90"/>
      <c r="I22" s="90"/>
    </row>
    <row r="23" customFormat="false" ht="15" hidden="false" customHeight="false" outlineLevel="0" collapsed="false">
      <c r="A23" s="93" t="n">
        <v>2013</v>
      </c>
      <c r="B23" s="94" t="n">
        <v>-0.000951668558161176</v>
      </c>
      <c r="C23" s="90"/>
      <c r="D23" s="90"/>
      <c r="E23" s="90"/>
      <c r="F23" s="90"/>
      <c r="G23" s="90"/>
      <c r="H23" s="90"/>
      <c r="I23" s="90"/>
    </row>
    <row r="24" customFormat="false" ht="15" hidden="false" customHeight="false" outlineLevel="0" collapsed="false">
      <c r="A24" s="93" t="n">
        <v>2014</v>
      </c>
      <c r="B24" s="95" t="n">
        <v>-0.00129286375596846</v>
      </c>
      <c r="C24" s="96" t="n">
        <f aca="false">'Central scenario'!AL3+SUM($C104:$J104)-$H104-$F104-SUM($K104:$Q104)</f>
        <v>0.00115825366281495</v>
      </c>
      <c r="D24" s="104" t="n">
        <f aca="false">C24</f>
        <v>0.00115825366281495</v>
      </c>
      <c r="E24" s="90"/>
      <c r="F24" s="90"/>
      <c r="G24" s="102"/>
      <c r="H24" s="90"/>
      <c r="I24" s="90"/>
    </row>
    <row r="25" customFormat="false" ht="15" hidden="false" customHeight="false" outlineLevel="0" collapsed="false">
      <c r="A25" s="93" t="n">
        <v>2015</v>
      </c>
      <c r="B25" s="94" t="n">
        <v>-0.00750733306177321</v>
      </c>
      <c r="C25" s="96" t="n">
        <f aca="false">'Central scenario'!AL4+SUM($C105:$J105)-$H105-$F105-SUM($K105:$Q105)</f>
        <v>-0.0116326054864976</v>
      </c>
      <c r="D25" s="104" t="n">
        <f aca="false">C25</f>
        <v>-0.0116326054864976</v>
      </c>
      <c r="E25" s="90"/>
      <c r="F25" s="90"/>
      <c r="G25" s="90"/>
      <c r="H25" s="90"/>
      <c r="I25" s="90"/>
    </row>
    <row r="26" customFormat="false" ht="15" hidden="false" customHeight="false" outlineLevel="0" collapsed="false">
      <c r="A26" s="93" t="n">
        <v>2016</v>
      </c>
      <c r="B26" s="105" t="n">
        <v>-0.0203467996958489</v>
      </c>
      <c r="C26" s="96" t="n">
        <f aca="false">'Central scenario'!AL5+SUM($C106:$J106)-$H106-$F106-SUM($K106:$Q106)</f>
        <v>-0.0153553270012793</v>
      </c>
      <c r="D26" s="96" t="n">
        <f aca="false">'Central scenario'!BO5+SUM($C106:$J106)-$H106-$F106-SUM($K106:$R106)</f>
        <v>-0.0191993725951132</v>
      </c>
      <c r="E26" s="90"/>
      <c r="F26" s="90"/>
      <c r="G26" s="90"/>
      <c r="H26" s="90"/>
      <c r="I26" s="90"/>
    </row>
    <row r="27" customFormat="false" ht="15" hidden="false" customHeight="false" outlineLevel="0" collapsed="false">
      <c r="A27" s="93" t="n">
        <v>2017</v>
      </c>
      <c r="B27" s="106" t="n">
        <v>-0.0241047020081896</v>
      </c>
      <c r="C27" s="96" t="n">
        <f aca="false">'Central scenario'!AL6+SUM($C107:$J107)-$H107-$F107-SUM($K107:$Q107)</f>
        <v>-0.0181350082849173</v>
      </c>
      <c r="D27" s="96" t="n">
        <f aca="false">'Central scenario'!BO6+SUM($C107:$J107)-$H107-$F107-SUM($K107:$R107)</f>
        <v>-0.0260033305924489</v>
      </c>
      <c r="E27" s="99"/>
      <c r="F27" s="98"/>
      <c r="G27" s="98"/>
      <c r="H27" s="98"/>
      <c r="I27" s="98"/>
    </row>
    <row r="28" customFormat="false" ht="15" hidden="false" customHeight="false" outlineLevel="0" collapsed="false">
      <c r="A28" s="93" t="n">
        <v>2018</v>
      </c>
      <c r="B28" s="105" t="n">
        <v>-0.0182717978002125</v>
      </c>
      <c r="C28" s="96" t="n">
        <f aca="false">'Central scenario'!$AL7+SUM($C108:$J108)-$F108-SUM($K108:$Q108)</f>
        <v>-0.00871940472125676</v>
      </c>
      <c r="D28" s="96" t="n">
        <f aca="false">'Central scenario'!BO7+SUM($C108:$J108)-$F108-SUM($K108:$R108)</f>
        <v>-0.0212135726764704</v>
      </c>
      <c r="E28" s="98"/>
      <c r="F28" s="98"/>
      <c r="G28" s="98"/>
      <c r="H28" s="98"/>
      <c r="I28" s="98"/>
    </row>
    <row r="29" customFormat="false" ht="15" hidden="false" customHeight="false" outlineLevel="0" collapsed="false">
      <c r="A29" s="93" t="n">
        <v>2019</v>
      </c>
      <c r="B29" s="106" t="n">
        <v>-0.0261904790563603</v>
      </c>
      <c r="C29" s="96" t="n">
        <f aca="false">'Central scenario'!$AL8+SUM($D$112:$J$112)-SUM($K$112:$Q$112)</f>
        <v>-0.014367016201385</v>
      </c>
      <c r="D29" s="96" t="n">
        <f aca="false">'Central scenario'!$BO8+SUM($D$112:$J$112)-SUM($K$112:$Q$112)-$I$112*12/15</f>
        <v>-0.0276739092810219</v>
      </c>
      <c r="E29" s="98" t="n">
        <f aca="false">'Low scenario'!$AL8+SUM($D$112:$J$112)-SUM($K$112:$Q$112)</f>
        <v>-0.0143167425388811</v>
      </c>
      <c r="F29" s="98" t="n">
        <f aca="false">'Low scenario'!$BO8+SUM($D$112:$J$112)-SUM($K$112:$Q$112)-$I$112*12/15</f>
        <v>-0.027623635618518</v>
      </c>
      <c r="G29" s="98" t="n">
        <f aca="false">'High scenario'!$AL8+SUM($D$112:$J$112)-SUM($K$112:$Q$112)</f>
        <v>-0.0150081332609951</v>
      </c>
      <c r="H29" s="98" t="n">
        <f aca="false">'High scenario'!$BO8+SUM($D$112:$J$112)-SUM($K$112:$Q$112)-$I$112*12/15</f>
        <v>-0.0283100704675938</v>
      </c>
      <c r="I29" s="98"/>
    </row>
    <row r="30" customFormat="false" ht="12.8" hidden="false" customHeight="false" outlineLevel="0" collapsed="false">
      <c r="A30" s="93" t="n">
        <v>2020</v>
      </c>
      <c r="B30" s="90"/>
      <c r="C30" s="96" t="n">
        <f aca="false">'Central scenario'!$AL9+SUM($D$112:$J$112)-SUM($K$112:$Q$112)</f>
        <v>-0.0325048902231447</v>
      </c>
      <c r="D30" s="96" t="n">
        <f aca="false">'Central scenario'!$BO9+SUM($D$112:$J$112)-SUM($K$112:$Q$112)-$I$112</f>
        <v>-0.0494454307520652</v>
      </c>
      <c r="E30" s="98" t="n">
        <f aca="false">'Low scenario'!$AL9+SUM($D$112:$J$112)-SUM($K$112:$Q$112)</f>
        <v>-0.0321662141590547</v>
      </c>
      <c r="F30" s="98" t="n">
        <f aca="false">'Low scenario'!$BO9+SUM($D$112:$J$112)-SUM($K$112:$Q$112)-$I$112</f>
        <v>-0.0490935773234202</v>
      </c>
      <c r="G30" s="98" t="n">
        <f aca="false">'High scenario'!$AL9+SUM($D$112:$J$112)-SUM($K$112:$Q$112)</f>
        <v>-0.0316117954750065</v>
      </c>
      <c r="H30" s="98" t="n">
        <f aca="false">'High scenario'!$BO9+SUM($D$112:$J$112)-SUM($K$112:$Q$112)-$I$112</f>
        <v>-0.0485109655298808</v>
      </c>
      <c r="I30" s="98"/>
    </row>
    <row r="31" customFormat="false" ht="12.8" hidden="false" customHeight="false" outlineLevel="0" collapsed="false">
      <c r="A31" s="93" t="n">
        <v>2021</v>
      </c>
      <c r="B31" s="90"/>
      <c r="C31" s="96" t="n">
        <f aca="false">'Central scenario'!$AL10+SUM($D$112:$J$112)-SUM($K$112:$Q$112)</f>
        <v>-0.0263082100065031</v>
      </c>
      <c r="D31" s="96" t="n">
        <f aca="false">'Central scenario'!$BO10+SUM($D$112:$J$112)-SUM($K$112:$Q$112)-$I$112</f>
        <v>-0.0434937256558654</v>
      </c>
      <c r="E31" s="98" t="n">
        <f aca="false">'Low scenario'!$AL10+SUM($D$112:$J$112)-SUM($K$112:$Q$112)</f>
        <v>-0.0279925811871245</v>
      </c>
      <c r="F31" s="98" t="n">
        <f aca="false">'Low scenario'!$BO10+SUM($D$112:$J$112)-SUM($K$112:$Q$112)-$I$112</f>
        <v>-0.0451621779602851</v>
      </c>
      <c r="G31" s="98" t="n">
        <f aca="false">'High scenario'!$AL10+SUM($D$112:$J$112)-SUM($K$112:$Q$112)</f>
        <v>-0.0250659254767241</v>
      </c>
      <c r="H31" s="98" t="n">
        <f aca="false">'High scenario'!$BO10+SUM($D$112:$J$112)-SUM($K$112:$Q$112)-$I$112</f>
        <v>-0.0422882407795455</v>
      </c>
      <c r="I31" s="98"/>
    </row>
    <row r="32" customFormat="false" ht="12.8" hidden="false" customHeight="false" outlineLevel="0" collapsed="false">
      <c r="A32" s="93" t="n">
        <v>2022</v>
      </c>
      <c r="B32" s="90"/>
      <c r="C32" s="96" t="n">
        <f aca="false">'Central scenario'!$AL11+SUM($D$112:$J$112)-SUM($K$112:$Q$112)</f>
        <v>-0.0283074796043045</v>
      </c>
      <c r="D32" s="96" t="n">
        <f aca="false">'Central scenario'!$BO11+SUM($D$112:$J$112)-SUM($K$112:$Q$112)-$I$112</f>
        <v>-0.0458611362697805</v>
      </c>
      <c r="E32" s="98" t="n">
        <f aca="false">'Low scenario'!$AL11+SUM($D$112:$J$112)-SUM($K$112:$Q$112)</f>
        <v>-0.0313328009811925</v>
      </c>
      <c r="F32" s="98" t="n">
        <f aca="false">'Low scenario'!$BO11+SUM($D$112:$J$112)-SUM($K$112:$Q$112)-$I$112</f>
        <v>-0.0488618464968959</v>
      </c>
      <c r="G32" s="98" t="n">
        <f aca="false">'High scenario'!$AL11+SUM($D$112:$J$112)-SUM($K$112:$Q$112)</f>
        <v>-0.0248633540850418</v>
      </c>
      <c r="H32" s="98" t="n">
        <f aca="false">'High scenario'!$BO11+SUM($D$112:$J$112)-SUM($K$112:$Q$112)-$I$112</f>
        <v>-0.0424962079369362</v>
      </c>
      <c r="I32" s="98"/>
    </row>
    <row r="33" customFormat="false" ht="12.8" hidden="false" customHeight="false" outlineLevel="0" collapsed="false">
      <c r="A33" s="93" t="n">
        <v>2023</v>
      </c>
      <c r="B33" s="90"/>
      <c r="C33" s="96" t="n">
        <f aca="false">'Central scenario'!$AL12+SUM($D$112:$J$112)-SUM($K$112:$Q$112)</f>
        <v>-0.0272029778056808</v>
      </c>
      <c r="D33" s="96" t="n">
        <f aca="false">'Central scenario'!$BO12+SUM($D$112:$J$112)-SUM($K$112:$Q$112)-$I$112</f>
        <v>-0.0449542174430694</v>
      </c>
      <c r="E33" s="98" t="n">
        <f aca="false">'Low scenario'!$AL12+SUM($D$112:$J$112)-SUM($K$112:$Q$112)</f>
        <v>-0.0286333367169347</v>
      </c>
      <c r="F33" s="98" t="n">
        <f aca="false">'Low scenario'!$BO12+SUM($D$112:$J$112)-SUM($K$112:$Q$112)-$I$112</f>
        <v>-0.0462903026740802</v>
      </c>
      <c r="G33" s="98" t="n">
        <f aca="false">'High scenario'!$AL12+SUM($D$112:$J$112)-SUM($K$112:$Q$112)</f>
        <v>-0.0227176522298999</v>
      </c>
      <c r="H33" s="98" t="n">
        <f aca="false">'High scenario'!$BO12+SUM($D$112:$J$112)-SUM($K$112:$Q$112)-$I$112</f>
        <v>-0.0405792673559154</v>
      </c>
      <c r="I33" s="98"/>
    </row>
    <row r="34" customFormat="false" ht="12.8" hidden="false" customHeight="false" outlineLevel="0" collapsed="false">
      <c r="A34" s="93" t="n">
        <v>2024</v>
      </c>
      <c r="B34" s="90"/>
      <c r="C34" s="99" t="n">
        <f aca="false">'Central scenario'!$AL13+SUM($D$112:$J$112)-SUM($K$112:$Q$112)</f>
        <v>-0.0267540748975577</v>
      </c>
      <c r="D34" s="99" t="n">
        <f aca="false">'Central scenario'!$BO13+SUM($D$112:$J$112)-SUM($K$112:$Q$112)-$I$112</f>
        <v>-0.0448119164213376</v>
      </c>
      <c r="E34" s="98" t="n">
        <f aca="false">'Low scenario'!$AL13+SUM($D$112:$J$112)-SUM($K$112:$Q$112)</f>
        <v>-0.0296096765891333</v>
      </c>
      <c r="F34" s="98" t="n">
        <f aca="false">'Low scenario'!$BO13+SUM($D$112:$J$112)-SUM($K$112:$Q$112)-$I$112</f>
        <v>-0.0475549858486401</v>
      </c>
      <c r="G34" s="98" t="n">
        <f aca="false">'High scenario'!$AL13+SUM($D$112:$J$112)-SUM($K$112:$Q$112)</f>
        <v>-0.0212834348447127</v>
      </c>
      <c r="H34" s="98" t="n">
        <f aca="false">'High scenario'!$BO13+SUM($D$112:$J$112)-SUM($K$112:$Q$112)-$I$112</f>
        <v>-0.0394199833688574</v>
      </c>
      <c r="I34" s="98"/>
    </row>
    <row r="35" customFormat="false" ht="12.8" hidden="false" customHeight="false" outlineLevel="0" collapsed="false">
      <c r="A35" s="93" t="n">
        <v>2025</v>
      </c>
      <c r="B35" s="90"/>
      <c r="C35" s="100" t="n">
        <f aca="false">'Central scenario'!$AL14+SUM($D$112:$J$112)-SUM($K$112:$Q$112)</f>
        <v>-0.0259062661393401</v>
      </c>
      <c r="D35" s="100" t="n">
        <f aca="false">'Central scenario'!$BO14+SUM($D$112:$J$112)-SUM($K$112:$Q$112)-$I$112</f>
        <v>-0.0449337519407363</v>
      </c>
      <c r="E35" s="98" t="n">
        <f aca="false">'Low scenario'!$AL14+SUM($D$112:$J$112)-SUM($K$112:$Q$112)</f>
        <v>-0.0291827947894889</v>
      </c>
      <c r="F35" s="98" t="n">
        <f aca="false">'Low scenario'!$BO14+SUM($D$112:$J$112)-SUM($K$112:$Q$112)-$I$112</f>
        <v>-0.048015658663318</v>
      </c>
      <c r="G35" s="98" t="n">
        <f aca="false">'High scenario'!$AL14+SUM($D$112:$J$112)-SUM($K$112:$Q$112)</f>
        <v>-0.0203388734990056</v>
      </c>
      <c r="H35" s="98" t="n">
        <f aca="false">'High scenario'!$BO14+SUM($D$112:$J$112)-SUM($K$112:$Q$112)-$I$112</f>
        <v>-0.0393801341908871</v>
      </c>
      <c r="I35" s="98"/>
    </row>
    <row r="36" customFormat="false" ht="12.8" hidden="false" customHeight="false" outlineLevel="0" collapsed="false">
      <c r="A36" s="93" t="n">
        <v>2026</v>
      </c>
      <c r="B36" s="90"/>
      <c r="C36" s="101" t="n">
        <f aca="false">'Central scenario'!$AL15+SUM($D$112:$J$112)-SUM($K$112:$Q$112)</f>
        <v>-0.0250746588887378</v>
      </c>
      <c r="D36" s="101" t="n">
        <f aca="false">'Central scenario'!$BO15+SUM($D$112:$J$112)-SUM($K$112:$Q$112)-$I$112</f>
        <v>-0.0452640373559386</v>
      </c>
      <c r="E36" s="98" t="n">
        <f aca="false">'Low scenario'!$AL15+SUM($D$112:$J$112)-SUM($K$112:$Q$112)</f>
        <v>-0.0269120085571686</v>
      </c>
      <c r="F36" s="98" t="n">
        <f aca="false">'Low scenario'!$BO15+SUM($D$112:$J$112)-SUM($K$112:$Q$112)-$I$112</f>
        <v>-0.0468911600528992</v>
      </c>
      <c r="G36" s="98" t="n">
        <f aca="false">'High scenario'!$AL15+SUM($D$112:$J$112)-SUM($K$112:$Q$112)</f>
        <v>-0.0188245028563883</v>
      </c>
      <c r="H36" s="98" t="n">
        <f aca="false">'High scenario'!$BO15+SUM($D$112:$J$112)-SUM($K$112:$Q$112)-$I$112</f>
        <v>-0.0389202452691165</v>
      </c>
      <c r="I36" s="98"/>
    </row>
    <row r="37" customFormat="false" ht="12.8" hidden="false" customHeight="false" outlineLevel="0" collapsed="false">
      <c r="A37" s="93" t="n">
        <v>2027</v>
      </c>
      <c r="B37" s="90"/>
      <c r="C37" s="101" t="n">
        <f aca="false">'Central scenario'!$AL16+SUM($D$112:$J$112)-SUM($K$112:$Q$112)</f>
        <v>-0.024130813325625</v>
      </c>
      <c r="D37" s="101" t="n">
        <f aca="false">'Central scenario'!$BO16+SUM($D$112:$J$112)-SUM($K$112:$Q$112)-$I$112</f>
        <v>-0.0450780966599565</v>
      </c>
      <c r="E37" s="98" t="n">
        <f aca="false">'Low scenario'!$AL16+SUM($D$112:$J$112)-SUM($K$112:$Q$112)</f>
        <v>-0.0246894924055656</v>
      </c>
      <c r="F37" s="98" t="n">
        <f aca="false">'Low scenario'!$BO16+SUM($D$112:$J$112)-SUM($K$112:$Q$112)-$I$112</f>
        <v>-0.0453623383481226</v>
      </c>
      <c r="G37" s="98" t="n">
        <f aca="false">'High scenario'!$AL16+SUM($D$112:$J$112)-SUM($K$112:$Q$112)</f>
        <v>-0.0160089785610057</v>
      </c>
      <c r="H37" s="98" t="n">
        <f aca="false">'High scenario'!$BO16+SUM($D$112:$J$112)-SUM($K$112:$Q$112)-$I$112</f>
        <v>-0.0368168135811619</v>
      </c>
      <c r="I37" s="98"/>
    </row>
    <row r="38" customFormat="false" ht="12.8" hidden="false" customHeight="false" outlineLevel="0" collapsed="false">
      <c r="A38" s="93" t="n">
        <v>2028</v>
      </c>
      <c r="B38" s="97"/>
      <c r="C38" s="101" t="n">
        <f aca="false">'Central scenario'!$AL17+SUM($D$112:$J$112)-SUM($K$112:$Q$112)</f>
        <v>-0.0221921659644699</v>
      </c>
      <c r="D38" s="101" t="n">
        <f aca="false">'Central scenario'!$BO17+SUM($D$112:$J$112)-SUM($K$112:$Q$112)-$I$112</f>
        <v>-0.043910691078444</v>
      </c>
      <c r="E38" s="98" t="n">
        <f aca="false">'Low scenario'!$AL17+SUM($D$112:$J$112)-SUM($K$112:$Q$112)</f>
        <v>-0.0238266314525509</v>
      </c>
      <c r="F38" s="98" t="n">
        <f aca="false">'Low scenario'!$BO17+SUM($D$112:$J$112)-SUM($K$112:$Q$112)-$I$112</f>
        <v>-0.0453777682283436</v>
      </c>
      <c r="G38" s="98" t="n">
        <f aca="false">'High scenario'!$AL17+SUM($D$112:$J$112)-SUM($K$112:$Q$112)</f>
        <v>-0.0137332339697685</v>
      </c>
      <c r="H38" s="98" t="n">
        <f aca="false">'High scenario'!$BO17+SUM($D$112:$J$112)-SUM($K$112:$Q$112)-$I$112</f>
        <v>-0.035426835737899</v>
      </c>
      <c r="I38" s="98"/>
    </row>
    <row r="39" customFormat="false" ht="12.8" hidden="false" customHeight="false" outlineLevel="0" collapsed="false">
      <c r="A39" s="93" t="n">
        <v>2029</v>
      </c>
      <c r="B39" s="97"/>
      <c r="C39" s="100" t="n">
        <f aca="false">'Central scenario'!$AL18+SUM($D$112:$J$112)-SUM($K$112:$Q$112)</f>
        <v>-0.0199244672903632</v>
      </c>
      <c r="D39" s="100" t="n">
        <f aca="false">'Central scenario'!$BO18+SUM($D$112:$J$112)-SUM($K$112:$Q$112)-$I$112</f>
        <v>-0.0424263595848551</v>
      </c>
      <c r="E39" s="98" t="n">
        <f aca="false">'Low scenario'!$AL18+SUM($D$112:$J$112)-SUM($K$112:$Q$112)</f>
        <v>-0.0228821171633356</v>
      </c>
      <c r="F39" s="98" t="n">
        <f aca="false">'Low scenario'!$BO18+SUM($D$112:$J$112)-SUM($K$112:$Q$112)-$I$112</f>
        <v>-0.0452496961897263</v>
      </c>
      <c r="G39" s="98" t="n">
        <f aca="false">'High scenario'!$AL18+SUM($D$112:$J$112)-SUM($K$112:$Q$112)</f>
        <v>-0.0106718708617214</v>
      </c>
      <c r="H39" s="98" t="n">
        <f aca="false">'High scenario'!$BO18+SUM($D$112:$J$112)-SUM($K$112:$Q$112)-$I$112</f>
        <v>-0.0329621011454411</v>
      </c>
      <c r="I39" s="98"/>
    </row>
    <row r="40" customFormat="false" ht="12.8" hidden="false" customHeight="false" outlineLevel="0" collapsed="false">
      <c r="A40" s="93" t="n">
        <v>2030</v>
      </c>
      <c r="B40" s="97"/>
      <c r="C40" s="101" t="n">
        <f aca="false">'Central scenario'!$AL19+SUM($D$112:$J$112)-SUM($K$112:$Q$112)</f>
        <v>-0.0180774575128585</v>
      </c>
      <c r="D40" s="101" t="n">
        <f aca="false">'Central scenario'!$BO19+SUM($D$112:$J$112)-SUM($K$112:$Q$112)-$I$112</f>
        <v>-0.0411072854690075</v>
      </c>
      <c r="E40" s="98" t="n">
        <f aca="false">'Low scenario'!$AL19+SUM($D$112:$J$112)-SUM($K$112:$Q$112)</f>
        <v>-0.0212937037659197</v>
      </c>
      <c r="F40" s="98" t="n">
        <f aca="false">'Low scenario'!$BO19+SUM($D$112:$J$112)-SUM($K$112:$Q$112)-$I$112</f>
        <v>-0.0442169163659721</v>
      </c>
      <c r="G40" s="98" t="n">
        <f aca="false">'High scenario'!$AL19+SUM($D$112:$J$112)-SUM($K$112:$Q$112)</f>
        <v>-0.0082696380328296</v>
      </c>
      <c r="H40" s="98" t="n">
        <f aca="false">'High scenario'!$BO19+SUM($D$112:$J$112)-SUM($K$112:$Q$112)-$I$112</f>
        <v>-0.0310069550369007</v>
      </c>
      <c r="I40" s="98"/>
    </row>
    <row r="41" customFormat="false" ht="12.8" hidden="false" customHeight="false" outlineLevel="0" collapsed="false">
      <c r="A41" s="93" t="n">
        <v>2031</v>
      </c>
      <c r="B41" s="97"/>
      <c r="C41" s="101" t="n">
        <f aca="false">'Central scenario'!$AL20+SUM($D$112:$J$112)-SUM($K$112:$Q$112)</f>
        <v>-0.0164694009661138</v>
      </c>
      <c r="D41" s="101" t="n">
        <f aca="false">'Central scenario'!$BO20+SUM($D$112:$J$112)-SUM($K$112:$Q$112)-$I$112</f>
        <v>-0.0401443316794314</v>
      </c>
      <c r="E41" s="98" t="n">
        <f aca="false">'Low scenario'!$AL20+SUM($D$112:$J$112)-SUM($K$112:$Q$112)</f>
        <v>-0.0215215761686917</v>
      </c>
      <c r="F41" s="98" t="n">
        <f aca="false">'Low scenario'!$BO20+SUM($D$112:$J$112)-SUM($K$112:$Q$112)-$I$112</f>
        <v>-0.0450917203434904</v>
      </c>
      <c r="G41" s="98" t="n">
        <f aca="false">'High scenario'!$AL20+SUM($D$112:$J$112)-SUM($K$112:$Q$112)</f>
        <v>-0.00648873147280894</v>
      </c>
      <c r="H41" s="98" t="n">
        <f aca="false">'High scenario'!$BO20+SUM($D$112:$J$112)-SUM($K$112:$Q$112)-$I$112</f>
        <v>-0.0296811914346931</v>
      </c>
      <c r="I41" s="98"/>
    </row>
    <row r="42" customFormat="false" ht="12.8" hidden="false" customHeight="false" outlineLevel="0" collapsed="false">
      <c r="A42" s="93" t="n">
        <v>2032</v>
      </c>
      <c r="B42" s="97"/>
      <c r="C42" s="101" t="n">
        <f aca="false">'Central scenario'!$AL21+SUM($D$112:$J$112)-SUM($K$112:$Q$112)</f>
        <v>-0.0151430199081923</v>
      </c>
      <c r="D42" s="101" t="n">
        <f aca="false">'Central scenario'!$BO21+SUM($D$112:$J$112)-SUM($K$112:$Q$112)-$I$112</f>
        <v>-0.0397225985955639</v>
      </c>
      <c r="E42" s="98" t="n">
        <f aca="false">'Low scenario'!$AL21+SUM($D$112:$J$112)-SUM($K$112:$Q$112)</f>
        <v>-0.0210465319366462</v>
      </c>
      <c r="F42" s="98" t="n">
        <f aca="false">'Low scenario'!$BO21+SUM($D$112:$J$112)-SUM($K$112:$Q$112)-$I$112</f>
        <v>-0.0453300813906852</v>
      </c>
      <c r="G42" s="98" t="n">
        <f aca="false">'High scenario'!$AL21+SUM($D$112:$J$112)-SUM($K$112:$Q$112)</f>
        <v>-0.00412557846343018</v>
      </c>
      <c r="H42" s="98" t="n">
        <f aca="false">'High scenario'!$BO21+SUM($D$112:$J$112)-SUM($K$112:$Q$112)-$I$112</f>
        <v>-0.0279687202620026</v>
      </c>
      <c r="I42" s="98"/>
    </row>
    <row r="43" customFormat="false" ht="12.8" hidden="false" customHeight="false" outlineLevel="0" collapsed="false">
      <c r="A43" s="93" t="n">
        <v>2033</v>
      </c>
      <c r="B43" s="97"/>
      <c r="C43" s="100" t="n">
        <f aca="false">'Central scenario'!$AL22+SUM($D$112:$J$112)-SUM($K$112:$Q$112)</f>
        <v>-0.0129694624091193</v>
      </c>
      <c r="D43" s="100" t="n">
        <f aca="false">'Central scenario'!$BO22+SUM($D$112:$J$112)-SUM($K$112:$Q$112)-$I$112</f>
        <v>-0.0383367630595955</v>
      </c>
      <c r="E43" s="98" t="n">
        <f aca="false">'Low scenario'!$AL22+SUM($D$112:$J$112)-SUM($K$112:$Q$112)</f>
        <v>-0.0203070733798132</v>
      </c>
      <c r="F43" s="98" t="n">
        <f aca="false">'Low scenario'!$BO22+SUM($D$112:$J$112)-SUM($K$112:$Q$112)-$I$112</f>
        <v>-0.0453425246625747</v>
      </c>
      <c r="G43" s="98" t="n">
        <f aca="false">'High scenario'!$AL22+SUM($D$112:$J$112)-SUM($K$112:$Q$112)</f>
        <v>-0.00178138423281819</v>
      </c>
      <c r="H43" s="98" t="n">
        <f aca="false">'High scenario'!$BO22+SUM($D$112:$J$112)-SUM($K$112:$Q$112)-$I$112</f>
        <v>-0.0263213031302473</v>
      </c>
      <c r="I43" s="98"/>
    </row>
    <row r="44" customFormat="false" ht="12.8" hidden="false" customHeight="false" outlineLevel="0" collapsed="false">
      <c r="A44" s="93" t="n">
        <v>2034</v>
      </c>
      <c r="B44" s="97"/>
      <c r="C44" s="101" t="n">
        <f aca="false">'Central scenario'!$AL23+SUM($D$112:$J$112)-SUM($K$112:$Q$112)</f>
        <v>-0.0114316759585966</v>
      </c>
      <c r="D44" s="101" t="n">
        <f aca="false">'Central scenario'!$BO23+SUM($D$112:$J$112)-SUM($K$112:$Q$112)-$I$112</f>
        <v>-0.0373553644651651</v>
      </c>
      <c r="E44" s="98" t="n">
        <f aca="false">'Low scenario'!$AL23+SUM($D$112:$J$112)-SUM($K$112:$Q$112)</f>
        <v>-0.0203860561057892</v>
      </c>
      <c r="F44" s="98" t="n">
        <f aca="false">'Low scenario'!$BO23+SUM($D$112:$J$112)-SUM($K$112:$Q$112)-$I$112</f>
        <v>-0.0463006307051744</v>
      </c>
      <c r="G44" s="98" t="n">
        <f aca="false">'High scenario'!$AL23+SUM($D$112:$J$112)-SUM($K$112:$Q$112)</f>
        <v>0.000360545578223976</v>
      </c>
      <c r="H44" s="98" t="n">
        <f aca="false">'High scenario'!$BO23+SUM($D$112:$J$112)-SUM($K$112:$Q$112)-$I$112</f>
        <v>-0.0246636375042153</v>
      </c>
      <c r="I44" s="98"/>
    </row>
    <row r="45" customFormat="false" ht="12.8" hidden="false" customHeight="false" outlineLevel="0" collapsed="false">
      <c r="A45" s="93" t="n">
        <v>2035</v>
      </c>
      <c r="B45" s="97"/>
      <c r="C45" s="101" t="n">
        <f aca="false">'Central scenario'!$AL24+SUM($D$112:$J$112)-SUM($K$112:$Q$112)</f>
        <v>-0.0102780916347638</v>
      </c>
      <c r="D45" s="101" t="n">
        <f aca="false">'Central scenario'!$BO24+SUM($D$112:$J$112)-SUM($K$112:$Q$112)-$I$112</f>
        <v>-0.0367299385930502</v>
      </c>
      <c r="E45" s="98" t="n">
        <f aca="false">'Low scenario'!$AL24+SUM($D$112:$J$112)-SUM($K$112:$Q$112)</f>
        <v>-0.0194617254740953</v>
      </c>
      <c r="F45" s="98" t="n">
        <f aca="false">'Low scenario'!$BO24+SUM($D$112:$J$112)-SUM($K$112:$Q$112)-$I$112</f>
        <v>-0.0461871657202684</v>
      </c>
      <c r="G45" s="98" t="n">
        <f aca="false">'High scenario'!$AL24+SUM($D$112:$J$112)-SUM($K$112:$Q$112)</f>
        <v>0.00176597569077937</v>
      </c>
      <c r="H45" s="98" t="n">
        <f aca="false">'High scenario'!$BO24+SUM($D$112:$J$112)-SUM($K$112:$Q$112)-$I$112</f>
        <v>-0.023647178317594</v>
      </c>
      <c r="I45" s="98"/>
    </row>
    <row r="46" customFormat="false" ht="12.8" hidden="false" customHeight="false" outlineLevel="0" collapsed="false">
      <c r="A46" s="93" t="n">
        <v>2036</v>
      </c>
      <c r="B46" s="97"/>
      <c r="C46" s="101" t="n">
        <f aca="false">'Central scenario'!$AL25+SUM($D$112:$J$112)-SUM($K$112:$Q$112)</f>
        <v>-0.00925125328126171</v>
      </c>
      <c r="D46" s="101" t="n">
        <f aca="false">'Central scenario'!$BO25+SUM($D$112:$J$112)-SUM($K$112:$Q$112)-$I$112</f>
        <v>-0.0362633874636437</v>
      </c>
      <c r="E46" s="98" t="n">
        <f aca="false">'Low scenario'!$AL25+SUM($D$112:$J$112)-SUM($K$112:$Q$112)</f>
        <v>-0.019211657901412</v>
      </c>
      <c r="F46" s="98" t="n">
        <f aca="false">'Low scenario'!$BO25+SUM($D$112:$J$112)-SUM($K$112:$Q$112)-$I$112</f>
        <v>-0.0466826524892112</v>
      </c>
      <c r="G46" s="98" t="n">
        <f aca="false">'High scenario'!$AL25+SUM($D$112:$J$112)-SUM($K$112:$Q$112)</f>
        <v>0.00311004390498647</v>
      </c>
      <c r="H46" s="98" t="n">
        <f aca="false">'High scenario'!$BO25+SUM($D$112:$J$112)-SUM($K$112:$Q$112)-$I$112</f>
        <v>-0.0228603152204737</v>
      </c>
      <c r="I46" s="98"/>
    </row>
    <row r="47" customFormat="false" ht="12.8" hidden="false" customHeight="false" outlineLevel="0" collapsed="false">
      <c r="A47" s="93" t="n">
        <v>2037</v>
      </c>
      <c r="B47" s="97"/>
      <c r="C47" s="100" t="n">
        <f aca="false">'Central scenario'!$AL26+SUM($D$112:$J$112)-SUM($K$112:$Q$112)</f>
        <v>-0.00779231628273267</v>
      </c>
      <c r="D47" s="100" t="n">
        <f aca="false">'Central scenario'!$BO26+SUM($D$112:$J$112)-SUM($K$112:$Q$112)-$I$112</f>
        <v>-0.0354890522767515</v>
      </c>
      <c r="E47" s="98" t="n">
        <f aca="false">'Low scenario'!$AL26+SUM($D$112:$J$112)-SUM($K$112:$Q$112)</f>
        <v>-0.0188994938503957</v>
      </c>
      <c r="F47" s="98" t="n">
        <f aca="false">'Low scenario'!$BO26+SUM($D$112:$J$112)-SUM($K$112:$Q$112)-$I$112</f>
        <v>-0.0472581418188721</v>
      </c>
      <c r="G47" s="98" t="n">
        <f aca="false">'High scenario'!$AL26+SUM($D$112:$J$112)-SUM($K$112:$Q$112)</f>
        <v>0.00502471670186577</v>
      </c>
      <c r="H47" s="98" t="n">
        <f aca="false">'High scenario'!$BO26+SUM($D$112:$J$112)-SUM($K$112:$Q$112)-$I$112</f>
        <v>-0.0214253910660841</v>
      </c>
      <c r="I47" s="98"/>
    </row>
    <row r="48" customFormat="false" ht="12.8" hidden="false" customHeight="false" outlineLevel="0" collapsed="false">
      <c r="A48" s="93" t="n">
        <v>2038</v>
      </c>
      <c r="B48" s="97"/>
      <c r="C48" s="101" t="n">
        <f aca="false">'Central scenario'!$AL27+SUM($D$112:$J$112)-SUM($K$112:$Q$112)</f>
        <v>-0.00711087172707388</v>
      </c>
      <c r="D48" s="101" t="n">
        <f aca="false">'Central scenario'!$BO27+SUM($D$112:$J$112)-SUM($K$112:$Q$112)-$I$112</f>
        <v>-0.0355480467814445</v>
      </c>
      <c r="E48" s="98" t="n">
        <f aca="false">'Low scenario'!$AL27+SUM($D$112:$J$112)-SUM($K$112:$Q$112)</f>
        <v>-0.0179340415832206</v>
      </c>
      <c r="F48" s="98" t="n">
        <f aca="false">'Low scenario'!$BO27+SUM($D$112:$J$112)-SUM($K$112:$Q$112)-$I$112</f>
        <v>-0.0471205078882819</v>
      </c>
      <c r="G48" s="98" t="n">
        <f aca="false">'High scenario'!$AL27+SUM($D$112:$J$112)-SUM($K$112:$Q$112)</f>
        <v>0.00576411416051697</v>
      </c>
      <c r="H48" s="98" t="n">
        <f aca="false">'High scenario'!$BO27+SUM($D$112:$J$112)-SUM($K$112:$Q$112)-$I$112</f>
        <v>-0.021174345886617</v>
      </c>
      <c r="I48" s="98"/>
    </row>
    <row r="49" customFormat="false" ht="12.8" hidden="false" customHeight="false" outlineLevel="0" collapsed="false">
      <c r="A49" s="93" t="n">
        <v>2039</v>
      </c>
      <c r="B49" s="102"/>
      <c r="C49" s="101" t="n">
        <f aca="false">'Central scenario'!$AL28+SUM($D$112:$J$112)-SUM($K$112:$Q$112)</f>
        <v>-0.00557031616888665</v>
      </c>
      <c r="D49" s="101" t="n">
        <f aca="false">'Central scenario'!$BO28+SUM($D$112:$J$112)-SUM($K$112:$Q$112)-$I$112</f>
        <v>-0.034425110036699</v>
      </c>
      <c r="E49" s="98" t="n">
        <f aca="false">'Low scenario'!$AL28+SUM($D$112:$J$112)-SUM($K$112:$Q$112)</f>
        <v>-0.0180683485314536</v>
      </c>
      <c r="F49" s="98" t="n">
        <f aca="false">'Low scenario'!$BO28+SUM($D$112:$J$112)-SUM($K$112:$Q$112)-$I$112</f>
        <v>-0.0480620948953505</v>
      </c>
      <c r="G49" s="98" t="n">
        <f aca="false">'High scenario'!$AL28+SUM($D$112:$J$112)-SUM($K$112:$Q$112)</f>
        <v>0.00681711726712537</v>
      </c>
      <c r="H49" s="98" t="n">
        <f aca="false">'High scenario'!$BO28+SUM($D$112:$J$112)-SUM($K$112:$Q$112)-$I$112</f>
        <v>-0.0206393748940115</v>
      </c>
      <c r="I49" s="98"/>
    </row>
    <row r="50" customFormat="false" ht="12.8" hidden="false" customHeight="false" outlineLevel="0" collapsed="false">
      <c r="A50" s="93" t="n">
        <v>2040</v>
      </c>
      <c r="B50" s="103"/>
      <c r="C50" s="101" t="n">
        <f aca="false">'Central scenario'!$AL29+SUM($D$112:$J$112)-SUM($K$112:$Q$112)</f>
        <v>-0.00475141876013998</v>
      </c>
      <c r="D50" s="101" t="n">
        <f aca="false">'Central scenario'!$BO29+SUM($D$112:$J$112)-SUM($K$112:$Q$112)-$I$112</f>
        <v>-0.0340719180955821</v>
      </c>
      <c r="E50" s="98" t="n">
        <f aca="false">'Low scenario'!$AL29+SUM($D$112:$J$112)-SUM($K$112:$Q$112)</f>
        <v>-0.0177601449625601</v>
      </c>
      <c r="F50" s="98" t="n">
        <f aca="false">'Low scenario'!$BO29+SUM($D$112:$J$112)-SUM($K$112:$Q$112)-$I$112</f>
        <v>-0.0486742070393716</v>
      </c>
      <c r="G50" s="98" t="n">
        <f aca="false">'High scenario'!$AL29+SUM($D$112:$J$112)-SUM($K$112:$Q$112)</f>
        <v>0.00858450000703901</v>
      </c>
      <c r="H50" s="98" t="n">
        <f aca="false">'High scenario'!$BO29+SUM($D$112:$J$112)-SUM($K$112:$Q$112)-$I$112</f>
        <v>-0.0192838045982827</v>
      </c>
      <c r="I50" s="98"/>
    </row>
    <row r="53" customFormat="false" ht="12.8" hidden="false" customHeight="false" outlineLevel="0" collapsed="false">
      <c r="C53" s="58"/>
      <c r="D53" s="58"/>
      <c r="E53" s="58"/>
      <c r="F53" s="58" t="s">
        <v>131</v>
      </c>
      <c r="G53" s="58"/>
      <c r="H53" s="58"/>
      <c r="I53" s="58"/>
      <c r="J53" s="58"/>
    </row>
    <row r="54" customFormat="false" ht="12.8" hidden="false" customHeight="false" outlineLevel="0" collapsed="false">
      <c r="C54" s="107" t="s">
        <v>132</v>
      </c>
      <c r="D54" s="107"/>
      <c r="E54" s="107"/>
      <c r="F54" s="107"/>
      <c r="G54" s="107"/>
      <c r="H54" s="107"/>
      <c r="I54" s="58"/>
      <c r="J54" s="107" t="s">
        <v>133</v>
      </c>
      <c r="K54" s="107"/>
      <c r="L54" s="107"/>
      <c r="M54" s="107"/>
      <c r="N54" s="107"/>
      <c r="O54" s="107"/>
      <c r="P54" s="107"/>
    </row>
    <row r="55" customFormat="false" ht="12.8" hidden="false" customHeight="false" outlineLevel="0" collapsed="false">
      <c r="B55" s="108"/>
      <c r="C55" s="109" t="s">
        <v>134</v>
      </c>
      <c r="D55" s="109"/>
      <c r="E55" s="109"/>
      <c r="F55" s="109"/>
      <c r="G55" s="109"/>
      <c r="H55" s="109"/>
      <c r="I55" s="109"/>
      <c r="J55" s="109"/>
      <c r="K55" s="110"/>
      <c r="L55" s="110" t="s">
        <v>135</v>
      </c>
      <c r="M55" s="110"/>
      <c r="N55" s="110"/>
      <c r="O55" s="110"/>
      <c r="P55" s="110"/>
      <c r="Q55" s="110"/>
      <c r="R55" s="110"/>
    </row>
    <row r="56" customFormat="false" ht="12.8" hidden="false" customHeight="false" outlineLevel="0" collapsed="false">
      <c r="B56" s="108"/>
      <c r="C56" s="111" t="s">
        <v>136</v>
      </c>
      <c r="D56" s="112" t="s">
        <v>137</v>
      </c>
      <c r="E56" s="111" t="s">
        <v>138</v>
      </c>
      <c r="F56" s="112" t="s">
        <v>139</v>
      </c>
      <c r="G56" s="111" t="s">
        <v>140</v>
      </c>
      <c r="H56" s="112" t="s">
        <v>141</v>
      </c>
      <c r="I56" s="111" t="s">
        <v>142</v>
      </c>
      <c r="J56" s="112" t="s">
        <v>143</v>
      </c>
      <c r="K56" s="112" t="s">
        <v>144</v>
      </c>
      <c r="L56" s="113" t="s">
        <v>145</v>
      </c>
      <c r="M56" s="112" t="s">
        <v>146</v>
      </c>
      <c r="N56" s="113" t="s">
        <v>147</v>
      </c>
      <c r="O56" s="112" t="s">
        <v>148</v>
      </c>
      <c r="P56" s="113" t="s">
        <v>149</v>
      </c>
      <c r="Q56" s="112" t="s">
        <v>150</v>
      </c>
      <c r="R56" s="113" t="s">
        <v>151</v>
      </c>
    </row>
    <row r="57" customFormat="false" ht="12.8" hidden="false" customHeight="false" outlineLevel="0" collapsed="false">
      <c r="B57" s="112" t="n">
        <v>1993</v>
      </c>
      <c r="C57" s="114" t="n">
        <v>853307.6</v>
      </c>
      <c r="D57" s="112"/>
      <c r="E57" s="112"/>
      <c r="F57" s="115"/>
      <c r="G57" s="112"/>
      <c r="H57" s="114"/>
      <c r="I57" s="114" t="n">
        <v>3015865.81949566</v>
      </c>
      <c r="J57" s="114"/>
      <c r="K57" s="116" t="n">
        <v>352371.13373</v>
      </c>
      <c r="L57" s="116"/>
      <c r="M57" s="116" t="n">
        <v>1036245.35282</v>
      </c>
      <c r="N57" s="116" t="n">
        <v>214541.63623</v>
      </c>
      <c r="O57" s="116" t="n">
        <v>0</v>
      </c>
      <c r="P57" s="116"/>
      <c r="Q57" s="116"/>
      <c r="R57" s="116"/>
    </row>
    <row r="58" customFormat="false" ht="12.8" hidden="false" customHeight="false" outlineLevel="0" collapsed="false">
      <c r="B58" s="108" t="n">
        <v>1994</v>
      </c>
      <c r="C58" s="117" t="n">
        <v>1164662.22</v>
      </c>
      <c r="D58" s="118"/>
      <c r="E58" s="118"/>
      <c r="F58" s="118"/>
      <c r="G58" s="118"/>
      <c r="H58" s="117"/>
      <c r="I58" s="117" t="n">
        <v>3226509.52498154</v>
      </c>
      <c r="J58" s="117"/>
      <c r="K58" s="114" t="n">
        <v>293763.12069</v>
      </c>
      <c r="L58" s="114"/>
      <c r="M58" s="114" t="n">
        <v>1287640.9398</v>
      </c>
      <c r="N58" s="114" t="n">
        <v>456594.30016</v>
      </c>
      <c r="O58" s="114" t="n">
        <v>0</v>
      </c>
      <c r="P58" s="114"/>
      <c r="Q58" s="114"/>
      <c r="R58" s="114"/>
    </row>
    <row r="59" customFormat="false" ht="12.8" hidden="false" customHeight="false" outlineLevel="0" collapsed="false">
      <c r="B59" s="108" t="n">
        <v>1995</v>
      </c>
      <c r="C59" s="114" t="n">
        <v>1243225.6</v>
      </c>
      <c r="D59" s="112"/>
      <c r="E59" s="112"/>
      <c r="F59" s="112"/>
      <c r="G59" s="112"/>
      <c r="H59" s="114"/>
      <c r="I59" s="114" t="n">
        <v>2990988.48141767</v>
      </c>
      <c r="J59" s="114"/>
      <c r="K59" s="116" t="n">
        <v>296927.9492</v>
      </c>
      <c r="L59" s="116"/>
      <c r="M59" s="116" t="n">
        <v>1187925.9343</v>
      </c>
      <c r="N59" s="116" t="n">
        <v>524982.07006</v>
      </c>
      <c r="O59" s="116" t="n">
        <v>0</v>
      </c>
      <c r="P59" s="116"/>
      <c r="Q59" s="116"/>
      <c r="R59" s="116"/>
    </row>
    <row r="60" customFormat="false" ht="12.8" hidden="false" customHeight="false" outlineLevel="0" collapsed="false">
      <c r="B60" s="108" t="n">
        <v>1996</v>
      </c>
      <c r="C60" s="117" t="n">
        <v>1456325.4</v>
      </c>
      <c r="D60" s="117"/>
      <c r="E60" s="118" t="n">
        <v>1903838.651715</v>
      </c>
      <c r="F60" s="117" t="n">
        <v>2338287</v>
      </c>
      <c r="G60" s="118" t="n">
        <v>172304</v>
      </c>
      <c r="H60" s="117"/>
      <c r="I60" s="117" t="n">
        <v>3231346.71425055</v>
      </c>
      <c r="J60" s="117" t="n">
        <v>516954.41</v>
      </c>
      <c r="K60" s="114" t="n">
        <v>330883.704</v>
      </c>
      <c r="L60" s="114"/>
      <c r="M60" s="114" t="n">
        <v>1011324.76855</v>
      </c>
      <c r="N60" s="114" t="n">
        <v>1019118.98165</v>
      </c>
      <c r="O60" s="114" t="n">
        <v>0</v>
      </c>
      <c r="P60" s="114"/>
      <c r="Q60" s="114"/>
      <c r="R60" s="114"/>
    </row>
    <row r="61" customFormat="false" ht="12.8" hidden="false" customHeight="false" outlineLevel="0" collapsed="false">
      <c r="B61" s="108" t="n">
        <v>1997</v>
      </c>
      <c r="C61" s="114" t="n">
        <v>1669177.74063</v>
      </c>
      <c r="D61" s="114"/>
      <c r="E61" s="112" t="n">
        <v>2043538.989492</v>
      </c>
      <c r="F61" s="114" t="n">
        <v>3917421</v>
      </c>
      <c r="G61" s="112" t="n">
        <v>193825</v>
      </c>
      <c r="H61" s="114"/>
      <c r="I61" s="114" t="n">
        <v>3598188.08761998</v>
      </c>
      <c r="J61" s="114" t="n">
        <v>1986806.99</v>
      </c>
      <c r="K61" s="116" t="n">
        <v>246102.79437</v>
      </c>
      <c r="L61" s="116"/>
      <c r="M61" s="116" t="n">
        <v>1102667.44057</v>
      </c>
      <c r="N61" s="116" t="n">
        <v>1011029.82583</v>
      </c>
      <c r="O61" s="116" t="n">
        <v>0</v>
      </c>
      <c r="P61" s="116"/>
      <c r="Q61" s="116"/>
      <c r="R61" s="116"/>
    </row>
    <row r="62" customFormat="false" ht="12.8" hidden="false" customHeight="false" outlineLevel="0" collapsed="false">
      <c r="B62" s="108" t="n">
        <v>1998</v>
      </c>
      <c r="C62" s="117" t="n">
        <v>1902253.64072</v>
      </c>
      <c r="D62" s="117" t="n">
        <v>43509.9</v>
      </c>
      <c r="E62" s="118" t="n">
        <v>2097707.449838</v>
      </c>
      <c r="F62" s="117" t="n">
        <v>3692434</v>
      </c>
      <c r="G62" s="118" t="n">
        <v>197766</v>
      </c>
      <c r="H62" s="117"/>
      <c r="I62" s="117" t="n">
        <v>3797640.46271228</v>
      </c>
      <c r="J62" s="117" t="n">
        <v>1855405.55</v>
      </c>
      <c r="K62" s="114" t="n">
        <v>231684.89787</v>
      </c>
      <c r="L62" s="114"/>
      <c r="M62" s="114" t="n">
        <v>1323795.24164</v>
      </c>
      <c r="N62" s="114" t="n">
        <v>1121821.99199</v>
      </c>
      <c r="O62" s="114" t="n">
        <v>0</v>
      </c>
      <c r="P62" s="114"/>
      <c r="Q62" s="114"/>
      <c r="R62" s="114"/>
    </row>
    <row r="63" customFormat="false" ht="12.8" hidden="false" customHeight="false" outlineLevel="0" collapsed="false">
      <c r="B63" s="108" t="n">
        <v>1999</v>
      </c>
      <c r="C63" s="114" t="n">
        <v>1850960.88511</v>
      </c>
      <c r="D63" s="114" t="n">
        <v>193381.3</v>
      </c>
      <c r="E63" s="112" t="n">
        <v>1876157.764481</v>
      </c>
      <c r="F63" s="114" t="n">
        <v>3587875</v>
      </c>
      <c r="G63" s="112" t="n">
        <v>196994</v>
      </c>
      <c r="H63" s="114"/>
      <c r="I63" s="114" t="n">
        <v>3702544.47452621</v>
      </c>
      <c r="J63" s="114" t="n">
        <v>1868434.31</v>
      </c>
      <c r="K63" s="116" t="n">
        <v>239526.32367</v>
      </c>
      <c r="L63" s="116"/>
      <c r="M63" s="116" t="n">
        <v>1408351.81663</v>
      </c>
      <c r="N63" s="116" t="n">
        <v>1053075.5174</v>
      </c>
      <c r="O63" s="116" t="n">
        <v>0</v>
      </c>
      <c r="P63" s="116"/>
      <c r="Q63" s="116"/>
      <c r="R63" s="116"/>
    </row>
    <row r="64" customFormat="false" ht="12.8" hidden="false" customHeight="false" outlineLevel="0" collapsed="false">
      <c r="B64" s="108" t="n">
        <v>2000</v>
      </c>
      <c r="C64" s="117" t="n">
        <v>2095954.20594</v>
      </c>
      <c r="D64" s="117" t="n">
        <v>225126.798267</v>
      </c>
      <c r="E64" s="118" t="n">
        <v>1959837.85384788</v>
      </c>
      <c r="F64" s="117" t="n">
        <v>3478201</v>
      </c>
      <c r="G64" s="118" t="n">
        <v>487254.75526</v>
      </c>
      <c r="H64" s="117"/>
      <c r="I64" s="117" t="n">
        <v>3765213.6844696</v>
      </c>
      <c r="J64" s="117" t="n">
        <v>1776845.4022295</v>
      </c>
      <c r="K64" s="114" t="n">
        <v>215402.99416</v>
      </c>
      <c r="L64" s="114"/>
      <c r="M64" s="114" t="n">
        <v>1300825.33734</v>
      </c>
      <c r="N64" s="114" t="n">
        <v>1093248.25442</v>
      </c>
      <c r="O64" s="114" t="n">
        <v>0</v>
      </c>
      <c r="P64" s="114"/>
      <c r="Q64" s="114"/>
      <c r="R64" s="114"/>
    </row>
    <row r="65" customFormat="false" ht="12.8" hidden="false" customHeight="false" outlineLevel="0" collapsed="false">
      <c r="B65" s="108" t="n">
        <v>2001</v>
      </c>
      <c r="C65" s="114" t="n">
        <v>1994592.07047</v>
      </c>
      <c r="D65" s="114" t="n">
        <v>213002.63159</v>
      </c>
      <c r="E65" s="112" t="n">
        <v>1582734.84789566</v>
      </c>
      <c r="F65" s="114" t="n">
        <v>3419627</v>
      </c>
      <c r="G65" s="112" t="n">
        <v>225853.29969</v>
      </c>
      <c r="H65" s="114" t="n">
        <v>2933082</v>
      </c>
      <c r="I65" s="114" t="n">
        <v>3343942.45631307</v>
      </c>
      <c r="J65" s="114" t="n">
        <v>1739519.1815753</v>
      </c>
      <c r="K65" s="116" t="n">
        <v>184976.21637</v>
      </c>
      <c r="L65" s="116"/>
      <c r="M65" s="116" t="n">
        <v>1232567.64749</v>
      </c>
      <c r="N65" s="116" t="n">
        <v>1053013.16575</v>
      </c>
      <c r="O65" s="116" t="n">
        <v>0</v>
      </c>
      <c r="P65" s="116"/>
      <c r="Q65" s="116"/>
      <c r="R65" s="116"/>
    </row>
    <row r="66" customFormat="false" ht="12.8" hidden="false" customHeight="false" outlineLevel="0" collapsed="false">
      <c r="B66" s="108" t="n">
        <v>2002</v>
      </c>
      <c r="C66" s="117" t="n">
        <v>1721480.99196</v>
      </c>
      <c r="D66" s="117" t="n">
        <v>161900.70904</v>
      </c>
      <c r="E66" s="118" t="n">
        <v>1571513.88819431</v>
      </c>
      <c r="F66" s="117" t="n">
        <v>4483171</v>
      </c>
      <c r="G66" s="118" t="n">
        <v>217634.09198</v>
      </c>
      <c r="H66" s="117" t="n">
        <v>4857335</v>
      </c>
      <c r="I66" s="117" t="n">
        <v>3012321.73270982</v>
      </c>
      <c r="J66" s="117" t="n">
        <v>1808967.1664198</v>
      </c>
      <c r="K66" s="114" t="n">
        <v>210715.14495</v>
      </c>
      <c r="L66" s="114"/>
      <c r="M66" s="114" t="n">
        <v>1228490.33447</v>
      </c>
      <c r="N66" s="114" t="n">
        <v>896657.02276</v>
      </c>
      <c r="O66" s="114" t="n">
        <v>0</v>
      </c>
      <c r="P66" s="114"/>
      <c r="Q66" s="114"/>
      <c r="R66" s="114"/>
    </row>
    <row r="67" customFormat="false" ht="12.8" hidden="false" customHeight="false" outlineLevel="0" collapsed="false">
      <c r="B67" s="108" t="n">
        <v>2003</v>
      </c>
      <c r="C67" s="114" t="n">
        <v>2926862.80533</v>
      </c>
      <c r="D67" s="114" t="n">
        <v>206266.978848</v>
      </c>
      <c r="E67" s="112" t="n">
        <v>2159757.59570741</v>
      </c>
      <c r="F67" s="114" t="n">
        <v>4973177</v>
      </c>
      <c r="G67" s="112" t="n">
        <v>256304.73254</v>
      </c>
      <c r="H67" s="114" t="n">
        <v>5900237</v>
      </c>
      <c r="I67" s="114" t="n">
        <v>4436735.16197493</v>
      </c>
      <c r="J67" s="114" t="n">
        <v>1866693.826383</v>
      </c>
      <c r="K67" s="116" t="n">
        <v>256579.96757</v>
      </c>
      <c r="L67" s="116"/>
      <c r="M67" s="116" t="n">
        <v>1474636.94382</v>
      </c>
      <c r="N67" s="116" t="n">
        <v>1080109.03364</v>
      </c>
      <c r="O67" s="116" t="n">
        <v>0</v>
      </c>
      <c r="P67" s="116"/>
      <c r="Q67" s="116"/>
      <c r="R67" s="116"/>
    </row>
    <row r="68" customFormat="false" ht="12.8" hidden="false" customHeight="false" outlineLevel="0" collapsed="false">
      <c r="B68" s="108" t="n">
        <v>2004</v>
      </c>
      <c r="C68" s="117" t="n">
        <v>4445674.9968</v>
      </c>
      <c r="D68" s="117" t="n">
        <v>319188.208521</v>
      </c>
      <c r="E68" s="118" t="n">
        <v>3193816.385506</v>
      </c>
      <c r="F68" s="117" t="n">
        <v>5378515</v>
      </c>
      <c r="G68" s="118" t="n">
        <v>343399.86403</v>
      </c>
      <c r="H68" s="117" t="n">
        <v>7681862</v>
      </c>
      <c r="I68" s="117" t="n">
        <v>6613425.98806711</v>
      </c>
      <c r="J68" s="117" t="n">
        <v>2024594.8909331</v>
      </c>
      <c r="K68" s="114" t="n">
        <v>292385.97512</v>
      </c>
      <c r="L68" s="114"/>
      <c r="M68" s="114" t="n">
        <v>1469347.76251</v>
      </c>
      <c r="N68" s="114" t="n">
        <v>1558850.89528</v>
      </c>
      <c r="O68" s="114" t="n">
        <v>0</v>
      </c>
      <c r="P68" s="114"/>
      <c r="Q68" s="114"/>
      <c r="R68" s="114"/>
    </row>
    <row r="69" customFormat="false" ht="12.8" hidden="false" customHeight="false" outlineLevel="0" collapsed="false">
      <c r="B69" s="108" t="n">
        <v>2005</v>
      </c>
      <c r="C69" s="114" t="n">
        <v>5603319.4768</v>
      </c>
      <c r="D69" s="114" t="n">
        <v>414100.619296</v>
      </c>
      <c r="E69" s="112" t="n">
        <v>3799668.14863337</v>
      </c>
      <c r="F69" s="114" t="n">
        <v>6017379</v>
      </c>
      <c r="G69" s="112" t="n">
        <v>392086.011</v>
      </c>
      <c r="H69" s="114" t="n">
        <v>9434291</v>
      </c>
      <c r="I69" s="114" t="n">
        <v>8146311.50442478</v>
      </c>
      <c r="J69" s="114" t="n">
        <v>2283146.7197573</v>
      </c>
      <c r="K69" s="116" t="n">
        <v>443286.29688</v>
      </c>
      <c r="L69" s="116"/>
      <c r="M69" s="116" t="n">
        <v>1538056.66477</v>
      </c>
      <c r="N69" s="116" t="n">
        <v>1940345.98108</v>
      </c>
      <c r="O69" s="116" t="n">
        <v>0</v>
      </c>
      <c r="P69" s="116"/>
      <c r="Q69" s="116"/>
      <c r="R69" s="116"/>
    </row>
    <row r="70" customFormat="false" ht="12.8" hidden="false" customHeight="false" outlineLevel="0" collapsed="false">
      <c r="B70" s="108" t="n">
        <v>2006</v>
      </c>
      <c r="C70" s="117" t="n">
        <v>6733513.05459</v>
      </c>
      <c r="D70" s="117" t="n">
        <v>463050.868035</v>
      </c>
      <c r="E70" s="118" t="n">
        <v>4856595.57018673</v>
      </c>
      <c r="F70" s="117" t="n">
        <v>6572626</v>
      </c>
      <c r="G70" s="118" t="n">
        <v>398243.52609</v>
      </c>
      <c r="H70" s="117" t="n">
        <v>11685685</v>
      </c>
      <c r="I70" s="117" t="n">
        <v>10103645.4250591</v>
      </c>
      <c r="J70" s="117" t="n">
        <v>2437923.9389405</v>
      </c>
      <c r="K70" s="114" t="n">
        <v>596706.40429</v>
      </c>
      <c r="L70" s="114"/>
      <c r="M70" s="114" t="n">
        <v>1685933.6627</v>
      </c>
      <c r="N70" s="114" t="n">
        <v>2798293.27906</v>
      </c>
      <c r="O70" s="114" t="n">
        <v>0</v>
      </c>
      <c r="P70" s="114"/>
      <c r="Q70" s="114"/>
      <c r="R70" s="114"/>
    </row>
    <row r="71" customFormat="false" ht="12.8" hidden="false" customHeight="false" outlineLevel="0" collapsed="false">
      <c r="B71" s="108" t="n">
        <v>2007</v>
      </c>
      <c r="C71" s="114" t="n">
        <v>8488745.60076</v>
      </c>
      <c r="D71" s="114" t="n">
        <v>525160.252624</v>
      </c>
      <c r="E71" s="112" t="n">
        <v>6461394.65383149</v>
      </c>
      <c r="F71" s="114" t="n">
        <v>7465676</v>
      </c>
      <c r="G71" s="112" t="n">
        <v>447075.21997</v>
      </c>
      <c r="H71" s="114" t="n">
        <v>15064961</v>
      </c>
      <c r="I71" s="114" t="n">
        <v>13371549.19129</v>
      </c>
      <c r="J71" s="114" t="n">
        <v>2704319.9941651</v>
      </c>
      <c r="K71" s="116" t="n">
        <v>838168.47267</v>
      </c>
      <c r="L71" s="116"/>
      <c r="M71" s="116" t="n">
        <v>2059936.26201</v>
      </c>
      <c r="N71" s="116" t="n">
        <v>4169261.10058</v>
      </c>
      <c r="O71" s="116" t="n">
        <v>0</v>
      </c>
      <c r="P71" s="116"/>
      <c r="Q71" s="116"/>
      <c r="R71" s="116"/>
    </row>
    <row r="72" customFormat="false" ht="12.8" hidden="false" customHeight="false" outlineLevel="0" collapsed="false">
      <c r="B72" s="108" t="n">
        <v>2008</v>
      </c>
      <c r="C72" s="117" t="n">
        <v>10735671.1304</v>
      </c>
      <c r="D72" s="117" t="n">
        <v>710091.538779</v>
      </c>
      <c r="E72" s="118" t="n">
        <v>8271840.77363275</v>
      </c>
      <c r="F72" s="117" t="n">
        <v>9693850</v>
      </c>
      <c r="G72" s="118" t="n">
        <v>555098.17588</v>
      </c>
      <c r="H72" s="117" t="n">
        <v>19495157</v>
      </c>
      <c r="I72" s="117" t="n">
        <v>16753835.7595</v>
      </c>
      <c r="J72" s="117" t="n">
        <v>3269922.0771961</v>
      </c>
      <c r="K72" s="114" t="n">
        <v>1265908.80827</v>
      </c>
      <c r="L72" s="114"/>
      <c r="M72" s="114" t="n">
        <v>2527385.48547</v>
      </c>
      <c r="N72" s="114" t="n">
        <v>6157865.94606</v>
      </c>
      <c r="O72" s="114" t="n">
        <v>1341518.04191</v>
      </c>
      <c r="P72" s="114"/>
      <c r="Q72" s="114"/>
      <c r="R72" s="114"/>
    </row>
    <row r="73" customFormat="false" ht="12.8" hidden="false" customHeight="false" outlineLevel="0" collapsed="false">
      <c r="B73" s="108" t="n">
        <v>2009</v>
      </c>
      <c r="C73" s="114" t="n">
        <v>11102856.8612</v>
      </c>
      <c r="D73" s="114" t="n">
        <v>900098.5</v>
      </c>
      <c r="E73" s="112" t="n">
        <v>9009731.229499</v>
      </c>
      <c r="F73" s="114" t="n">
        <v>11593279</v>
      </c>
      <c r="G73" s="112" t="n">
        <v>658385</v>
      </c>
      <c r="H73" s="114" t="n">
        <v>20561471</v>
      </c>
      <c r="I73" s="114" t="n">
        <v>18241431.1264</v>
      </c>
      <c r="J73" s="114" t="n">
        <v>3806449.67</v>
      </c>
      <c r="K73" s="116" t="n">
        <v>2218502.32568</v>
      </c>
      <c r="L73" s="116"/>
      <c r="M73" s="116" t="n">
        <v>3449309.24374</v>
      </c>
      <c r="N73" s="116" t="n">
        <v>8571574.85123</v>
      </c>
      <c r="O73" s="116" t="n">
        <v>2090315.13795</v>
      </c>
      <c r="P73" s="116"/>
      <c r="Q73" s="116"/>
      <c r="R73" s="116"/>
    </row>
    <row r="74" customFormat="false" ht="12.8" hidden="false" customHeight="false" outlineLevel="0" collapsed="false">
      <c r="B74" s="108" t="n">
        <v>2010</v>
      </c>
      <c r="C74" s="117" t="n">
        <v>15263717.30188</v>
      </c>
      <c r="D74" s="117" t="n">
        <v>1463000</v>
      </c>
      <c r="E74" s="118" t="n">
        <v>11741500</v>
      </c>
      <c r="F74" s="117" t="n">
        <v>15269008</v>
      </c>
      <c r="G74" s="118" t="n">
        <v>771500</v>
      </c>
      <c r="H74" s="117" t="n">
        <v>26884733</v>
      </c>
      <c r="I74" s="117" t="n">
        <v>24500782.05837</v>
      </c>
      <c r="J74" s="117" t="n">
        <v>4960800</v>
      </c>
      <c r="K74" s="114" t="n">
        <v>3204177.57701</v>
      </c>
      <c r="L74" s="114"/>
      <c r="M74" s="114" t="n">
        <v>4575635.74562</v>
      </c>
      <c r="N74" s="114" t="n">
        <v>11981071.62296</v>
      </c>
      <c r="O74" s="114" t="n">
        <v>2146300</v>
      </c>
      <c r="P74" s="114"/>
      <c r="Q74" s="114"/>
      <c r="R74" s="114"/>
    </row>
    <row r="75" customFormat="false" ht="12.8" hidden="false" customHeight="false" outlineLevel="0" collapsed="false">
      <c r="B75" s="108" t="n">
        <v>2011</v>
      </c>
      <c r="C75" s="114" t="n">
        <v>21562243.17099</v>
      </c>
      <c r="D75" s="114" t="n">
        <v>2085600</v>
      </c>
      <c r="E75" s="112" t="n">
        <v>15229500</v>
      </c>
      <c r="F75" s="114" t="n">
        <v>18131477</v>
      </c>
      <c r="G75" s="112" t="n">
        <v>1013100</v>
      </c>
      <c r="H75" s="114" t="n">
        <v>36179425</v>
      </c>
      <c r="I75" s="114" t="n">
        <v>32436095.45798</v>
      </c>
      <c r="J75" s="114" t="n">
        <v>5715000</v>
      </c>
      <c r="K75" s="116" t="n">
        <v>4769282.46596</v>
      </c>
      <c r="L75" s="116" t="n">
        <v>729678.74661</v>
      </c>
      <c r="M75" s="116" t="n">
        <v>5370180.45524</v>
      </c>
      <c r="N75" s="116" t="n">
        <v>17562855.03792</v>
      </c>
      <c r="O75" s="116" t="n">
        <v>2247300</v>
      </c>
      <c r="P75" s="116"/>
      <c r="Q75" s="116" t="n">
        <v>716700</v>
      </c>
      <c r="R75" s="116"/>
    </row>
    <row r="76" customFormat="false" ht="12.8" hidden="false" customHeight="false" outlineLevel="0" collapsed="false">
      <c r="B76" s="108" t="n">
        <v>2012</v>
      </c>
      <c r="C76" s="117" t="n">
        <v>27594331.3664</v>
      </c>
      <c r="D76" s="117" t="n">
        <v>2672800</v>
      </c>
      <c r="E76" s="118" t="n">
        <v>19313800</v>
      </c>
      <c r="F76" s="117" t="n">
        <v>25785407</v>
      </c>
      <c r="G76" s="118" t="n">
        <v>1229100</v>
      </c>
      <c r="H76" s="117" t="n">
        <v>43931228</v>
      </c>
      <c r="I76" s="117" t="n">
        <v>41041468.20529</v>
      </c>
      <c r="J76" s="117" t="n">
        <v>8238600</v>
      </c>
      <c r="K76" s="114" t="n">
        <v>6238307.1858</v>
      </c>
      <c r="L76" s="114" t="n">
        <v>953762.92164</v>
      </c>
      <c r="M76" s="114" t="n">
        <v>6683313.77334</v>
      </c>
      <c r="N76" s="114" t="n">
        <v>26606758.85089</v>
      </c>
      <c r="O76" s="114" t="n">
        <v>3258800</v>
      </c>
      <c r="P76" s="114"/>
      <c r="Q76" s="114" t="n">
        <v>0</v>
      </c>
      <c r="R76" s="114"/>
    </row>
    <row r="77" customFormat="false" ht="12.8" hidden="false" customHeight="false" outlineLevel="0" collapsed="false">
      <c r="B77" s="108" t="n">
        <v>2013</v>
      </c>
      <c r="C77" s="114" t="n">
        <v>36576358.35</v>
      </c>
      <c r="D77" s="114" t="n">
        <v>3099000</v>
      </c>
      <c r="E77" s="112" t="n">
        <v>24906800</v>
      </c>
      <c r="F77" s="114" t="n">
        <v>31010317</v>
      </c>
      <c r="G77" s="112" t="n">
        <v>1332400</v>
      </c>
      <c r="H77" s="114" t="n">
        <v>56514839</v>
      </c>
      <c r="I77" s="114" t="n">
        <v>53287660.80492</v>
      </c>
      <c r="J77" s="114" t="n">
        <v>8682000</v>
      </c>
      <c r="K77" s="116" t="n">
        <v>7042799.31211</v>
      </c>
      <c r="L77" s="116" t="n">
        <v>1253574.1296</v>
      </c>
      <c r="M77" s="116" t="n">
        <v>8856389.21015</v>
      </c>
      <c r="N77" s="116" t="n">
        <v>36122011.13802</v>
      </c>
      <c r="O77" s="116" t="n">
        <v>5590600</v>
      </c>
      <c r="P77" s="116"/>
      <c r="Q77" s="116" t="n">
        <v>0</v>
      </c>
      <c r="R77" s="116"/>
    </row>
    <row r="78" customFormat="false" ht="12.8" hidden="false" customHeight="false" outlineLevel="0" collapsed="false">
      <c r="B78" s="108" t="n">
        <v>2014</v>
      </c>
      <c r="C78" s="117" t="n">
        <v>53294684.66403</v>
      </c>
      <c r="D78" s="117" t="n">
        <v>2940800</v>
      </c>
      <c r="E78" s="118" t="n">
        <v>32721600</v>
      </c>
      <c r="F78" s="117" t="n">
        <v>44490091</v>
      </c>
      <c r="G78" s="118" t="n">
        <v>1984900</v>
      </c>
      <c r="H78" s="117" t="n">
        <v>76739818</v>
      </c>
      <c r="I78" s="117" t="n">
        <v>72676066.20744</v>
      </c>
      <c r="J78" s="117" t="n">
        <v>12167700</v>
      </c>
      <c r="K78" s="114" t="n">
        <v>9516808.09741</v>
      </c>
      <c r="L78" s="114" t="n">
        <v>1610245.75254</v>
      </c>
      <c r="M78" s="114" t="n">
        <v>11872462.07607</v>
      </c>
      <c r="N78" s="114" t="n">
        <v>49042610.26827</v>
      </c>
      <c r="O78" s="114" t="n">
        <v>8266200</v>
      </c>
      <c r="P78" s="114"/>
      <c r="Q78" s="114" t="n">
        <v>0</v>
      </c>
      <c r="R78" s="114"/>
    </row>
    <row r="79" customFormat="false" ht="12.8" hidden="false" customHeight="false" outlineLevel="0" collapsed="false">
      <c r="B79" s="108" t="n">
        <v>2015</v>
      </c>
      <c r="C79" s="114" t="n">
        <v>75797809.1</v>
      </c>
      <c r="D79" s="114" t="n">
        <v>3969300</v>
      </c>
      <c r="E79" s="119" t="n">
        <v>43272400</v>
      </c>
      <c r="F79" s="114" t="n">
        <v>56478261</v>
      </c>
      <c r="G79" s="112" t="n">
        <v>2916400</v>
      </c>
      <c r="H79" s="114" t="n">
        <v>97479599</v>
      </c>
      <c r="I79" s="114" t="n">
        <v>95600316.12798</v>
      </c>
      <c r="J79" s="114" t="n">
        <v>14199800</v>
      </c>
      <c r="K79" s="116" t="n">
        <v>12485483.44174</v>
      </c>
      <c r="L79" s="116" t="n">
        <v>2178603.64548</v>
      </c>
      <c r="M79" s="116" t="n">
        <v>16038444.76165</v>
      </c>
      <c r="N79" s="116" t="n">
        <v>68361691.35172</v>
      </c>
      <c r="O79" s="116" t="n">
        <v>10207500</v>
      </c>
      <c r="P79" s="116"/>
      <c r="Q79" s="116" t="n">
        <v>0</v>
      </c>
      <c r="R79" s="116"/>
    </row>
    <row r="80" customFormat="false" ht="12.8" hidden="false" customHeight="false" outlineLevel="0" collapsed="false">
      <c r="B80" s="108" t="n">
        <v>2016</v>
      </c>
      <c r="C80" s="117" t="n">
        <v>86485940.4164</v>
      </c>
      <c r="D80" s="117" t="n">
        <v>4810100</v>
      </c>
      <c r="E80" s="117" t="n">
        <v>58259500</v>
      </c>
      <c r="F80" s="117" t="n">
        <v>75663968</v>
      </c>
      <c r="G80" s="118" t="n">
        <v>4187600</v>
      </c>
      <c r="H80" s="117" t="n">
        <v>131669079</v>
      </c>
      <c r="I80" s="117" t="n">
        <v>126199197.124</v>
      </c>
      <c r="J80" s="117" t="n">
        <v>19962000</v>
      </c>
      <c r="K80" s="114" t="n">
        <v>14554479.38537</v>
      </c>
      <c r="L80" s="114" t="n">
        <v>2916910.09244</v>
      </c>
      <c r="M80" s="114" t="n">
        <v>22415518.30814</v>
      </c>
      <c r="N80" s="114" t="n">
        <v>88401916.12013</v>
      </c>
      <c r="O80" s="114" t="n">
        <v>16218300</v>
      </c>
      <c r="P80" s="114"/>
      <c r="Q80" s="114" t="n">
        <v>12099400</v>
      </c>
      <c r="R80" s="114" t="n">
        <v>31300557.6342019</v>
      </c>
    </row>
    <row r="81" customFormat="false" ht="12.8" hidden="false" customHeight="false" outlineLevel="0" collapsed="false">
      <c r="B81" s="120" t="n">
        <v>2017</v>
      </c>
      <c r="C81" s="121" t="n">
        <v>109245834.21693</v>
      </c>
      <c r="D81" s="121" t="n">
        <v>7282225.6</v>
      </c>
      <c r="E81" s="121" t="n">
        <v>74727533.13788</v>
      </c>
      <c r="F81" s="121" t="n">
        <v>102845595</v>
      </c>
      <c r="G81" s="122" t="n">
        <v>5625587</v>
      </c>
      <c r="H81" s="121" t="n">
        <v>172838482</v>
      </c>
      <c r="I81" s="121" t="n">
        <v>166461992.04945</v>
      </c>
      <c r="J81" s="121" t="n">
        <v>29455686.93297</v>
      </c>
      <c r="K81" s="123" t="n">
        <v>18322852.72915</v>
      </c>
      <c r="L81" s="123" t="n">
        <v>5017571.50117</v>
      </c>
      <c r="M81" s="123" t="n">
        <v>30933083.00808</v>
      </c>
      <c r="N81" s="123" t="n">
        <v>104611186.68281</v>
      </c>
      <c r="O81" s="123" t="n">
        <v>18023556.12808</v>
      </c>
      <c r="P81" s="123" t="n">
        <v>9373728.112</v>
      </c>
      <c r="Q81" s="123" t="n">
        <v>10845000</v>
      </c>
      <c r="R81" s="123" t="n">
        <v>77978329.8140266</v>
      </c>
    </row>
    <row r="82" customFormat="false" ht="12.8" hidden="false" customHeight="false" outlineLevel="0" collapsed="false">
      <c r="B82" s="108" t="n">
        <v>2018</v>
      </c>
      <c r="C82" s="124"/>
      <c r="D82" s="124" t="n">
        <v>11016890.5</v>
      </c>
      <c r="E82" s="124" t="n">
        <v>106984441.63282</v>
      </c>
      <c r="F82" s="124" t="n">
        <v>116408746.14157</v>
      </c>
      <c r="G82" s="124" t="n">
        <v>6845924</v>
      </c>
      <c r="H82" s="124" t="n">
        <v>232591321.05233</v>
      </c>
      <c r="I82" s="124" t="n">
        <v>260430300</v>
      </c>
      <c r="J82" s="124" t="n">
        <v>30341077.9158</v>
      </c>
      <c r="K82" s="114" t="n">
        <v>21525462.73405</v>
      </c>
      <c r="L82" s="114" t="n">
        <v>6263843.69233</v>
      </c>
      <c r="M82" s="114" t="n">
        <v>39299818.62715</v>
      </c>
      <c r="N82" s="114" t="n">
        <v>101267287.8766</v>
      </c>
      <c r="O82" s="114" t="n">
        <v>22662949.94606</v>
      </c>
      <c r="P82" s="114" t="n">
        <v>38198551.272</v>
      </c>
      <c r="Q82" s="114" t="n">
        <v>19529500</v>
      </c>
      <c r="R82" s="114" t="n">
        <v>168141700</v>
      </c>
    </row>
    <row r="83" customFormat="false" ht="12.8" hidden="false" customHeight="false" outlineLevel="0" collapsed="false">
      <c r="B83" s="108" t="n">
        <v>1993</v>
      </c>
      <c r="C83" s="125" t="n">
        <v>0.00360798997870177</v>
      </c>
      <c r="D83" s="125"/>
      <c r="E83" s="125"/>
      <c r="F83" s="125"/>
      <c r="G83" s="125"/>
      <c r="H83" s="125"/>
      <c r="I83" s="125" t="n">
        <v>0.0127518067972787</v>
      </c>
      <c r="J83" s="125" t="n">
        <v>0</v>
      </c>
      <c r="K83" s="126" t="n">
        <v>0.00148990999175634</v>
      </c>
      <c r="L83" s="126"/>
      <c r="M83" s="126" t="n">
        <v>0.00438149484248217</v>
      </c>
      <c r="N83" s="126" t="n">
        <v>0.000907133691920851</v>
      </c>
      <c r="O83" s="126"/>
      <c r="P83" s="126"/>
      <c r="Q83" s="126"/>
      <c r="R83" s="126"/>
    </row>
    <row r="84" customFormat="false" ht="12.8" hidden="false" customHeight="false" outlineLevel="0" collapsed="false">
      <c r="B84" s="108" t="n">
        <v>1994</v>
      </c>
      <c r="C84" s="127" t="n">
        <v>0.00452401493112597</v>
      </c>
      <c r="D84" s="127"/>
      <c r="E84" s="127"/>
      <c r="F84" s="127"/>
      <c r="G84" s="127"/>
      <c r="H84" s="127"/>
      <c r="I84" s="127" t="n">
        <v>0.0125330563795884</v>
      </c>
      <c r="J84" s="127" t="n">
        <v>0</v>
      </c>
      <c r="K84" s="125" t="n">
        <v>0.00114109371918643</v>
      </c>
      <c r="L84" s="125"/>
      <c r="M84" s="125" t="n">
        <v>0.00500171357630564</v>
      </c>
      <c r="N84" s="125" t="n">
        <v>0.00177359529305488</v>
      </c>
      <c r="O84" s="125"/>
      <c r="P84" s="125"/>
      <c r="Q84" s="125"/>
      <c r="R84" s="125"/>
    </row>
    <row r="85" customFormat="false" ht="12.8" hidden="false" customHeight="false" outlineLevel="0" collapsed="false">
      <c r="B85" s="108" t="n">
        <v>1995</v>
      </c>
      <c r="C85" s="125" t="n">
        <v>0.00481810842810914</v>
      </c>
      <c r="D85" s="125"/>
      <c r="E85" s="125"/>
      <c r="F85" s="125"/>
      <c r="G85" s="125"/>
      <c r="H85" s="125"/>
      <c r="I85" s="125" t="n">
        <v>0.011591546064283</v>
      </c>
      <c r="J85" s="125" t="n">
        <v>0</v>
      </c>
      <c r="K85" s="126" t="n">
        <v>0.00115074130920541</v>
      </c>
      <c r="L85" s="126"/>
      <c r="M85" s="126" t="n">
        <v>0.00460379512456971</v>
      </c>
      <c r="N85" s="126" t="n">
        <v>0.00203456278278236</v>
      </c>
      <c r="O85" s="126"/>
      <c r="P85" s="126"/>
      <c r="Q85" s="126"/>
      <c r="R85" s="126"/>
    </row>
    <row r="86" customFormat="false" ht="12.8" hidden="false" customHeight="false" outlineLevel="0" collapsed="false">
      <c r="B86" s="108" t="n">
        <v>1996</v>
      </c>
      <c r="C86" s="127" t="n">
        <v>0.00535119124011765</v>
      </c>
      <c r="D86" s="127"/>
      <c r="E86" s="127" t="n">
        <v>0.00699555519367766</v>
      </c>
      <c r="F86" s="127" t="n">
        <v>0.00859191284535789</v>
      </c>
      <c r="G86" s="127" t="n">
        <v>0.000633122003803018</v>
      </c>
      <c r="H86" s="127"/>
      <c r="I86" s="127" t="n">
        <v>0.0118734138888743</v>
      </c>
      <c r="J86" s="127" t="n">
        <v>0.00189952184472796</v>
      </c>
      <c r="K86" s="125" t="n">
        <v>0.00121581480233915</v>
      </c>
      <c r="L86" s="125"/>
      <c r="M86" s="125" t="n">
        <v>0.00371605977783452</v>
      </c>
      <c r="N86" s="125" t="n">
        <v>0.00374469920475403</v>
      </c>
      <c r="O86" s="125"/>
      <c r="P86" s="125"/>
      <c r="Q86" s="125"/>
      <c r="R86" s="125"/>
    </row>
    <row r="87" customFormat="false" ht="12.8" hidden="false" customHeight="false" outlineLevel="0" collapsed="false">
      <c r="B87" s="108" t="n">
        <v>1997</v>
      </c>
      <c r="C87" s="125" t="n">
        <v>0.00569959755309632</v>
      </c>
      <c r="D87" s="125"/>
      <c r="E87" s="125" t="n">
        <v>0.00697789668568757</v>
      </c>
      <c r="F87" s="125" t="n">
        <v>0.0133764802888043</v>
      </c>
      <c r="G87" s="125" t="n">
        <v>0.000661837543623088</v>
      </c>
      <c r="H87" s="125"/>
      <c r="I87" s="125" t="n">
        <v>0.0122864231415156</v>
      </c>
      <c r="J87" s="125" t="n">
        <v>0.00678417881034325</v>
      </c>
      <c r="K87" s="126" t="n">
        <v>0.000840346028141977</v>
      </c>
      <c r="L87" s="126"/>
      <c r="M87" s="126" t="n">
        <v>0.00376518359499552</v>
      </c>
      <c r="N87" s="126" t="n">
        <v>0.00345227651983493</v>
      </c>
      <c r="O87" s="126"/>
      <c r="P87" s="126"/>
      <c r="Q87" s="126"/>
      <c r="R87" s="126"/>
    </row>
    <row r="88" customFormat="false" ht="12.8" hidden="false" customHeight="false" outlineLevel="0" collapsed="false">
      <c r="B88" s="108" t="n">
        <v>1998</v>
      </c>
      <c r="C88" s="127" t="n">
        <v>0.00636315131456079</v>
      </c>
      <c r="D88" s="127" t="n">
        <v>0.000145543197528915</v>
      </c>
      <c r="E88" s="127" t="n">
        <v>0.00701695590496987</v>
      </c>
      <c r="F88" s="127" t="n">
        <v>0.0123514108518862</v>
      </c>
      <c r="G88" s="127" t="n">
        <v>0.000661539006122823</v>
      </c>
      <c r="H88" s="127"/>
      <c r="I88" s="127" t="n">
        <v>0.0127033327129764</v>
      </c>
      <c r="J88" s="127" t="n">
        <v>0.00620644167097362</v>
      </c>
      <c r="K88" s="125" t="n">
        <v>0.000774999732363437</v>
      </c>
      <c r="L88" s="125"/>
      <c r="M88" s="125" t="n">
        <v>0.0044281736419033</v>
      </c>
      <c r="N88" s="125" t="n">
        <v>0.00375256113602839</v>
      </c>
      <c r="O88" s="125"/>
      <c r="P88" s="125"/>
      <c r="Q88" s="125"/>
      <c r="R88" s="125"/>
    </row>
    <row r="89" customFormat="false" ht="12.8" hidden="false" customHeight="false" outlineLevel="0" collapsed="false">
      <c r="B89" s="108" t="n">
        <v>1999</v>
      </c>
      <c r="C89" s="125" t="n">
        <v>0.00652843236193813</v>
      </c>
      <c r="D89" s="125" t="n">
        <v>0.000682065594832189</v>
      </c>
      <c r="E89" s="125" t="n">
        <v>0.00661730302583426</v>
      </c>
      <c r="F89" s="125" t="n">
        <v>0.0126546160153983</v>
      </c>
      <c r="G89" s="125" t="n">
        <v>0.000694807769874193</v>
      </c>
      <c r="H89" s="125"/>
      <c r="I89" s="125" t="n">
        <v>0.0130590610333592</v>
      </c>
      <c r="J89" s="125" t="n">
        <v>0.00659006201248528</v>
      </c>
      <c r="K89" s="126" t="n">
        <v>0.000844821419816424</v>
      </c>
      <c r="L89" s="126"/>
      <c r="M89" s="126" t="n">
        <v>0.00496732786232554</v>
      </c>
      <c r="N89" s="126" t="n">
        <v>0.00371425044292621</v>
      </c>
      <c r="O89" s="126"/>
      <c r="P89" s="126"/>
      <c r="Q89" s="126"/>
      <c r="R89" s="126"/>
    </row>
    <row r="90" customFormat="false" ht="12.8" hidden="false" customHeight="false" outlineLevel="0" collapsed="false">
      <c r="B90" s="108" t="n">
        <v>2000</v>
      </c>
      <c r="C90" s="127" t="n">
        <v>0.00737482979989829</v>
      </c>
      <c r="D90" s="127" t="n">
        <v>0.000792131724972759</v>
      </c>
      <c r="E90" s="127" t="n">
        <v>0.00689589045722683</v>
      </c>
      <c r="F90" s="127" t="n">
        <v>0.0122384068851027</v>
      </c>
      <c r="G90" s="127" t="n">
        <v>0.00171445582114806</v>
      </c>
      <c r="H90" s="127"/>
      <c r="I90" s="127" t="n">
        <v>0.0132482904466693</v>
      </c>
      <c r="J90" s="127" t="n">
        <v>0.00625201275153695</v>
      </c>
      <c r="K90" s="125" t="n">
        <v>0.000757917523110217</v>
      </c>
      <c r="L90" s="125"/>
      <c r="M90" s="125" t="n">
        <v>0.00457708734050099</v>
      </c>
      <c r="N90" s="125" t="n">
        <v>0.00384670608858436</v>
      </c>
      <c r="O90" s="125"/>
      <c r="P90" s="125"/>
      <c r="Q90" s="125"/>
      <c r="R90" s="125"/>
    </row>
    <row r="91" customFormat="false" ht="12.8" hidden="false" customHeight="false" outlineLevel="0" collapsed="false">
      <c r="B91" s="108" t="n">
        <v>2001</v>
      </c>
      <c r="C91" s="125" t="n">
        <v>0.00742320990503864</v>
      </c>
      <c r="D91" s="125" t="n">
        <v>0.000792725123110313</v>
      </c>
      <c r="E91" s="125" t="n">
        <v>0.00589041397180548</v>
      </c>
      <c r="F91" s="125" t="n">
        <v>0.012726717103591</v>
      </c>
      <c r="G91" s="125" t="n">
        <v>0.000840551046084029</v>
      </c>
      <c r="H91" s="125" t="n">
        <v>0.0109159580432705</v>
      </c>
      <c r="I91" s="125" t="n">
        <v>0.0124450443431941</v>
      </c>
      <c r="J91" s="125" t="n">
        <v>0.006473913242637</v>
      </c>
      <c r="K91" s="126" t="n">
        <v>0.000688420104483218</v>
      </c>
      <c r="L91" s="126"/>
      <c r="M91" s="126" t="n">
        <v>0.00458720783308938</v>
      </c>
      <c r="N91" s="126" t="n">
        <v>0.00391896562603379</v>
      </c>
      <c r="O91" s="126"/>
      <c r="P91" s="126"/>
      <c r="Q91" s="126"/>
      <c r="R91" s="126"/>
    </row>
    <row r="92" customFormat="false" ht="12.8" hidden="false" customHeight="false" outlineLevel="0" collapsed="false">
      <c r="B92" s="108" t="n">
        <v>2002</v>
      </c>
      <c r="C92" s="127" t="n">
        <v>0.00550732676330524</v>
      </c>
      <c r="D92" s="127" t="n">
        <v>0.000517949435432862</v>
      </c>
      <c r="E92" s="127" t="n">
        <v>0.005027555073672</v>
      </c>
      <c r="F92" s="127" t="n">
        <v>0.014342468925354</v>
      </c>
      <c r="G92" s="127" t="n">
        <v>0.000696250533678235</v>
      </c>
      <c r="H92" s="127" t="n">
        <v>0.0155394867377431</v>
      </c>
      <c r="I92" s="127" t="n">
        <v>0.00963695804700716</v>
      </c>
      <c r="J92" s="127" t="n">
        <v>0.00578721074243246</v>
      </c>
      <c r="K92" s="125" t="n">
        <v>0.000674115579920293</v>
      </c>
      <c r="L92" s="125"/>
      <c r="M92" s="125" t="n">
        <v>0.00393016113979006</v>
      </c>
      <c r="N92" s="125" t="n">
        <v>0.00286856679917758</v>
      </c>
      <c r="O92" s="125"/>
      <c r="P92" s="125"/>
      <c r="Q92" s="125"/>
      <c r="R92" s="125"/>
    </row>
    <row r="93" customFormat="false" ht="12.8" hidden="false" customHeight="false" outlineLevel="0" collapsed="false">
      <c r="B93" s="108" t="n">
        <v>2003</v>
      </c>
      <c r="C93" s="125" t="n">
        <v>0.00778608650355386</v>
      </c>
      <c r="D93" s="125" t="n">
        <v>0.000548714663773305</v>
      </c>
      <c r="E93" s="125" t="n">
        <v>0.00574542115068131</v>
      </c>
      <c r="F93" s="125" t="n">
        <v>0.0132297237331965</v>
      </c>
      <c r="G93" s="125" t="n">
        <v>0.000681825883738911</v>
      </c>
      <c r="H93" s="125" t="n">
        <v>0.0156959033371192</v>
      </c>
      <c r="I93" s="125" t="n">
        <v>0.0118026727120887</v>
      </c>
      <c r="J93" s="125" t="n">
        <v>0.00496580829870134</v>
      </c>
      <c r="K93" s="126" t="n">
        <v>0.000682558068297916</v>
      </c>
      <c r="L93" s="126"/>
      <c r="M93" s="126" t="n">
        <v>0.00392285240873266</v>
      </c>
      <c r="N93" s="126" t="n">
        <v>0.00287332305220327</v>
      </c>
      <c r="O93" s="126"/>
      <c r="P93" s="126"/>
      <c r="Q93" s="126"/>
      <c r="R93" s="126"/>
    </row>
    <row r="94" customFormat="false" ht="12.8" hidden="false" customHeight="false" outlineLevel="0" collapsed="false">
      <c r="B94" s="108" t="n">
        <v>2004</v>
      </c>
      <c r="C94" s="127" t="n">
        <v>0.0091641635742257</v>
      </c>
      <c r="D94" s="127" t="n">
        <v>0.000657963741379203</v>
      </c>
      <c r="E94" s="127" t="n">
        <v>0.00658362471478164</v>
      </c>
      <c r="F94" s="127" t="n">
        <v>0.0110870883008554</v>
      </c>
      <c r="G94" s="127" t="n">
        <v>0.000707872826421854</v>
      </c>
      <c r="H94" s="127" t="n">
        <v>0.015835129642473</v>
      </c>
      <c r="I94" s="127" t="n">
        <v>0.0136326919048979</v>
      </c>
      <c r="J94" s="127" t="n">
        <v>0.00417343120345224</v>
      </c>
      <c r="K94" s="125" t="n">
        <v>0.000602714526981359</v>
      </c>
      <c r="L94" s="125"/>
      <c r="M94" s="125" t="n">
        <v>0.00302886361525675</v>
      </c>
      <c r="N94" s="125" t="n">
        <v>0.00321336233585605</v>
      </c>
      <c r="O94" s="125"/>
      <c r="P94" s="125"/>
      <c r="Q94" s="125"/>
      <c r="R94" s="125"/>
    </row>
    <row r="95" customFormat="false" ht="12.8" hidden="false" customHeight="false" outlineLevel="0" collapsed="false">
      <c r="B95" s="108" t="n">
        <v>2005</v>
      </c>
      <c r="C95" s="125" t="n">
        <v>0.00961880222981258</v>
      </c>
      <c r="D95" s="125" t="n">
        <v>0.000710855766254805</v>
      </c>
      <c r="E95" s="125" t="n">
        <v>0.00652260800262184</v>
      </c>
      <c r="F95" s="125" t="n">
        <v>0.0103295874494527</v>
      </c>
      <c r="G95" s="125" t="n">
        <v>0.000673064923836705</v>
      </c>
      <c r="H95" s="125" t="n">
        <v>0.0161951464097716</v>
      </c>
      <c r="I95" s="125" t="n">
        <v>0.0139841677041514</v>
      </c>
      <c r="J95" s="125" t="n">
        <v>0.00391930834033625</v>
      </c>
      <c r="K95" s="126" t="n">
        <v>0.000760956650522766</v>
      </c>
      <c r="L95" s="126"/>
      <c r="M95" s="126" t="n">
        <v>0.00264026760171751</v>
      </c>
      <c r="N95" s="126" t="n">
        <v>0.00333084778169367</v>
      </c>
      <c r="O95" s="126"/>
      <c r="P95" s="126"/>
      <c r="Q95" s="126"/>
      <c r="R95" s="126"/>
    </row>
    <row r="96" customFormat="false" ht="12.8" hidden="false" customHeight="false" outlineLevel="0" collapsed="false">
      <c r="B96" s="108" t="n">
        <v>2006</v>
      </c>
      <c r="C96" s="127" t="n">
        <v>0.00940560535877528</v>
      </c>
      <c r="D96" s="127" t="n">
        <v>0.000646805566494996</v>
      </c>
      <c r="E96" s="127" t="n">
        <v>0.00678386170042615</v>
      </c>
      <c r="F96" s="127" t="n">
        <v>0.00918087272210537</v>
      </c>
      <c r="G96" s="127" t="n">
        <v>0.000556280415991225</v>
      </c>
      <c r="H96" s="127" t="n">
        <v>0.0163229714661409</v>
      </c>
      <c r="I96" s="127" t="n">
        <v>0.0141131235333868</v>
      </c>
      <c r="J96" s="127" t="n">
        <v>0.00340537699689386</v>
      </c>
      <c r="K96" s="125" t="n">
        <v>0.000833500270706357</v>
      </c>
      <c r="L96" s="125"/>
      <c r="M96" s="125" t="n">
        <v>0.00235497081001743</v>
      </c>
      <c r="N96" s="125" t="n">
        <v>0.0039087534319118</v>
      </c>
      <c r="O96" s="125"/>
      <c r="P96" s="125"/>
      <c r="Q96" s="125"/>
      <c r="R96" s="125"/>
    </row>
    <row r="97" customFormat="false" ht="12.8" hidden="false" customHeight="false" outlineLevel="0" collapsed="false">
      <c r="B97" s="108" t="n">
        <v>2007</v>
      </c>
      <c r="C97" s="125" t="n">
        <v>0.00946369367588668</v>
      </c>
      <c r="D97" s="125" t="n">
        <v>0.000585475875391982</v>
      </c>
      <c r="E97" s="125" t="n">
        <v>0.00720349773674433</v>
      </c>
      <c r="F97" s="125" t="n">
        <v>0.00832312264618854</v>
      </c>
      <c r="G97" s="125" t="n">
        <v>0.000498422632844237</v>
      </c>
      <c r="H97" s="125" t="n">
        <v>0.0167951995322389</v>
      </c>
      <c r="I97" s="125" t="n">
        <v>0.0149072962567154</v>
      </c>
      <c r="J97" s="125" t="n">
        <v>0.00301491612895818</v>
      </c>
      <c r="K97" s="126" t="n">
        <v>0.000934433666315139</v>
      </c>
      <c r="L97" s="126"/>
      <c r="M97" s="126" t="n">
        <v>0.00229652373770847</v>
      </c>
      <c r="N97" s="126" t="n">
        <v>0.00464810842100707</v>
      </c>
      <c r="O97" s="126"/>
      <c r="P97" s="126"/>
      <c r="Q97" s="126"/>
      <c r="R97" s="126"/>
    </row>
    <row r="98" customFormat="false" ht="12.8" hidden="false" customHeight="false" outlineLevel="0" collapsed="false">
      <c r="B98" s="108" t="n">
        <v>2008</v>
      </c>
      <c r="C98" s="127" t="n">
        <v>0.00933824001867382</v>
      </c>
      <c r="D98" s="127" t="n">
        <v>0.000617660986798567</v>
      </c>
      <c r="E98" s="127" t="n">
        <v>0.00719511929922144</v>
      </c>
      <c r="F98" s="127" t="n">
        <v>0.00843202971714432</v>
      </c>
      <c r="G98" s="127" t="n">
        <v>0.00048284265951637</v>
      </c>
      <c r="H98" s="127" t="n">
        <v>0.0169575290688833</v>
      </c>
      <c r="I98" s="127" t="n">
        <v>0.0145730376476074</v>
      </c>
      <c r="J98" s="127" t="n">
        <v>0.00284428582324504</v>
      </c>
      <c r="K98" s="125" t="n">
        <v>0.00110112913760037</v>
      </c>
      <c r="L98" s="125"/>
      <c r="M98" s="125" t="n">
        <v>0.00219840306175176</v>
      </c>
      <c r="N98" s="125" t="n">
        <v>0.00535631443145592</v>
      </c>
      <c r="O98" s="125" t="n">
        <v>0.00116689653702816</v>
      </c>
      <c r="P98" s="125"/>
      <c r="Q98" s="125"/>
      <c r="R98" s="125"/>
    </row>
    <row r="99" customFormat="false" ht="12.8" hidden="false" customHeight="false" outlineLevel="0" collapsed="false">
      <c r="B99" s="108" t="n">
        <v>2009</v>
      </c>
      <c r="C99" s="125" t="n">
        <v>0.0088970241644898</v>
      </c>
      <c r="D99" s="125" t="n">
        <v>0.000721273651010169</v>
      </c>
      <c r="E99" s="125" t="n">
        <v>0.00721974510403148</v>
      </c>
      <c r="F99" s="125" t="n">
        <v>0.00929001289471043</v>
      </c>
      <c r="G99" s="125" t="n">
        <v>0.000527581984327637</v>
      </c>
      <c r="H99" s="125" t="n">
        <v>0.0164764714731884</v>
      </c>
      <c r="I99" s="125" t="n">
        <v>0.0146173597980544</v>
      </c>
      <c r="J99" s="125" t="n">
        <v>0.00305021267213239</v>
      </c>
      <c r="K99" s="126" t="n">
        <v>0.00177774684905904</v>
      </c>
      <c r="L99" s="126"/>
      <c r="M99" s="126" t="n">
        <v>0.00276402623901215</v>
      </c>
      <c r="N99" s="126" t="n">
        <v>0.00686863836330536</v>
      </c>
      <c r="O99" s="126" t="n">
        <v>0.00167502693461996</v>
      </c>
      <c r="P99" s="126"/>
      <c r="Q99" s="126"/>
      <c r="R99" s="126"/>
    </row>
    <row r="100" customFormat="false" ht="12.8" hidden="false" customHeight="false" outlineLevel="0" collapsed="false">
      <c r="B100" s="108" t="n">
        <v>2010</v>
      </c>
      <c r="C100" s="127" t="n">
        <v>0.00918548780578398</v>
      </c>
      <c r="D100" s="127" t="n">
        <v>0.000880412575395823</v>
      </c>
      <c r="E100" s="127" t="n">
        <v>0.00706586756938487</v>
      </c>
      <c r="F100" s="127" t="n">
        <v>0.00918867167260385</v>
      </c>
      <c r="G100" s="127" t="n">
        <v>0.000464277718330744</v>
      </c>
      <c r="H100" s="127" t="n">
        <v>0.0161788496372926</v>
      </c>
      <c r="I100" s="127" t="n">
        <v>0.0147442218942046</v>
      </c>
      <c r="J100" s="127" t="n">
        <v>0.0029853388270838</v>
      </c>
      <c r="K100" s="125" t="n">
        <v>0.00192822845700678</v>
      </c>
      <c r="L100" s="125"/>
      <c r="M100" s="125" t="n">
        <v>0.00275355246129494</v>
      </c>
      <c r="N100" s="125" t="n">
        <v>0.00721003836197678</v>
      </c>
      <c r="O100" s="125" t="n">
        <v>0.00129161278918117</v>
      </c>
      <c r="P100" s="125"/>
      <c r="Q100" s="125"/>
      <c r="R100" s="125"/>
    </row>
    <row r="101" customFormat="false" ht="12.8" hidden="false" customHeight="false" outlineLevel="0" collapsed="false">
      <c r="B101" s="108" t="n">
        <v>2011</v>
      </c>
      <c r="C101" s="125" t="n">
        <v>0.00989536698334916</v>
      </c>
      <c r="D101" s="125" t="n">
        <v>0.000957125713536113</v>
      </c>
      <c r="E101" s="125" t="n">
        <v>0.00698913792400184</v>
      </c>
      <c r="F101" s="125" t="n">
        <v>0.00832091621647902</v>
      </c>
      <c r="G101" s="125" t="n">
        <v>0.000464932901986689</v>
      </c>
      <c r="H101" s="125" t="n">
        <v>0.0166034992177078</v>
      </c>
      <c r="I101" s="125" t="n">
        <v>0.0148856065446608</v>
      </c>
      <c r="J101" s="125" t="n">
        <v>0.00262273372308155</v>
      </c>
      <c r="K101" s="126" t="n">
        <v>0.00218872405220907</v>
      </c>
      <c r="L101" s="126" t="n">
        <v>0.000334864926640407</v>
      </c>
      <c r="M101" s="126" t="n">
        <v>0.00246448878022597</v>
      </c>
      <c r="N101" s="126" t="n">
        <v>0.00805996363631593</v>
      </c>
      <c r="O101" s="126" t="n">
        <v>0.00103133324512357</v>
      </c>
      <c r="P101" s="126"/>
      <c r="Q101" s="126" t="n">
        <v>0.000328908706794847</v>
      </c>
      <c r="R101" s="126"/>
    </row>
    <row r="102" customFormat="false" ht="12.8" hidden="false" customHeight="false" outlineLevel="0" collapsed="false">
      <c r="B102" s="108" t="n">
        <v>2012</v>
      </c>
      <c r="C102" s="127" t="n">
        <v>0.0104606643560655</v>
      </c>
      <c r="D102" s="127" t="n">
        <v>0.00101322490187011</v>
      </c>
      <c r="E102" s="127" t="n">
        <v>0.00732161894258414</v>
      </c>
      <c r="F102" s="127" t="n">
        <v>0.00977492385410648</v>
      </c>
      <c r="G102" s="127" t="n">
        <v>0.000465936368934656</v>
      </c>
      <c r="H102" s="127" t="n">
        <v>0.0166537766309987</v>
      </c>
      <c r="I102" s="127" t="n">
        <v>0.0155583049965991</v>
      </c>
      <c r="J102" s="127" t="n">
        <v>0.00312314975925886</v>
      </c>
      <c r="K102" s="125" t="n">
        <v>0.00236486388288229</v>
      </c>
      <c r="L102" s="125" t="n">
        <v>0.000361559541561672</v>
      </c>
      <c r="M102" s="125" t="n">
        <v>0.00253356028964366</v>
      </c>
      <c r="N102" s="125" t="n">
        <v>0.0100862880222144</v>
      </c>
      <c r="O102" s="125" t="n">
        <v>0.00123537014000835</v>
      </c>
      <c r="P102" s="125"/>
      <c r="Q102" s="125" t="n">
        <v>0</v>
      </c>
      <c r="R102" s="125"/>
    </row>
    <row r="103" customFormat="false" ht="12.8" hidden="false" customHeight="false" outlineLevel="0" collapsed="false">
      <c r="B103" s="108" t="n">
        <v>2013</v>
      </c>
      <c r="C103" s="125" t="n">
        <v>0.0109238316835513</v>
      </c>
      <c r="D103" s="125" t="n">
        <v>0.000925541959737644</v>
      </c>
      <c r="E103" s="125" t="n">
        <v>0.0074386216465936</v>
      </c>
      <c r="F103" s="125" t="n">
        <v>0.00926148743732353</v>
      </c>
      <c r="G103" s="125" t="n">
        <v>0.000397932270782329</v>
      </c>
      <c r="H103" s="125" t="n">
        <v>0.0168786236987149</v>
      </c>
      <c r="I103" s="125" t="n">
        <v>0.0159148002617685</v>
      </c>
      <c r="J103" s="125" t="n">
        <v>0.00259295104693199</v>
      </c>
      <c r="K103" s="126" t="n">
        <v>0.00210339021534986</v>
      </c>
      <c r="L103" s="126" t="n">
        <v>0.000374390273180508</v>
      </c>
      <c r="M103" s="126" t="n">
        <v>0.0026450338256733</v>
      </c>
      <c r="N103" s="126" t="n">
        <v>0.0107881371340265</v>
      </c>
      <c r="O103" s="126" t="n">
        <v>0.00166967888999977</v>
      </c>
      <c r="P103" s="126"/>
      <c r="Q103" s="126" t="n">
        <v>0</v>
      </c>
      <c r="R103" s="126"/>
    </row>
    <row r="104" customFormat="false" ht="12.8" hidden="false" customHeight="false" outlineLevel="0" collapsed="false">
      <c r="B104" s="108" t="n">
        <v>2014</v>
      </c>
      <c r="C104" s="127" t="n">
        <v>0.0116387156111073</v>
      </c>
      <c r="D104" s="127" t="n">
        <v>0.000642224174604135</v>
      </c>
      <c r="E104" s="127" t="n">
        <v>0.00714587954016821</v>
      </c>
      <c r="F104" s="127" t="n">
        <v>0.00971593170924165</v>
      </c>
      <c r="G104" s="127" t="n">
        <v>0.000433470744073636</v>
      </c>
      <c r="H104" s="127" t="n">
        <v>0.0167587616547611</v>
      </c>
      <c r="I104" s="127" t="n">
        <v>0.015871302582137</v>
      </c>
      <c r="J104" s="127" t="n">
        <v>0.00265723309620876</v>
      </c>
      <c r="K104" s="125" t="n">
        <v>0.00207832026157001</v>
      </c>
      <c r="L104" s="125" t="n">
        <v>0.000351652186253678</v>
      </c>
      <c r="M104" s="125" t="n">
        <v>0.00259275780648903</v>
      </c>
      <c r="N104" s="125" t="n">
        <v>0.0107101298626129</v>
      </c>
      <c r="O104" s="125" t="n">
        <v>0.00180520724704594</v>
      </c>
      <c r="P104" s="125"/>
      <c r="Q104" s="125" t="n">
        <v>0</v>
      </c>
      <c r="R104" s="125"/>
    </row>
    <row r="105" customFormat="false" ht="12.8" hidden="false" customHeight="false" outlineLevel="0" collapsed="false">
      <c r="B105" s="108" t="n">
        <v>2015</v>
      </c>
      <c r="C105" s="125" t="n">
        <v>0.0127294769340055</v>
      </c>
      <c r="D105" s="125" t="n">
        <v>0.000666603868820108</v>
      </c>
      <c r="E105" s="125" t="n">
        <v>0.00726716278767824</v>
      </c>
      <c r="F105" s="125" t="n">
        <v>0.00948495384244874</v>
      </c>
      <c r="G105" s="125" t="n">
        <v>0.000489779941810133</v>
      </c>
      <c r="H105" s="125" t="n">
        <v>0.0163707146913644</v>
      </c>
      <c r="I105" s="125" t="n">
        <v>0.0160551081025211</v>
      </c>
      <c r="J105" s="125" t="n">
        <v>0.00238471307698379</v>
      </c>
      <c r="K105" s="126" t="n">
        <v>0.00209681091536374</v>
      </c>
      <c r="L105" s="126" t="n">
        <v>0.000365874491397112</v>
      </c>
      <c r="M105" s="126" t="n">
        <v>0.00269349490539226</v>
      </c>
      <c r="N105" s="126" t="n">
        <v>0.0114806560184775</v>
      </c>
      <c r="O105" s="126" t="n">
        <v>0.00171424659032607</v>
      </c>
      <c r="P105" s="126"/>
      <c r="Q105" s="126" t="n">
        <v>0</v>
      </c>
      <c r="R105" s="126" t="n">
        <v>0</v>
      </c>
    </row>
    <row r="106" customFormat="false" ht="12.8" hidden="false" customHeight="false" outlineLevel="0" collapsed="false">
      <c r="B106" s="108" t="n">
        <v>2016</v>
      </c>
      <c r="C106" s="127" t="n">
        <v>0.0105109702628087</v>
      </c>
      <c r="D106" s="127" t="n">
        <v>0.000584590024895527</v>
      </c>
      <c r="E106" s="127" t="n">
        <v>0.00708050197613375</v>
      </c>
      <c r="F106" s="127" t="n">
        <v>0.00919573417118446</v>
      </c>
      <c r="G106" s="127" t="n">
        <v>0.00050893519641016</v>
      </c>
      <c r="H106" s="127" t="n">
        <v>0.0160022515479057</v>
      </c>
      <c r="I106" s="127" t="n">
        <v>0.0153374756841884</v>
      </c>
      <c r="J106" s="127" t="n">
        <v>0.00242605893369462</v>
      </c>
      <c r="K106" s="125" t="n">
        <v>0.00176886207484977</v>
      </c>
      <c r="L106" s="125" t="n">
        <v>0.000354503345784394</v>
      </c>
      <c r="M106" s="125" t="n">
        <v>0.00272424448676778</v>
      </c>
      <c r="N106" s="125" t="n">
        <v>0.0107438261877048</v>
      </c>
      <c r="O106" s="125" t="n">
        <v>0.00197107261819154</v>
      </c>
      <c r="P106" s="125"/>
      <c r="Q106" s="125" t="n">
        <v>0.0014704867980335</v>
      </c>
      <c r="R106" s="125" t="n">
        <v>0.00380407762138458</v>
      </c>
    </row>
    <row r="107" customFormat="false" ht="12.8" hidden="false" customHeight="false" outlineLevel="0" collapsed="false">
      <c r="B107" s="108" t="n">
        <v>2017</v>
      </c>
      <c r="C107" s="125" t="n">
        <v>0.0102628562112773</v>
      </c>
      <c r="D107" s="125" t="n">
        <v>0.000684112440227956</v>
      </c>
      <c r="E107" s="125" t="n">
        <v>0.00702011141307824</v>
      </c>
      <c r="F107" s="125" t="n">
        <v>0.00966160001444418</v>
      </c>
      <c r="G107" s="125" t="n">
        <v>0.000528483222256211</v>
      </c>
      <c r="H107" s="125" t="n">
        <v>0.0162369256572215</v>
      </c>
      <c r="I107" s="125" t="n">
        <v>0.0156379005322433</v>
      </c>
      <c r="J107" s="125" t="n">
        <v>0.00276714880493469</v>
      </c>
      <c r="K107" s="126" t="n">
        <v>0.00172129952860513</v>
      </c>
      <c r="L107" s="126" t="n">
        <v>0.000471364562460638</v>
      </c>
      <c r="M107" s="126" t="n">
        <v>0.00290593948372479</v>
      </c>
      <c r="N107" s="126" t="n">
        <v>0.00982746458674933</v>
      </c>
      <c r="O107" s="126" t="n">
        <v>0.00169318277702992</v>
      </c>
      <c r="P107" s="126" t="n">
        <v>0.000880593978403211</v>
      </c>
      <c r="Q107" s="126" t="n">
        <v>0.00101880933409591</v>
      </c>
      <c r="R107" s="126" t="n">
        <v>0.00732550025557765</v>
      </c>
    </row>
    <row r="108" customFormat="false" ht="12.8" hidden="false" customHeight="false" outlineLevel="0" collapsed="false">
      <c r="B108" s="108" t="n">
        <v>2018</v>
      </c>
      <c r="C108" s="128" t="n">
        <v>0</v>
      </c>
      <c r="D108" s="128" t="n">
        <v>0.00075631386805743</v>
      </c>
      <c r="E108" s="128" t="n">
        <v>0.00734452401730619</v>
      </c>
      <c r="F108" s="128" t="n">
        <v>0.00799150623036929</v>
      </c>
      <c r="G108" s="128" t="n">
        <v>0.000469975376524546</v>
      </c>
      <c r="H108" s="128" t="n">
        <v>0.0159674857167433</v>
      </c>
      <c r="I108" s="128" t="n">
        <v>0.0178786425763565</v>
      </c>
      <c r="J108" s="128" t="n">
        <v>0.00208292693837073</v>
      </c>
      <c r="K108" s="125" t="n">
        <v>0.00147773148713019</v>
      </c>
      <c r="L108" s="125" t="n">
        <v>0.000430015334349855</v>
      </c>
      <c r="M108" s="125" t="n">
        <v>0.00269794801353933</v>
      </c>
      <c r="N108" s="125" t="n">
        <v>0.00695203916219705</v>
      </c>
      <c r="O108" s="125" t="n">
        <v>0.00155582043184477</v>
      </c>
      <c r="P108" s="125" t="n">
        <v>0.00262234557625097</v>
      </c>
      <c r="Q108" s="125" t="n">
        <v>0.00134070786001073</v>
      </c>
      <c r="R108" s="125" t="n">
        <v>0.0115429938700718</v>
      </c>
    </row>
    <row r="109" customFormat="false" ht="12.8" hidden="false" customHeight="false" outlineLevel="0" collapsed="false">
      <c r="Q109" s="0" t="s">
        <v>152</v>
      </c>
    </row>
    <row r="112" customFormat="false" ht="12.8" hidden="false" customHeight="false" outlineLevel="0" collapsed="false">
      <c r="B112" s="129" t="s">
        <v>153</v>
      </c>
      <c r="C112" s="129"/>
      <c r="D112" s="130" t="n">
        <f aca="false">AVERAGE(D98:D108)</f>
        <v>0.000768098560450326</v>
      </c>
      <c r="E112" s="130" t="n">
        <f aca="false">AVERAGE(E98:E108)*0.2869</f>
        <v>0.00206276640583366</v>
      </c>
      <c r="F112" s="130" t="n">
        <f aca="false">AVERAGE(F98:F108)/3</f>
        <v>0.00303993235636533</v>
      </c>
      <c r="G112" s="130" t="n">
        <f aca="false">AVERAGE(G98:G108)</f>
        <v>0.000475831671359374</v>
      </c>
      <c r="H112" s="130" t="n">
        <f aca="false">AVERAGE(H98:H108)</f>
        <v>0.0164622626358892</v>
      </c>
      <c r="I112" s="130" t="n">
        <f aca="false">AVERAGE(I98:I108)</f>
        <v>0.0155521600563946</v>
      </c>
      <c r="J112" s="130" t="n">
        <f aca="false">AVERAGE(J98:J108)</f>
        <v>0.00268515933653875</v>
      </c>
      <c r="K112" s="131" t="n">
        <f aca="false">AVERAGE(K98:K108)</f>
        <v>0.00187337335105693</v>
      </c>
      <c r="L112" s="131" t="n">
        <f aca="false">L108</f>
        <v>0.000430015334349855</v>
      </c>
      <c r="M112" s="131" t="n">
        <f aca="false">AVERAGE(M98:M108)</f>
        <v>0.00263394994122863</v>
      </c>
      <c r="N112" s="131" t="n">
        <f aca="false">N108</f>
        <v>0.00695203916219705</v>
      </c>
      <c r="O112" s="131" t="n">
        <f aca="false">AVERAGE(O98:O108)</f>
        <v>0.00152813165458175</v>
      </c>
      <c r="P112" s="131" t="n">
        <f aca="false">P108</f>
        <v>0.00262234557625097</v>
      </c>
      <c r="Q112" s="131" t="n">
        <f aca="false">AVERAGE(Q106:Q108)</f>
        <v>0.00127666799738005</v>
      </c>
    </row>
    <row r="114" customFormat="false" ht="12.8" hidden="false" customHeight="false" outlineLevel="0" collapsed="false">
      <c r="D114" s="130" t="n">
        <f aca="false">SUM(D112:J112)-E112</f>
        <v>0.0389834446169977</v>
      </c>
      <c r="K114" s="131" t="n">
        <f aca="false">SUM(K112:Q112)</f>
        <v>0.0173165230170452</v>
      </c>
    </row>
    <row r="116" customFormat="false" ht="12.8" hidden="false" customHeight="false" outlineLevel="0" collapsed="false">
      <c r="I116" s="31"/>
    </row>
    <row r="117" customFormat="false" ht="12.8" hidden="false" customHeight="false" outlineLevel="0" collapsed="false">
      <c r="C117" s="0" t="s">
        <v>154</v>
      </c>
      <c r="D117" s="0" t="s">
        <v>155</v>
      </c>
      <c r="E117" s="0" t="s">
        <v>156</v>
      </c>
      <c r="F117" s="3" t="s">
        <v>157</v>
      </c>
      <c r="G117" s="0" t="s">
        <v>158</v>
      </c>
    </row>
    <row r="119" customFormat="false" ht="12.8" hidden="false" customHeight="false" outlineLevel="0" collapsed="false">
      <c r="B119" s="5" t="n">
        <v>2014</v>
      </c>
      <c r="C119" s="61" t="n">
        <f aca="false">(SUM('Central pensions'!Y4:Y7)/AVERAGE('Central scenario'!AG3:AG6))</f>
        <v>0.0100080003976103</v>
      </c>
      <c r="D119" s="61" t="n">
        <f aca="false">'Central scenario'!BM3+'Central scenario'!BN3+'Central scenario'!BL3-C119</f>
        <v>0.0636642641339578</v>
      </c>
      <c r="E119" s="61" t="n">
        <f aca="false">'Central scenario'!BK3</f>
        <v>0.0539797598100557</v>
      </c>
      <c r="F119" s="61" t="n">
        <f aca="false">SUM($C104:$J104)-$H104-$F104-SUM($K104:$Q104)</f>
        <v>0.0208507583843275</v>
      </c>
      <c r="G119" s="61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31" t="n">
        <f aca="false">SUM('Central pensions'!Y14:Y17)/AVERAGE('Central scenario'!AG14:AG17)</f>
        <v>0.0107339784194634</v>
      </c>
      <c r="D120" s="31" t="n">
        <f aca="false">'Central scenario'!BM4+'Central scenario'!BN4+'Central scenario'!BL4-C120</f>
        <v>0.0829481034514564</v>
      </c>
      <c r="E120" s="31" t="n">
        <f aca="false">'Central scenario'!BK4</f>
        <v>0.0608077145935599</v>
      </c>
      <c r="F120" s="31" t="n">
        <f aca="false">SUM($C105:$J105)-$H105-$F105-SUM($K105:$Q105)</f>
        <v>0.0212417617908622</v>
      </c>
      <c r="G120" s="31" t="n">
        <f aca="false">E120+F120-D120-C120</f>
        <v>-0.0116326054864977</v>
      </c>
    </row>
    <row r="121" customFormat="false" ht="12.8" hidden="false" customHeight="false" outlineLevel="0" collapsed="false">
      <c r="B121" s="5" t="n">
        <v>2016</v>
      </c>
      <c r="C121" s="61" t="n">
        <f aca="false">SUM('Central pensions'!Y18:Y21)/AVERAGE('Central scenario'!AG18:AG21)</f>
        <v>0.0120915600774794</v>
      </c>
      <c r="D121" s="61" t="n">
        <f aca="false">'Central scenario'!BM5+'Central scenario'!BN5+'Central scenario'!BL5-C121</f>
        <v>0.0821174703482337</v>
      </c>
      <c r="E121" s="61" t="n">
        <f aca="false">'Central scenario'!BK5</f>
        <v>0.0613981988851851</v>
      </c>
      <c r="F121" s="61" t="n">
        <f aca="false">SUM($C106:$J106)-$H106-$F106-SUM($K106:$R106)</f>
        <v>0.0136114589454148</v>
      </c>
      <c r="G121" s="61" t="n">
        <f aca="false">E121+F121-D121-C121</f>
        <v>-0.0191993725951131</v>
      </c>
    </row>
    <row r="122" customFormat="false" ht="12.8" hidden="false" customHeight="false" outlineLevel="0" collapsed="false">
      <c r="B122" s="0" t="n">
        <v>2017</v>
      </c>
      <c r="C122" s="31" t="n">
        <f aca="false">SUM('Central pensions'!Y22:Y25)/AVERAGE('Central scenario'!AG22:AG25)</f>
        <v>0.0155187056640414</v>
      </c>
      <c r="D122" s="31" t="n">
        <f aca="false">'Central scenario'!BM6+'Central scenario'!BN6+'Central scenario'!BL6-C122</f>
        <v>0.0847525809514072</v>
      </c>
      <c r="E122" s="31" t="n">
        <f aca="false">'Central scenario'!BK6</f>
        <v>0.0632114979056286</v>
      </c>
      <c r="F122" s="31" t="n">
        <f aca="false">SUM($C107:$J107)-$H107-$F107-SUM($K107:$R107)</f>
        <v>0.0110564581173711</v>
      </c>
      <c r="G122" s="31" t="n">
        <f aca="false">E122+F122-D122-C122</f>
        <v>-0.0260033305924489</v>
      </c>
    </row>
    <row r="123" customFormat="false" ht="12.8" hidden="false" customHeight="false" outlineLevel="0" collapsed="false">
      <c r="B123" s="5" t="n">
        <f aca="false">B122+1</f>
        <v>2018</v>
      </c>
      <c r="C123" s="61" t="n">
        <f aca="false">SUM('Central pensions'!Y26:Y29)/AVERAGE('Central scenario'!AG26:AG29)</f>
        <v>0.0143643444472167</v>
      </c>
      <c r="D123" s="61" t="n">
        <f aca="false">'Central scenario'!BM7+'Central scenario'!BN7+'Central scenario'!BL7-C123</f>
        <v>0.0817454571976054</v>
      </c>
      <c r="E123" s="61" t="n">
        <f aca="false">'Central scenario'!BK7</f>
        <v>0.0590159622103877</v>
      </c>
      <c r="F123" s="61" t="n">
        <f aca="false">SUM($C108:$J108)-$F108-SUM($K108:$R108)</f>
        <v>0.015880266757964</v>
      </c>
      <c r="G123" s="61" t="n">
        <f aca="false">E123+F123-D123-C123</f>
        <v>-0.0212135726764704</v>
      </c>
    </row>
    <row r="124" customFormat="false" ht="12.8" hidden="false" customHeight="false" outlineLevel="0" collapsed="false">
      <c r="B124" s="0" t="n">
        <f aca="false">B123+1</f>
        <v>2019</v>
      </c>
      <c r="C124" s="31" t="n">
        <f aca="false">SUM('Central pensions'!Y30:Y33)/AVERAGE('Central scenario'!AG30:AG33)</f>
        <v>0.0136316295108704</v>
      </c>
      <c r="D124" s="31" t="n">
        <f aca="false">'Central scenario'!BM8+'Central scenario'!BN8+'Central scenario'!BL8-C124</f>
        <v>0.0767147567851068</v>
      </c>
      <c r="E124" s="31" t="n">
        <f aca="false">'Central scenario'!BK8</f>
        <v>0.0513845170542849</v>
      </c>
      <c r="F124" s="31" t="n">
        <f aca="false">SUM($D$112:$J$112)-SUM($K$112:$Q$112)-$I$112*12/15</f>
        <v>0.0112879599606704</v>
      </c>
      <c r="G124" s="31" t="n">
        <f aca="false">E124+F124-D124-C124</f>
        <v>-0.0276739092810219</v>
      </c>
    </row>
    <row r="125" customFormat="false" ht="12.8" hidden="false" customHeight="false" outlineLevel="0" collapsed="false">
      <c r="B125" s="5" t="n">
        <f aca="false">B124+1</f>
        <v>2020</v>
      </c>
      <c r="C125" s="61" t="n">
        <f aca="false">SUM('Central pensions'!Y34:Y37)/AVERAGE('Central scenario'!AG34:AG37)</f>
        <v>0.0155995093030069</v>
      </c>
      <c r="D125" s="61" t="n">
        <f aca="false">'Central scenario'!BM9+'Central scenario'!BN9+'Central scenario'!BL9-C125</f>
        <v>0.0941674353425147</v>
      </c>
      <c r="E125" s="61" t="n">
        <f aca="false">'Central scenario'!BK9</f>
        <v>0.0521439859440649</v>
      </c>
      <c r="F125" s="61" t="n">
        <f aca="false">SUM($D$112:$J$112)-SUM($K$112:$Q$112)-$I$112</f>
        <v>0.00817752794939145</v>
      </c>
      <c r="G125" s="61" t="n">
        <f aca="false">E125+F125-D125-C125</f>
        <v>-0.0494454307520652</v>
      </c>
    </row>
    <row r="126" customFormat="false" ht="12.8" hidden="false" customHeight="false" outlineLevel="0" collapsed="false">
      <c r="B126" s="0" t="n">
        <f aca="false">B125+1</f>
        <v>2021</v>
      </c>
      <c r="C126" s="31" t="n">
        <f aca="false">SUM('Central pensions'!Y38:Y41)/AVERAGE('Central scenario'!AG38:AG41)</f>
        <v>0.0134005938431997</v>
      </c>
      <c r="D126" s="31" t="n">
        <f aca="false">'Central scenario'!BM10+'Central scenario'!BN10+'Central scenario'!BL10-C126</f>
        <v>0.0854270439263265</v>
      </c>
      <c r="E126" s="31" t="n">
        <f aca="false">'Central scenario'!BK10</f>
        <v>0.0471563841642693</v>
      </c>
      <c r="F126" s="31" t="n">
        <f aca="false">SUM($D$112:$J$112)-SUM($K$112:$Q$112)-$I$112</f>
        <v>0.00817752794939145</v>
      </c>
      <c r="G126" s="31" t="n">
        <f aca="false">E126+F126-D126-C126</f>
        <v>-0.0434937256558654</v>
      </c>
    </row>
    <row r="127" customFormat="false" ht="12.8" hidden="false" customHeight="false" outlineLevel="0" collapsed="false">
      <c r="B127" s="5" t="n">
        <f aca="false">B126+1</f>
        <v>2022</v>
      </c>
      <c r="C127" s="61" t="n">
        <f aca="false">SUM('Central pensions'!Y42:Y45)/AVERAGE('Central scenario'!AG42:AG45)</f>
        <v>0.0130924528628861</v>
      </c>
      <c r="D127" s="61" t="n">
        <f aca="false">'Central scenario'!BM11+'Central scenario'!BN11+'Central scenario'!BL11-C127</f>
        <v>0.0862143580550718</v>
      </c>
      <c r="E127" s="61" t="n">
        <f aca="false">'Central scenario'!BK11</f>
        <v>0.0452681466987859</v>
      </c>
      <c r="F127" s="61" t="n">
        <f aca="false">SUM($D$112:$J$112)-SUM($K$112:$Q$112)-$I$112</f>
        <v>0.00817752794939145</v>
      </c>
      <c r="G127" s="61" t="n">
        <f aca="false">E127+F127-D127-C127</f>
        <v>-0.0458611362697805</v>
      </c>
    </row>
    <row r="128" customFormat="false" ht="12.8" hidden="false" customHeight="false" outlineLevel="0" collapsed="false">
      <c r="B128" s="0" t="n">
        <f aca="false">B127+1</f>
        <v>2023</v>
      </c>
      <c r="C128" s="31" t="n">
        <f aca="false">SUM('Central pensions'!Y46:Y49)/AVERAGE('Central scenario'!AG46:AG49)</f>
        <v>0.0124651098698953</v>
      </c>
      <c r="D128" s="31" t="n">
        <f aca="false">'Central scenario'!BM12+'Central scenario'!BN12+'Central scenario'!BL12-C128</f>
        <v>0.0857761388514113</v>
      </c>
      <c r="E128" s="31" t="n">
        <f aca="false">'Central scenario'!BK12</f>
        <v>0.0451095033288458</v>
      </c>
      <c r="F128" s="31" t="n">
        <f aca="false">SUM($D$112:$J$112)-SUM($K$112:$Q$112)-$I$112</f>
        <v>0.00817752794939145</v>
      </c>
      <c r="G128" s="31" t="n">
        <f aca="false">E128+F128-D128-C128</f>
        <v>-0.0449542174430694</v>
      </c>
    </row>
    <row r="129" customFormat="false" ht="12.8" hidden="false" customHeight="false" outlineLevel="0" collapsed="false">
      <c r="B129" s="5" t="n">
        <f aca="false">B128+1</f>
        <v>2024</v>
      </c>
      <c r="C129" s="61" t="n">
        <f aca="false">SUM('Central pensions'!Y50:Y53)/AVERAGE('Central scenario'!AG50:AG53)</f>
        <v>0.0122733953036493</v>
      </c>
      <c r="D129" s="61" t="n">
        <f aca="false">'Central scenario'!BM13+'Central scenario'!BN13+'Central scenario'!BL13-C129</f>
        <v>0.0865505001120608</v>
      </c>
      <c r="E129" s="61" t="n">
        <f aca="false">'Central scenario'!BK13</f>
        <v>0.0458344510449811</v>
      </c>
      <c r="F129" s="61" t="n">
        <f aca="false">SUM($D$112:$J$112)-SUM($K$112:$Q$112)-$I$112</f>
        <v>0.00817752794939145</v>
      </c>
      <c r="G129" s="61" t="n">
        <f aca="false">E129+F129-D129-C129</f>
        <v>-0.0448119164213376</v>
      </c>
    </row>
    <row r="130" customFormat="false" ht="12.8" hidden="false" customHeight="false" outlineLevel="0" collapsed="false">
      <c r="B130" s="0" t="n">
        <f aca="false">B129+1</f>
        <v>2025</v>
      </c>
      <c r="C130" s="31" t="n">
        <f aca="false">SUM('Central pensions'!Y54:Y57)/AVERAGE('Central scenario'!AG54:AG57)</f>
        <v>0.0121392471238736</v>
      </c>
      <c r="D130" s="31" t="n">
        <f aca="false">'Central scenario'!BM14+'Central scenario'!BN14+'Central scenario'!BL14-C130</f>
        <v>0.0881470945543886</v>
      </c>
      <c r="E130" s="31" t="n">
        <f aca="false">'Central scenario'!BK14</f>
        <v>0.0471750617881345</v>
      </c>
      <c r="F130" s="31" t="n">
        <f aca="false">SUM($D$112:$J$112)-SUM($K$112:$Q$112)-$I$112</f>
        <v>0.00817752794939145</v>
      </c>
      <c r="G130" s="31" t="n">
        <f aca="false">E130+F130-D130-C130</f>
        <v>-0.0449337519407362</v>
      </c>
    </row>
    <row r="131" customFormat="false" ht="12.8" hidden="false" customHeight="false" outlineLevel="0" collapsed="false">
      <c r="B131" s="5" t="n">
        <f aca="false">B130+1</f>
        <v>2026</v>
      </c>
      <c r="C131" s="61" t="n">
        <f aca="false">SUM('Central pensions'!Y58:Y61)/AVERAGE('Central scenario'!AG58:AG61)</f>
        <v>0.0117482466263433</v>
      </c>
      <c r="D131" s="61" t="n">
        <f aca="false">'Central scenario'!BM15+'Central scenario'!BN15+'Central scenario'!BL15-C131</f>
        <v>0.088676510873286</v>
      </c>
      <c r="E131" s="61" t="n">
        <f aca="false">'Central scenario'!BK15</f>
        <v>0.0469831921942993</v>
      </c>
      <c r="F131" s="61" t="n">
        <f aca="false">SUM($D$112:$J$112)-SUM($K$112:$Q$112)-$I$112</f>
        <v>0.00817752794939145</v>
      </c>
      <c r="G131" s="61" t="n">
        <f aca="false">E131+F131-D131-C131</f>
        <v>-0.0452640373559386</v>
      </c>
    </row>
    <row r="132" customFormat="false" ht="12.8" hidden="false" customHeight="false" outlineLevel="0" collapsed="false">
      <c r="B132" s="0" t="n">
        <f aca="false">B131+1</f>
        <v>2027</v>
      </c>
      <c r="C132" s="31" t="n">
        <f aca="false">SUM('Central pensions'!Y62:Y65)/AVERAGE('Central scenario'!AG62:AG65)</f>
        <v>0.0113730694374728</v>
      </c>
      <c r="D132" s="31" t="n">
        <f aca="false">'Central scenario'!BM16+'Central scenario'!BN16+'Central scenario'!BL16-C132</f>
        <v>0.088963368190169</v>
      </c>
      <c r="E132" s="31" t="n">
        <f aca="false">'Central scenario'!BK16</f>
        <v>0.0470808130182939</v>
      </c>
      <c r="F132" s="31" t="n">
        <f aca="false">SUM($D$112:$J$112)-SUM($K$112:$Q$112)-$I$112</f>
        <v>0.00817752794939145</v>
      </c>
      <c r="G132" s="31" t="n">
        <f aca="false">E132+F132-D132-C132</f>
        <v>-0.0450780966599565</v>
      </c>
    </row>
    <row r="133" customFormat="false" ht="12.8" hidden="false" customHeight="false" outlineLevel="0" collapsed="false">
      <c r="B133" s="5" t="n">
        <f aca="false">B132+1</f>
        <v>2028</v>
      </c>
      <c r="C133" s="61" t="n">
        <f aca="false">SUM('Central pensions'!Y66:Y69)/AVERAGE('Central scenario'!AG66:AG69)</f>
        <v>0.0109825928538159</v>
      </c>
      <c r="D133" s="61" t="n">
        <f aca="false">'Central scenario'!BM17+'Central scenario'!BN17+'Central scenario'!BL17-C133</f>
        <v>0.0886450924499108</v>
      </c>
      <c r="E133" s="61" t="n">
        <f aca="false">'Central scenario'!BK17</f>
        <v>0.0475394662758912</v>
      </c>
      <c r="F133" s="61" t="n">
        <f aca="false">SUM($D$112:$J$112)-SUM($K$112:$Q$112)-$I$112</f>
        <v>0.00817752794939145</v>
      </c>
      <c r="G133" s="61" t="n">
        <f aca="false">E133+F133-D133-C133</f>
        <v>-0.043910691078444</v>
      </c>
    </row>
    <row r="134" customFormat="false" ht="12.8" hidden="false" customHeight="false" outlineLevel="0" collapsed="false">
      <c r="B134" s="0" t="n">
        <f aca="false">B133+1</f>
        <v>2029</v>
      </c>
      <c r="C134" s="31" t="n">
        <f aca="false">SUM('Central pensions'!Y70:Y73)/AVERAGE('Central scenario'!AG70:AG73)</f>
        <v>0.010491164004734</v>
      </c>
      <c r="D134" s="31" t="n">
        <f aca="false">'Central scenario'!BM18+'Central scenario'!BN18+'Central scenario'!BL18-C134</f>
        <v>0.0881764794983711</v>
      </c>
      <c r="E134" s="31" t="n">
        <f aca="false">'Central scenario'!BK18</f>
        <v>0.0480637559688586</v>
      </c>
      <c r="F134" s="31" t="n">
        <f aca="false">SUM($D$112:$J$112)-SUM($K$112:$Q$112)-$I$112</f>
        <v>0.00817752794939145</v>
      </c>
      <c r="G134" s="31" t="n">
        <f aca="false">E134+F134-D134-C134</f>
        <v>-0.0424263595848551</v>
      </c>
    </row>
    <row r="135" customFormat="false" ht="12.8" hidden="false" customHeight="false" outlineLevel="0" collapsed="false">
      <c r="B135" s="5" t="n">
        <f aca="false">B134+1</f>
        <v>2030</v>
      </c>
      <c r="C135" s="61" t="n">
        <f aca="false">SUM('Central pensions'!Y74:Y77)/AVERAGE('Central scenario'!AG74:AG77)</f>
        <v>0.0101245427202248</v>
      </c>
      <c r="D135" s="61" t="n">
        <f aca="false">'Central scenario'!BM19+'Central scenario'!BN19+'Central scenario'!BL19-C135</f>
        <v>0.087658416643521</v>
      </c>
      <c r="E135" s="61" t="n">
        <f aca="false">'Central scenario'!BK19</f>
        <v>0.0484981459453469</v>
      </c>
      <c r="F135" s="61" t="n">
        <f aca="false">SUM($D$112:$J$112)-SUM($K$112:$Q$112)-$I$112</f>
        <v>0.00817752794939145</v>
      </c>
      <c r="G135" s="61" t="n">
        <f aca="false">E135+F135-D135-C135</f>
        <v>-0.0411072854690075</v>
      </c>
    </row>
    <row r="136" customFormat="false" ht="12.8" hidden="false" customHeight="false" outlineLevel="0" collapsed="false">
      <c r="B136" s="0" t="n">
        <f aca="false">B135+1</f>
        <v>2031</v>
      </c>
      <c r="C136" s="31" t="n">
        <f aca="false">SUM('Central pensions'!Y78:Y81)/AVERAGE('Central scenario'!AG78:AG81)</f>
        <v>0.00949581761902994</v>
      </c>
      <c r="D136" s="31" t="n">
        <f aca="false">'Central scenario'!BM20+'Central scenario'!BN20+'Central scenario'!BL20-C136</f>
        <v>0.0875799418986331</v>
      </c>
      <c r="E136" s="31" t="n">
        <f aca="false">'Central scenario'!BK20</f>
        <v>0.0487538998888402</v>
      </c>
      <c r="F136" s="31" t="n">
        <f aca="false">SUM($D$112:$J$112)-SUM($K$112:$Q$112)-$I$112</f>
        <v>0.00817752794939145</v>
      </c>
      <c r="G136" s="31" t="n">
        <f aca="false">E136+F136-D136-C136</f>
        <v>-0.0401443316794314</v>
      </c>
    </row>
    <row r="137" customFormat="false" ht="12.8" hidden="false" customHeight="false" outlineLevel="0" collapsed="false">
      <c r="B137" s="5" t="n">
        <f aca="false">B136+1</f>
        <v>2032</v>
      </c>
      <c r="C137" s="61" t="n">
        <f aca="false">SUM('Central pensions'!Y82:Y85)/AVERAGE('Central scenario'!AG82:AG85)</f>
        <v>0.00916950124534221</v>
      </c>
      <c r="D137" s="61" t="n">
        <f aca="false">'Central scenario'!BM21+'Central scenario'!BN21+'Central scenario'!BL21-C137</f>
        <v>0.0876706006167717</v>
      </c>
      <c r="E137" s="61" t="n">
        <f aca="false">'Central scenario'!BK21</f>
        <v>0.0489399753171585</v>
      </c>
      <c r="F137" s="61" t="n">
        <f aca="false">SUM($D$112:$J$112)-SUM($K$112:$Q$112)-$I$112</f>
        <v>0.00817752794939145</v>
      </c>
      <c r="G137" s="61" t="n">
        <f aca="false">E137+F137-D137-C137</f>
        <v>-0.0397225985955639</v>
      </c>
    </row>
    <row r="138" customFormat="false" ht="12.8" hidden="false" customHeight="false" outlineLevel="0" collapsed="false">
      <c r="B138" s="0" t="n">
        <f aca="false">B137+1</f>
        <v>2033</v>
      </c>
      <c r="C138" s="31" t="n">
        <f aca="false">SUM('Central pensions'!Y86:Y89)/AVERAGE('Central scenario'!AG86:AG89)</f>
        <v>0.00868853137764608</v>
      </c>
      <c r="D138" s="31" t="n">
        <f aca="false">'Central scenario'!BM22+'Central scenario'!BN22+'Central scenario'!BL22-C138</f>
        <v>0.086978905064727</v>
      </c>
      <c r="E138" s="31" t="n">
        <f aca="false">'Central scenario'!BK22</f>
        <v>0.0491531454333861</v>
      </c>
      <c r="F138" s="31" t="n">
        <f aca="false">SUM($D$112:$J$112)-SUM($K$112:$Q$112)-$I$112</f>
        <v>0.00817752794939145</v>
      </c>
      <c r="G138" s="31" t="n">
        <f aca="false">E138+F138-D138-C138</f>
        <v>-0.0383367630595955</v>
      </c>
    </row>
    <row r="139" customFormat="false" ht="12.8" hidden="false" customHeight="false" outlineLevel="0" collapsed="false">
      <c r="B139" s="5" t="n">
        <f aca="false">B138+1</f>
        <v>2034</v>
      </c>
      <c r="C139" s="61" t="n">
        <f aca="false">SUM('Central pensions'!Y90:Y93)/AVERAGE('Central scenario'!AG90:AG93)</f>
        <v>0.00842491520477295</v>
      </c>
      <c r="D139" s="61" t="n">
        <f aca="false">'Central scenario'!BM23+'Central scenario'!BN23+'Central scenario'!BL23-C139</f>
        <v>0.0866971635262329</v>
      </c>
      <c r="E139" s="61" t="n">
        <f aca="false">'Central scenario'!BK23</f>
        <v>0.0495891863164493</v>
      </c>
      <c r="F139" s="61" t="n">
        <f aca="false">SUM($D$112:$J$112)-SUM($K$112:$Q$112)-$I$112</f>
        <v>0.00817752794939145</v>
      </c>
      <c r="G139" s="61" t="n">
        <f aca="false">E139+F139-D139-C139</f>
        <v>-0.0373553644651651</v>
      </c>
    </row>
    <row r="140" customFormat="false" ht="12.8" hidden="false" customHeight="false" outlineLevel="0" collapsed="false">
      <c r="B140" s="0" t="n">
        <f aca="false">B139+1</f>
        <v>2035</v>
      </c>
      <c r="C140" s="31" t="n">
        <f aca="false">SUM('Central pensions'!Y94:Y97)/AVERAGE('Central scenario'!AG94:AG97)</f>
        <v>0.00814397820043775</v>
      </c>
      <c r="D140" s="31" t="n">
        <f aca="false">'Central scenario'!BM24+'Central scenario'!BN24+'Central scenario'!BL24-C140</f>
        <v>0.086558960409742</v>
      </c>
      <c r="E140" s="31" t="n">
        <f aca="false">'Central scenario'!BK24</f>
        <v>0.0497954720677381</v>
      </c>
      <c r="F140" s="31" t="n">
        <f aca="false">SUM($D$112:$J$112)-SUM($K$112:$Q$112)-$I$112</f>
        <v>0.00817752794939145</v>
      </c>
      <c r="G140" s="31" t="n">
        <f aca="false">E140+F140-D140-C140</f>
        <v>-0.0367299385930502</v>
      </c>
    </row>
    <row r="141" customFormat="false" ht="12.8" hidden="false" customHeight="false" outlineLevel="0" collapsed="false">
      <c r="B141" s="5" t="n">
        <f aca="false">B140+1</f>
        <v>2036</v>
      </c>
      <c r="C141" s="61" t="n">
        <f aca="false">SUM('Central pensions'!Y98:Y101)/AVERAGE('Central scenario'!AG98:AG101)</f>
        <v>0.00789777395057895</v>
      </c>
      <c r="D141" s="61" t="n">
        <f aca="false">'Central scenario'!BM25+'Central scenario'!BN25+'Central scenario'!BL25-C141</f>
        <v>0.0865273872701051</v>
      </c>
      <c r="E141" s="61" t="n">
        <f aca="false">'Central scenario'!BK25</f>
        <v>0.0499842458076489</v>
      </c>
      <c r="F141" s="61" t="n">
        <f aca="false">SUM($D$112:$J$112)-SUM($K$112:$Q$112)-$I$112</f>
        <v>0.00817752794939145</v>
      </c>
      <c r="G141" s="61" t="n">
        <f aca="false">E141+F141-D141-C141</f>
        <v>-0.0362633874636437</v>
      </c>
    </row>
    <row r="142" customFormat="false" ht="12.8" hidden="false" customHeight="false" outlineLevel="0" collapsed="false">
      <c r="B142" s="0" t="n">
        <f aca="false">B141+1</f>
        <v>2037</v>
      </c>
      <c r="C142" s="31" t="n">
        <f aca="false">SUM('Central pensions'!Y102:Y105)/AVERAGE('Central scenario'!AG102:AG105)</f>
        <v>0.00765073911536027</v>
      </c>
      <c r="D142" s="31" t="n">
        <f aca="false">'Central scenario'!BM26+'Central scenario'!BN26+'Central scenario'!BL26-C142</f>
        <v>0.0863012555619561</v>
      </c>
      <c r="E142" s="31" t="n">
        <f aca="false">'Central scenario'!BK26</f>
        <v>0.0502854144511735</v>
      </c>
      <c r="F142" s="31" t="n">
        <f aca="false">SUM($D$112:$J$112)-SUM($K$112:$Q$112)-$I$112</f>
        <v>0.00817752794939145</v>
      </c>
      <c r="G142" s="31" t="n">
        <f aca="false">E142+F142-D142-C142</f>
        <v>-0.0354890522767515</v>
      </c>
    </row>
    <row r="143" customFormat="false" ht="12.8" hidden="false" customHeight="false" outlineLevel="0" collapsed="false">
      <c r="B143" s="5" t="n">
        <f aca="false">B142+1</f>
        <v>2038</v>
      </c>
      <c r="C143" s="61" t="n">
        <f aca="false">SUM('Central pensions'!Y106:Y109)/AVERAGE('Central scenario'!AG106:AG109)</f>
        <v>0.00754051384919127</v>
      </c>
      <c r="D143" s="61" t="n">
        <f aca="false">'Central scenario'!BM27+'Central scenario'!BN27+'Central scenario'!BL27-C143</f>
        <v>0.0863994229035242</v>
      </c>
      <c r="E143" s="61" t="n">
        <f aca="false">'Central scenario'!BK27</f>
        <v>0.0502143620218796</v>
      </c>
      <c r="F143" s="61" t="n">
        <f aca="false">SUM($D$112:$J$112)-SUM($K$112:$Q$112)-$I$112</f>
        <v>0.00817752794939145</v>
      </c>
      <c r="G143" s="61" t="n">
        <f aca="false">E143+F143-D143-C143</f>
        <v>-0.0355480467814445</v>
      </c>
    </row>
    <row r="144" customFormat="false" ht="12.8" hidden="false" customHeight="false" outlineLevel="0" collapsed="false">
      <c r="B144" s="0" t="n">
        <f aca="false">B143+1</f>
        <v>2039</v>
      </c>
      <c r="C144" s="31" t="n">
        <f aca="false">SUM('Central pensions'!Y110:Y113)/AVERAGE('Central scenario'!AG110:AG113)</f>
        <v>0.00742366219770038</v>
      </c>
      <c r="D144" s="31" t="n">
        <f aca="false">'Central scenario'!BM28+'Central scenario'!BN28+'Central scenario'!BL28-C144</f>
        <v>0.0858858142223723</v>
      </c>
      <c r="E144" s="31" t="n">
        <f aca="false">'Central scenario'!BK28</f>
        <v>0.0507068384339822</v>
      </c>
      <c r="F144" s="31" t="n">
        <f aca="false">SUM($D$112:$J$112)-SUM($K$112:$Q$112)-$I$112</f>
        <v>0.00817752794939145</v>
      </c>
      <c r="G144" s="31" t="n">
        <f aca="false">E144+F144-D144-C144</f>
        <v>-0.034425110036699</v>
      </c>
    </row>
    <row r="145" customFormat="false" ht="12.8" hidden="false" customHeight="false" outlineLevel="0" collapsed="false">
      <c r="B145" s="5" t="n">
        <f aca="false">B144+1</f>
        <v>2040</v>
      </c>
      <c r="C145" s="61" t="n">
        <f aca="false">SUM('Central pensions'!Y114:Y117)/AVERAGE('Central scenario'!AG114:AG117)</f>
        <v>0.00697162998095097</v>
      </c>
      <c r="D145" s="61" t="n">
        <f aca="false">'Central scenario'!BM29+'Central scenario'!BN29+'Central scenario'!BL29-C145</f>
        <v>0.0862996038344546</v>
      </c>
      <c r="E145" s="61" t="n">
        <f aca="false">'Central scenario'!BK29</f>
        <v>0.051021787770432</v>
      </c>
      <c r="F145" s="61" t="n">
        <f aca="false">SUM($D$112:$J$112)-SUM($K$112:$Q$112)-$I$112</f>
        <v>0.00817752794939145</v>
      </c>
      <c r="G145" s="61" t="n">
        <f aca="false">E145+F145-D145-C145</f>
        <v>-0.0340719180955821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61" t="n">
        <f aca="false">-C119</f>
        <v>-0.0100080003976103</v>
      </c>
      <c r="D147" s="61" t="n">
        <f aca="false">-D119</f>
        <v>-0.0636642641339578</v>
      </c>
      <c r="E147" s="61" t="n">
        <f aca="false">E119</f>
        <v>0.0539797598100557</v>
      </c>
      <c r="F147" s="61" t="n">
        <f aca="false">F119</f>
        <v>0.0208507583843275</v>
      </c>
      <c r="G147" s="61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31" t="n">
        <f aca="false">-C120</f>
        <v>-0.0107339784194634</v>
      </c>
      <c r="D148" s="31" t="n">
        <f aca="false">-D120</f>
        <v>-0.0829481034514564</v>
      </c>
      <c r="E148" s="31" t="n">
        <f aca="false">E120</f>
        <v>0.0608077145935599</v>
      </c>
      <c r="F148" s="31" t="n">
        <f aca="false">F120</f>
        <v>0.0212417617908622</v>
      </c>
      <c r="G148" s="31" t="n">
        <f aca="false">G120</f>
        <v>-0.0116326054864977</v>
      </c>
    </row>
    <row r="149" customFormat="false" ht="12.8" hidden="false" customHeight="false" outlineLevel="0" collapsed="false">
      <c r="B149" s="5" t="n">
        <v>2016</v>
      </c>
      <c r="C149" s="61" t="n">
        <f aca="false">-C121</f>
        <v>-0.0120915600774794</v>
      </c>
      <c r="D149" s="61" t="n">
        <f aca="false">-D121</f>
        <v>-0.0821174703482337</v>
      </c>
      <c r="E149" s="61" t="n">
        <f aca="false">E121</f>
        <v>0.0613981988851851</v>
      </c>
      <c r="F149" s="61" t="n">
        <f aca="false">F121</f>
        <v>0.0136114589454148</v>
      </c>
      <c r="G149" s="61" t="n">
        <f aca="false">G121</f>
        <v>-0.0191993725951131</v>
      </c>
    </row>
    <row r="150" customFormat="false" ht="12.8" hidden="false" customHeight="false" outlineLevel="0" collapsed="false">
      <c r="B150" s="0" t="n">
        <v>2017</v>
      </c>
      <c r="C150" s="31" t="n">
        <f aca="false">-C122</f>
        <v>-0.0155187056640414</v>
      </c>
      <c r="D150" s="31" t="n">
        <f aca="false">-D122</f>
        <v>-0.0847525809514072</v>
      </c>
      <c r="E150" s="31" t="n">
        <f aca="false">E122</f>
        <v>0.0632114979056286</v>
      </c>
      <c r="F150" s="31" t="n">
        <f aca="false">F122</f>
        <v>0.0110564581173711</v>
      </c>
      <c r="G150" s="31" t="n">
        <f aca="false">G122</f>
        <v>-0.0260033305924489</v>
      </c>
    </row>
    <row r="151" customFormat="false" ht="12.8" hidden="false" customHeight="false" outlineLevel="0" collapsed="false">
      <c r="B151" s="5" t="n">
        <f aca="false">B150+1</f>
        <v>2018</v>
      </c>
      <c r="C151" s="61" t="n">
        <f aca="false">-C123</f>
        <v>-0.0143643444472167</v>
      </c>
      <c r="D151" s="61" t="n">
        <f aca="false">-D123</f>
        <v>-0.0817454571976054</v>
      </c>
      <c r="E151" s="61" t="n">
        <f aca="false">E123</f>
        <v>0.0590159622103877</v>
      </c>
      <c r="F151" s="61" t="n">
        <f aca="false">F123</f>
        <v>0.015880266757964</v>
      </c>
      <c r="G151" s="61" t="n">
        <f aca="false">G123</f>
        <v>-0.0212135726764704</v>
      </c>
    </row>
    <row r="152" customFormat="false" ht="12.8" hidden="false" customHeight="false" outlineLevel="0" collapsed="false">
      <c r="B152" s="0" t="n">
        <f aca="false">B151+1</f>
        <v>2019</v>
      </c>
      <c r="C152" s="31" t="n">
        <f aca="false">-C124</f>
        <v>-0.0136316295108704</v>
      </c>
      <c r="D152" s="31" t="n">
        <f aca="false">-D124</f>
        <v>-0.0767147567851068</v>
      </c>
      <c r="E152" s="31" t="n">
        <f aca="false">E124</f>
        <v>0.0513845170542849</v>
      </c>
      <c r="F152" s="31" t="n">
        <f aca="false">F124</f>
        <v>0.0112879599606704</v>
      </c>
      <c r="G152" s="31" t="n">
        <f aca="false">G124</f>
        <v>-0.0276739092810219</v>
      </c>
    </row>
    <row r="153" customFormat="false" ht="12.8" hidden="false" customHeight="false" outlineLevel="0" collapsed="false">
      <c r="B153" s="5" t="n">
        <f aca="false">B152+1</f>
        <v>2020</v>
      </c>
      <c r="C153" s="61" t="n">
        <f aca="false">-C125</f>
        <v>-0.0155995093030069</v>
      </c>
      <c r="D153" s="61" t="n">
        <f aca="false">-D125</f>
        <v>-0.0941674353425147</v>
      </c>
      <c r="E153" s="61" t="n">
        <f aca="false">E125</f>
        <v>0.0521439859440649</v>
      </c>
      <c r="F153" s="61" t="n">
        <f aca="false">F125</f>
        <v>0.00817752794939145</v>
      </c>
      <c r="G153" s="61" t="n">
        <f aca="false">G125</f>
        <v>-0.0494454307520652</v>
      </c>
    </row>
    <row r="154" customFormat="false" ht="12.8" hidden="false" customHeight="false" outlineLevel="0" collapsed="false">
      <c r="B154" s="0" t="n">
        <f aca="false">B153+1</f>
        <v>2021</v>
      </c>
      <c r="C154" s="31" t="n">
        <f aca="false">-C126</f>
        <v>-0.0134005938431997</v>
      </c>
      <c r="D154" s="31" t="n">
        <f aca="false">-D126</f>
        <v>-0.0854270439263265</v>
      </c>
      <c r="E154" s="31" t="n">
        <f aca="false">E126</f>
        <v>0.0471563841642693</v>
      </c>
      <c r="F154" s="31" t="n">
        <f aca="false">F126</f>
        <v>0.00817752794939145</v>
      </c>
      <c r="G154" s="31" t="n">
        <f aca="false">G126</f>
        <v>-0.0434937256558654</v>
      </c>
    </row>
    <row r="155" customFormat="false" ht="12.8" hidden="false" customHeight="false" outlineLevel="0" collapsed="false">
      <c r="B155" s="5" t="n">
        <f aca="false">B154+1</f>
        <v>2022</v>
      </c>
      <c r="C155" s="61" t="n">
        <f aca="false">-C127</f>
        <v>-0.0130924528628861</v>
      </c>
      <c r="D155" s="61" t="n">
        <f aca="false">-D127</f>
        <v>-0.0862143580550718</v>
      </c>
      <c r="E155" s="61" t="n">
        <f aca="false">E127</f>
        <v>0.0452681466987859</v>
      </c>
      <c r="F155" s="61" t="n">
        <f aca="false">F127</f>
        <v>0.00817752794939145</v>
      </c>
      <c r="G155" s="61" t="n">
        <f aca="false">G127</f>
        <v>-0.0458611362697805</v>
      </c>
    </row>
    <row r="156" customFormat="false" ht="12.8" hidden="false" customHeight="false" outlineLevel="0" collapsed="false">
      <c r="B156" s="0" t="n">
        <f aca="false">B155+1</f>
        <v>2023</v>
      </c>
      <c r="C156" s="31" t="n">
        <f aca="false">-C128</f>
        <v>-0.0124651098698953</v>
      </c>
      <c r="D156" s="31" t="n">
        <f aca="false">-D128</f>
        <v>-0.0857761388514113</v>
      </c>
      <c r="E156" s="31" t="n">
        <f aca="false">E128</f>
        <v>0.0451095033288458</v>
      </c>
      <c r="F156" s="31" t="n">
        <f aca="false">F128</f>
        <v>0.00817752794939145</v>
      </c>
      <c r="G156" s="31" t="n">
        <f aca="false">G128</f>
        <v>-0.0449542174430694</v>
      </c>
    </row>
    <row r="157" customFormat="false" ht="12.8" hidden="false" customHeight="false" outlineLevel="0" collapsed="false">
      <c r="B157" s="5" t="n">
        <f aca="false">B156+1</f>
        <v>2024</v>
      </c>
      <c r="C157" s="61" t="n">
        <f aca="false">-C129</f>
        <v>-0.0122733953036493</v>
      </c>
      <c r="D157" s="61" t="n">
        <f aca="false">-D129</f>
        <v>-0.0865505001120608</v>
      </c>
      <c r="E157" s="61" t="n">
        <f aca="false">E129</f>
        <v>0.0458344510449811</v>
      </c>
      <c r="F157" s="61" t="n">
        <f aca="false">F129</f>
        <v>0.00817752794939145</v>
      </c>
      <c r="G157" s="61" t="n">
        <f aca="false">G129</f>
        <v>-0.0448119164213376</v>
      </c>
    </row>
    <row r="158" customFormat="false" ht="12.8" hidden="false" customHeight="false" outlineLevel="0" collapsed="false">
      <c r="B158" s="0" t="n">
        <f aca="false">B157+1</f>
        <v>2025</v>
      </c>
      <c r="C158" s="31" t="n">
        <f aca="false">-C130</f>
        <v>-0.0121392471238736</v>
      </c>
      <c r="D158" s="31" t="n">
        <f aca="false">-D130</f>
        <v>-0.0881470945543886</v>
      </c>
      <c r="E158" s="31" t="n">
        <f aca="false">E130</f>
        <v>0.0471750617881345</v>
      </c>
      <c r="F158" s="31" t="n">
        <f aca="false">F130</f>
        <v>0.00817752794939145</v>
      </c>
      <c r="G158" s="31" t="n">
        <f aca="false">G130</f>
        <v>-0.0449337519407362</v>
      </c>
    </row>
    <row r="159" customFormat="false" ht="12.8" hidden="false" customHeight="false" outlineLevel="0" collapsed="false">
      <c r="B159" s="5" t="n">
        <f aca="false">B158+1</f>
        <v>2026</v>
      </c>
      <c r="C159" s="61" t="n">
        <f aca="false">-C131</f>
        <v>-0.0117482466263433</v>
      </c>
      <c r="D159" s="61" t="n">
        <f aca="false">-D131</f>
        <v>-0.088676510873286</v>
      </c>
      <c r="E159" s="61" t="n">
        <f aca="false">E131</f>
        <v>0.0469831921942993</v>
      </c>
      <c r="F159" s="61" t="n">
        <f aca="false">F131</f>
        <v>0.00817752794939145</v>
      </c>
      <c r="G159" s="61" t="n">
        <f aca="false">G131</f>
        <v>-0.0452640373559386</v>
      </c>
    </row>
    <row r="160" customFormat="false" ht="12.8" hidden="false" customHeight="false" outlineLevel="0" collapsed="false">
      <c r="B160" s="0" t="n">
        <f aca="false">B159+1</f>
        <v>2027</v>
      </c>
      <c r="C160" s="31" t="n">
        <f aca="false">-C132</f>
        <v>-0.0113730694374728</v>
      </c>
      <c r="D160" s="31" t="n">
        <f aca="false">-D132</f>
        <v>-0.088963368190169</v>
      </c>
      <c r="E160" s="31" t="n">
        <f aca="false">E132</f>
        <v>0.0470808130182939</v>
      </c>
      <c r="F160" s="31" t="n">
        <f aca="false">F132</f>
        <v>0.00817752794939145</v>
      </c>
      <c r="G160" s="31" t="n">
        <f aca="false">G132</f>
        <v>-0.0450780966599565</v>
      </c>
    </row>
    <row r="161" customFormat="false" ht="12.8" hidden="false" customHeight="false" outlineLevel="0" collapsed="false">
      <c r="B161" s="5" t="n">
        <f aca="false">B160+1</f>
        <v>2028</v>
      </c>
      <c r="C161" s="61" t="n">
        <f aca="false">-C133</f>
        <v>-0.0109825928538159</v>
      </c>
      <c r="D161" s="61" t="n">
        <f aca="false">-D133</f>
        <v>-0.0886450924499108</v>
      </c>
      <c r="E161" s="61" t="n">
        <f aca="false">E133</f>
        <v>0.0475394662758912</v>
      </c>
      <c r="F161" s="61" t="n">
        <f aca="false">F133</f>
        <v>0.00817752794939145</v>
      </c>
      <c r="G161" s="61" t="n">
        <f aca="false">G133</f>
        <v>-0.043910691078444</v>
      </c>
    </row>
    <row r="162" customFormat="false" ht="12.8" hidden="false" customHeight="false" outlineLevel="0" collapsed="false">
      <c r="B162" s="0" t="n">
        <f aca="false">B161+1</f>
        <v>2029</v>
      </c>
      <c r="C162" s="31" t="n">
        <f aca="false">-C134</f>
        <v>-0.010491164004734</v>
      </c>
      <c r="D162" s="31" t="n">
        <f aca="false">-D134</f>
        <v>-0.0881764794983711</v>
      </c>
      <c r="E162" s="31" t="n">
        <f aca="false">E134</f>
        <v>0.0480637559688586</v>
      </c>
      <c r="F162" s="31" t="n">
        <f aca="false">F134</f>
        <v>0.00817752794939145</v>
      </c>
      <c r="G162" s="31" t="n">
        <f aca="false">G134</f>
        <v>-0.0424263595848551</v>
      </c>
    </row>
    <row r="163" customFormat="false" ht="12.8" hidden="false" customHeight="false" outlineLevel="0" collapsed="false">
      <c r="B163" s="5" t="n">
        <f aca="false">B162+1</f>
        <v>2030</v>
      </c>
      <c r="C163" s="61" t="n">
        <f aca="false">-C135</f>
        <v>-0.0101245427202248</v>
      </c>
      <c r="D163" s="61" t="n">
        <f aca="false">-D135</f>
        <v>-0.087658416643521</v>
      </c>
      <c r="E163" s="61" t="n">
        <f aca="false">E135</f>
        <v>0.0484981459453469</v>
      </c>
      <c r="F163" s="61" t="n">
        <f aca="false">F135</f>
        <v>0.00817752794939145</v>
      </c>
      <c r="G163" s="61" t="n">
        <f aca="false">G135</f>
        <v>-0.0411072854690075</v>
      </c>
    </row>
    <row r="164" customFormat="false" ht="12.8" hidden="false" customHeight="false" outlineLevel="0" collapsed="false">
      <c r="B164" s="0" t="n">
        <f aca="false">B163+1</f>
        <v>2031</v>
      </c>
      <c r="C164" s="31" t="n">
        <f aca="false">-C136</f>
        <v>-0.00949581761902994</v>
      </c>
      <c r="D164" s="31" t="n">
        <f aca="false">-D136</f>
        <v>-0.0875799418986331</v>
      </c>
      <c r="E164" s="31" t="n">
        <f aca="false">E136</f>
        <v>0.0487538998888402</v>
      </c>
      <c r="F164" s="31" t="n">
        <f aca="false">F136</f>
        <v>0.00817752794939145</v>
      </c>
      <c r="G164" s="31" t="n">
        <f aca="false">G136</f>
        <v>-0.0401443316794314</v>
      </c>
    </row>
    <row r="165" customFormat="false" ht="12.8" hidden="false" customHeight="false" outlineLevel="0" collapsed="false">
      <c r="B165" s="5" t="n">
        <f aca="false">B164+1</f>
        <v>2032</v>
      </c>
      <c r="C165" s="61" t="n">
        <f aca="false">-C137</f>
        <v>-0.00916950124534221</v>
      </c>
      <c r="D165" s="61" t="n">
        <f aca="false">-D137</f>
        <v>-0.0876706006167717</v>
      </c>
      <c r="E165" s="61" t="n">
        <f aca="false">E137</f>
        <v>0.0489399753171585</v>
      </c>
      <c r="F165" s="61" t="n">
        <f aca="false">F137</f>
        <v>0.00817752794939145</v>
      </c>
      <c r="G165" s="61" t="n">
        <f aca="false">G137</f>
        <v>-0.0397225985955639</v>
      </c>
    </row>
    <row r="166" customFormat="false" ht="12.8" hidden="false" customHeight="false" outlineLevel="0" collapsed="false">
      <c r="B166" s="0" t="n">
        <f aca="false">B165+1</f>
        <v>2033</v>
      </c>
      <c r="C166" s="31" t="n">
        <f aca="false">-C138</f>
        <v>-0.00868853137764608</v>
      </c>
      <c r="D166" s="31" t="n">
        <f aca="false">-D138</f>
        <v>-0.086978905064727</v>
      </c>
      <c r="E166" s="31" t="n">
        <f aca="false">E138</f>
        <v>0.0491531454333861</v>
      </c>
      <c r="F166" s="31" t="n">
        <f aca="false">F138</f>
        <v>0.00817752794939145</v>
      </c>
      <c r="G166" s="31" t="n">
        <f aca="false">G138</f>
        <v>-0.0383367630595955</v>
      </c>
    </row>
    <row r="167" customFormat="false" ht="12.8" hidden="false" customHeight="false" outlineLevel="0" collapsed="false">
      <c r="B167" s="5" t="n">
        <f aca="false">B166+1</f>
        <v>2034</v>
      </c>
      <c r="C167" s="61" t="n">
        <f aca="false">-C139</f>
        <v>-0.00842491520477295</v>
      </c>
      <c r="D167" s="61" t="n">
        <f aca="false">-D139</f>
        <v>-0.0866971635262329</v>
      </c>
      <c r="E167" s="61" t="n">
        <f aca="false">E139</f>
        <v>0.0495891863164493</v>
      </c>
      <c r="F167" s="61" t="n">
        <f aca="false">F139</f>
        <v>0.00817752794939145</v>
      </c>
      <c r="G167" s="61" t="n">
        <f aca="false">G139</f>
        <v>-0.0373553644651651</v>
      </c>
    </row>
    <row r="168" customFormat="false" ht="12.8" hidden="false" customHeight="false" outlineLevel="0" collapsed="false">
      <c r="B168" s="0" t="n">
        <f aca="false">B167+1</f>
        <v>2035</v>
      </c>
      <c r="C168" s="31" t="n">
        <f aca="false">-C140</f>
        <v>-0.00814397820043775</v>
      </c>
      <c r="D168" s="31" t="n">
        <f aca="false">-D140</f>
        <v>-0.086558960409742</v>
      </c>
      <c r="E168" s="31" t="n">
        <f aca="false">E140</f>
        <v>0.0497954720677381</v>
      </c>
      <c r="F168" s="31" t="n">
        <f aca="false">F140</f>
        <v>0.00817752794939145</v>
      </c>
      <c r="G168" s="31" t="n">
        <f aca="false">G140</f>
        <v>-0.0367299385930502</v>
      </c>
    </row>
    <row r="169" customFormat="false" ht="12.8" hidden="false" customHeight="false" outlineLevel="0" collapsed="false">
      <c r="B169" s="5" t="n">
        <f aca="false">B168+1</f>
        <v>2036</v>
      </c>
      <c r="C169" s="61" t="n">
        <f aca="false">-C141</f>
        <v>-0.00789777395057895</v>
      </c>
      <c r="D169" s="61" t="n">
        <f aca="false">-D141</f>
        <v>-0.0865273872701051</v>
      </c>
      <c r="E169" s="61" t="n">
        <f aca="false">E141</f>
        <v>0.0499842458076489</v>
      </c>
      <c r="F169" s="61" t="n">
        <f aca="false">F141</f>
        <v>0.00817752794939145</v>
      </c>
      <c r="G169" s="61" t="n">
        <f aca="false">G141</f>
        <v>-0.0362633874636437</v>
      </c>
    </row>
    <row r="170" customFormat="false" ht="12.8" hidden="false" customHeight="false" outlineLevel="0" collapsed="false">
      <c r="B170" s="0" t="n">
        <f aca="false">B169+1</f>
        <v>2037</v>
      </c>
      <c r="C170" s="31" t="n">
        <f aca="false">-C142</f>
        <v>-0.00765073911536027</v>
      </c>
      <c r="D170" s="31" t="n">
        <f aca="false">-D142</f>
        <v>-0.0863012555619561</v>
      </c>
      <c r="E170" s="31" t="n">
        <f aca="false">E142</f>
        <v>0.0502854144511735</v>
      </c>
      <c r="F170" s="31" t="n">
        <f aca="false">F142</f>
        <v>0.00817752794939145</v>
      </c>
      <c r="G170" s="31" t="n">
        <f aca="false">G142</f>
        <v>-0.0354890522767515</v>
      </c>
    </row>
    <row r="171" customFormat="false" ht="12.8" hidden="false" customHeight="false" outlineLevel="0" collapsed="false">
      <c r="B171" s="5" t="n">
        <f aca="false">B170+1</f>
        <v>2038</v>
      </c>
      <c r="C171" s="61" t="n">
        <f aca="false">-C143</f>
        <v>-0.00754051384919127</v>
      </c>
      <c r="D171" s="61" t="n">
        <f aca="false">-D143</f>
        <v>-0.0863994229035242</v>
      </c>
      <c r="E171" s="61" t="n">
        <f aca="false">E143</f>
        <v>0.0502143620218796</v>
      </c>
      <c r="F171" s="61" t="n">
        <f aca="false">F143</f>
        <v>0.00817752794939145</v>
      </c>
      <c r="G171" s="61" t="n">
        <f aca="false">G143</f>
        <v>-0.0355480467814445</v>
      </c>
    </row>
    <row r="172" customFormat="false" ht="12.8" hidden="false" customHeight="false" outlineLevel="0" collapsed="false">
      <c r="B172" s="0" t="n">
        <f aca="false">B171+1</f>
        <v>2039</v>
      </c>
      <c r="C172" s="31" t="n">
        <f aca="false">-C144</f>
        <v>-0.00742366219770038</v>
      </c>
      <c r="D172" s="31" t="n">
        <f aca="false">-D144</f>
        <v>-0.0858858142223723</v>
      </c>
      <c r="E172" s="31" t="n">
        <f aca="false">E144</f>
        <v>0.0507068384339822</v>
      </c>
      <c r="F172" s="31" t="n">
        <f aca="false">F144</f>
        <v>0.00817752794939145</v>
      </c>
      <c r="G172" s="31" t="n">
        <f aca="false">G144</f>
        <v>-0.034425110036699</v>
      </c>
    </row>
    <row r="173" customFormat="false" ht="12.8" hidden="false" customHeight="false" outlineLevel="0" collapsed="false">
      <c r="B173" s="5" t="n">
        <f aca="false">B172+1</f>
        <v>2040</v>
      </c>
      <c r="C173" s="61" t="n">
        <f aca="false">-C145</f>
        <v>-0.00697162998095097</v>
      </c>
      <c r="D173" s="61" t="n">
        <f aca="false">-D145</f>
        <v>-0.0862996038344546</v>
      </c>
      <c r="E173" s="61" t="n">
        <f aca="false">E145</f>
        <v>0.051021787770432</v>
      </c>
      <c r="F173" s="61" t="n">
        <f aca="false">F145</f>
        <v>0.00817752794939145</v>
      </c>
      <c r="G173" s="61" t="n">
        <f aca="false">G145</f>
        <v>-0.0340719180955821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E61" colorId="64" zoomScale="65" zoomScaleNormal="65" zoomScalePageLayoutView="100" workbookViewId="0">
      <selection pane="topLeft" activeCell="N15" activeCellId="0" sqref="N15"/>
    </sheetView>
  </sheetViews>
  <sheetFormatPr defaultColWidth="9.01953125" defaultRowHeight="12.8" zeroHeight="false" outlineLevelRow="0" outlineLevelCol="0"/>
  <cols>
    <col collapsed="false" customWidth="true" hidden="false" outlineLevel="0" max="7" min="6" style="58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58" width="8.83"/>
    <col collapsed="false" customWidth="true" hidden="false" outlineLevel="0" max="14" min="14" style="58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2"/>
      <c r="B1" s="133"/>
      <c r="C1" s="132"/>
      <c r="D1" s="132"/>
      <c r="E1" s="132"/>
      <c r="F1" s="134" t="s">
        <v>159</v>
      </c>
      <c r="G1" s="134" t="s">
        <v>160</v>
      </c>
      <c r="H1" s="132"/>
      <c r="I1" s="132"/>
      <c r="J1" s="135" t="s">
        <v>161</v>
      </c>
      <c r="K1" s="135" t="s">
        <v>162</v>
      </c>
      <c r="L1" s="132"/>
      <c r="M1" s="136"/>
      <c r="N1" s="137" t="s">
        <v>163</v>
      </c>
      <c r="O1" s="132"/>
      <c r="P1" s="133"/>
      <c r="Q1" s="132"/>
      <c r="R1" s="132"/>
      <c r="S1" s="132"/>
      <c r="T1" s="132"/>
      <c r="U1" s="133"/>
      <c r="V1" s="132"/>
      <c r="W1" s="132"/>
      <c r="X1" s="132"/>
      <c r="Y1" s="132"/>
      <c r="Z1" s="132"/>
      <c r="AA1" s="132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</row>
    <row r="2" customFormat="false" ht="12.8" hidden="false" customHeight="true" outlineLevel="0" collapsed="false">
      <c r="A2" s="132"/>
      <c r="B2" s="133"/>
      <c r="C2" s="132"/>
      <c r="D2" s="132"/>
      <c r="E2" s="132"/>
      <c r="F2" s="135" t="s">
        <v>164</v>
      </c>
      <c r="G2" s="135" t="s">
        <v>165</v>
      </c>
      <c r="H2" s="132"/>
      <c r="I2" s="132"/>
      <c r="J2" s="137"/>
      <c r="K2" s="137"/>
      <c r="L2" s="132"/>
      <c r="M2" s="136"/>
      <c r="N2" s="137" t="s">
        <v>166</v>
      </c>
      <c r="O2" s="132"/>
      <c r="P2" s="133"/>
      <c r="Q2" s="132"/>
      <c r="R2" s="132"/>
      <c r="S2" s="132"/>
      <c r="T2" s="132"/>
      <c r="U2" s="133"/>
      <c r="V2" s="132"/>
      <c r="W2" s="132"/>
      <c r="X2" s="132"/>
      <c r="Y2" s="132"/>
      <c r="Z2" s="132"/>
      <c r="AA2" s="132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</row>
    <row r="3" customFormat="false" ht="73.75" hidden="false" customHeight="true" outlineLevel="0" collapsed="false">
      <c r="A3" s="139" t="s">
        <v>167</v>
      </c>
      <c r="B3" s="140"/>
      <c r="C3" s="139" t="s">
        <v>168</v>
      </c>
      <c r="D3" s="139" t="s">
        <v>169</v>
      </c>
      <c r="E3" s="139" t="s">
        <v>170</v>
      </c>
      <c r="F3" s="141" t="s">
        <v>171</v>
      </c>
      <c r="G3" s="141" t="s">
        <v>172</v>
      </c>
      <c r="H3" s="139" t="s">
        <v>173</v>
      </c>
      <c r="I3" s="139" t="s">
        <v>174</v>
      </c>
      <c r="J3" s="141" t="s">
        <v>175</v>
      </c>
      <c r="K3" s="141" t="s">
        <v>176</v>
      </c>
      <c r="L3" s="139" t="s">
        <v>177</v>
      </c>
      <c r="M3" s="142" t="s">
        <v>178</v>
      </c>
      <c r="N3" s="141" t="s">
        <v>179</v>
      </c>
      <c r="O3" s="139" t="s">
        <v>180</v>
      </c>
      <c r="P3" s="140" t="s">
        <v>181</v>
      </c>
      <c r="Q3" s="139" t="s">
        <v>182</v>
      </c>
      <c r="R3" s="139" t="s">
        <v>183</v>
      </c>
      <c r="S3" s="139" t="s">
        <v>184</v>
      </c>
      <c r="T3" s="139" t="s">
        <v>185</v>
      </c>
      <c r="U3" s="140" t="s">
        <v>186</v>
      </c>
      <c r="V3" s="139" t="s">
        <v>187</v>
      </c>
      <c r="W3" s="139" t="s">
        <v>188</v>
      </c>
      <c r="X3" s="139" t="s">
        <v>189</v>
      </c>
      <c r="Y3" s="139" t="s">
        <v>190</v>
      </c>
      <c r="Z3" s="139" t="s">
        <v>191</v>
      </c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</row>
    <row r="4" customFormat="false" ht="12.8" hidden="false" customHeight="false" outlineLevel="0" collapsed="false">
      <c r="A4" s="144" t="s">
        <v>192</v>
      </c>
      <c r="B4" s="145"/>
      <c r="C4" s="144" t="n">
        <v>2014</v>
      </c>
      <c r="D4" s="144" t="n">
        <v>1</v>
      </c>
      <c r="E4" s="144" t="n">
        <v>1005</v>
      </c>
      <c r="F4" s="146" t="n">
        <v>13919743</v>
      </c>
      <c r="G4" s="146" t="n">
        <v>13367098</v>
      </c>
      <c r="H4" s="147" t="n">
        <f aca="false">F4-J4</f>
        <v>13919743</v>
      </c>
      <c r="I4" s="147" t="n">
        <f aca="false">G4-K4</f>
        <v>13367098</v>
      </c>
      <c r="J4" s="148"/>
      <c r="K4" s="148"/>
      <c r="L4" s="147" t="n">
        <f aca="false">H4-I4</f>
        <v>552645</v>
      </c>
      <c r="M4" s="147" t="n">
        <f aca="false">J4-K4</f>
        <v>0</v>
      </c>
      <c r="N4" s="148" t="n">
        <v>2431521</v>
      </c>
      <c r="O4" s="149" t="n">
        <v>68064666.1181856</v>
      </c>
      <c r="P4" s="144" t="n">
        <f aca="false">O4/I4</f>
        <v>5.09195534574412</v>
      </c>
      <c r="Q4" s="147" t="n">
        <f aca="false">I4*5.5017049523</f>
        <v>73541829.2644794</v>
      </c>
      <c r="R4" s="147" t="n">
        <v>11018747.8054275</v>
      </c>
      <c r="S4" s="147" t="n">
        <v>2463940.91347832</v>
      </c>
      <c r="T4" s="149" t="n">
        <v>13733232.3112091</v>
      </c>
      <c r="U4" s="144" t="n">
        <f aca="false">R4/N4</f>
        <v>4.53162765422445</v>
      </c>
      <c r="V4" s="145"/>
      <c r="W4" s="145"/>
      <c r="X4" s="147" t="n">
        <f aca="false">N4*U12+L4*P13</f>
        <v>15657663.7612308</v>
      </c>
      <c r="Y4" s="147" t="n">
        <f aca="false">N4*5.1890047538</f>
        <v>12617174.0279645</v>
      </c>
      <c r="Z4" s="147" t="n">
        <f aca="false">L4*5.5017049523</f>
        <v>3040489.73336383</v>
      </c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</row>
    <row r="5" customFormat="false" ht="12.8" hidden="false" customHeight="false" outlineLevel="0" collapsed="false">
      <c r="B5" s="145"/>
      <c r="C5" s="144" t="n">
        <v>2014</v>
      </c>
      <c r="D5" s="144" t="n">
        <v>2</v>
      </c>
      <c r="E5" s="144" t="n">
        <v>1004</v>
      </c>
      <c r="F5" s="146" t="n">
        <v>14482790</v>
      </c>
      <c r="G5" s="146" t="n">
        <v>13911325</v>
      </c>
      <c r="H5" s="147" t="n">
        <f aca="false">F5-J5</f>
        <v>14482790</v>
      </c>
      <c r="I5" s="147" t="n">
        <f aca="false">G5-K5</f>
        <v>13911325</v>
      </c>
      <c r="J5" s="148"/>
      <c r="K5" s="148"/>
      <c r="L5" s="147" t="n">
        <f aca="false">H5-I5</f>
        <v>571465</v>
      </c>
      <c r="M5" s="147" t="n">
        <f aca="false">J5-K5</f>
        <v>0</v>
      </c>
      <c r="N5" s="148" t="n">
        <v>2156056</v>
      </c>
      <c r="O5" s="149" t="n">
        <v>80470827.8892677</v>
      </c>
      <c r="P5" s="144" t="n">
        <f aca="false">O5/I5</f>
        <v>5.78455523749662</v>
      </c>
      <c r="Q5" s="147" t="n">
        <f aca="false">I5*5.5017049523</f>
        <v>76536005.6455548</v>
      </c>
      <c r="R5" s="147" t="n">
        <v>13090128.797517</v>
      </c>
      <c r="S5" s="147" t="n">
        <v>2913043.96959149</v>
      </c>
      <c r="T5" s="149" t="n">
        <v>16270046.9661959</v>
      </c>
      <c r="U5" s="144" t="n">
        <f aca="false">R5/N5</f>
        <v>6.07133061363759</v>
      </c>
      <c r="V5" s="145"/>
      <c r="W5" s="145"/>
      <c r="X5" s="147" t="n">
        <f aca="false">N5*5.1890047538+L5*5.5017049523</f>
        <v>14331816.6540251</v>
      </c>
      <c r="Y5" s="147" t="n">
        <f aca="false">N5*5.1890047538</f>
        <v>11187784.833459</v>
      </c>
      <c r="Z5" s="147" t="n">
        <f aca="false">L5*5.5017049523</f>
        <v>3144031.82056612</v>
      </c>
    </row>
    <row r="6" customFormat="false" ht="12.8" hidden="false" customHeight="false" outlineLevel="0" collapsed="false">
      <c r="B6" s="145"/>
      <c r="C6" s="144" t="n">
        <v>2014</v>
      </c>
      <c r="D6" s="144" t="n">
        <v>3</v>
      </c>
      <c r="E6" s="144" t="n">
        <v>1003</v>
      </c>
      <c r="F6" s="146" t="n">
        <v>15149966</v>
      </c>
      <c r="G6" s="146" t="n">
        <v>14531608</v>
      </c>
      <c r="H6" s="147" t="n">
        <f aca="false">F6-J6</f>
        <v>15149966</v>
      </c>
      <c r="I6" s="147" t="n">
        <f aca="false">G6-K6</f>
        <v>14531608</v>
      </c>
      <c r="J6" s="148"/>
      <c r="K6" s="148"/>
      <c r="L6" s="147" t="n">
        <f aca="false">H6-I6</f>
        <v>618358</v>
      </c>
      <c r="M6" s="147" t="n">
        <f aca="false">J6-K6</f>
        <v>0</v>
      </c>
      <c r="N6" s="148" t="n">
        <v>2697106</v>
      </c>
      <c r="O6" s="149" t="n">
        <v>71025009.1540406</v>
      </c>
      <c r="P6" s="144" t="n">
        <f aca="false">O6/I6</f>
        <v>4.88762215124717</v>
      </c>
      <c r="Q6" s="147" t="n">
        <f aca="false">I6*5.5017049523</f>
        <v>79948619.6984823</v>
      </c>
      <c r="R6" s="147" t="n">
        <v>13303482.9648562</v>
      </c>
      <c r="S6" s="147" t="n">
        <v>2571105.33137627</v>
      </c>
      <c r="T6" s="149" t="n">
        <v>17670963.688597</v>
      </c>
      <c r="U6" s="144" t="n">
        <f aca="false">R6/N6</f>
        <v>4.93250282519716</v>
      </c>
      <c r="V6" s="145"/>
      <c r="W6" s="145"/>
      <c r="X6" s="147" t="n">
        <f aca="false">N6*5.1890047538+L6*5.5017049523</f>
        <v>17397319.1263968</v>
      </c>
      <c r="Y6" s="147" t="n">
        <f aca="false">N6*5.1890047538</f>
        <v>13995295.8555025</v>
      </c>
      <c r="Z6" s="147" t="n">
        <f aca="false">L6*5.5017049523</f>
        <v>3402023.27089432</v>
      </c>
    </row>
    <row r="7" customFormat="false" ht="12.8" hidden="false" customHeight="false" outlineLevel="0" collapsed="false">
      <c r="B7" s="145"/>
      <c r="C7" s="144" t="n">
        <v>2014</v>
      </c>
      <c r="D7" s="144" t="n">
        <v>4</v>
      </c>
      <c r="E7" s="144" t="n">
        <v>160</v>
      </c>
      <c r="F7" s="146" t="n">
        <v>15745971</v>
      </c>
      <c r="G7" s="146" t="n">
        <v>15148486</v>
      </c>
      <c r="H7" s="147" t="n">
        <f aca="false">F7-J7</f>
        <v>15745971</v>
      </c>
      <c r="I7" s="147" t="n">
        <f aca="false">G7-K7</f>
        <v>15148486</v>
      </c>
      <c r="J7" s="148"/>
      <c r="K7" s="148"/>
      <c r="L7" s="147" t="n">
        <f aca="false">H7-I7</f>
        <v>597485</v>
      </c>
      <c r="M7" s="147" t="n">
        <f aca="false">J7-K7</f>
        <v>0</v>
      </c>
      <c r="N7" s="148" t="n">
        <v>2598761</v>
      </c>
      <c r="O7" s="149" t="n">
        <v>90838150.786</v>
      </c>
      <c r="P7" s="144" t="n">
        <f aca="false">O7/I7</f>
        <v>5.99651679950062</v>
      </c>
      <c r="Q7" s="147" t="n">
        <f aca="false">I7*5.5017049523</f>
        <v>83342500.4460472</v>
      </c>
      <c r="R7" s="147" t="n">
        <v>12713686.068</v>
      </c>
      <c r="S7" s="147" t="n">
        <v>3288341.0584532</v>
      </c>
      <c r="T7" s="149" t="n">
        <v>17161490.7544532</v>
      </c>
      <c r="U7" s="144" t="n">
        <f aca="false">R7/N7</f>
        <v>4.89221058342803</v>
      </c>
      <c r="V7" s="145"/>
      <c r="W7" s="145"/>
      <c r="X7" s="147" t="n">
        <f aca="false">N7*5.1890047538+L7*5.5017049523</f>
        <v>16772169.366415</v>
      </c>
      <c r="Y7" s="147" t="n">
        <f aca="false">N7*5.1890047538</f>
        <v>13484983.18299</v>
      </c>
      <c r="Z7" s="147" t="n">
        <f aca="false">L7*5.5017049523</f>
        <v>3287186.18342497</v>
      </c>
    </row>
    <row r="8" customFormat="false" ht="12.8" hidden="false" customHeight="false" outlineLevel="0" collapsed="false">
      <c r="B8" s="145"/>
      <c r="C8" s="144" t="n">
        <f aca="false">C4+1</f>
        <v>2015</v>
      </c>
      <c r="D8" s="144" t="n">
        <f aca="false">D4</f>
        <v>1</v>
      </c>
      <c r="E8" s="144" t="n">
        <v>1001</v>
      </c>
      <c r="F8" s="146" t="n">
        <v>16507879</v>
      </c>
      <c r="G8" s="146" t="n">
        <v>15853349</v>
      </c>
      <c r="H8" s="147" t="n">
        <f aca="false">F8-J8</f>
        <v>16507879</v>
      </c>
      <c r="I8" s="147" t="n">
        <f aca="false">G8-K8</f>
        <v>15853349</v>
      </c>
      <c r="J8" s="148"/>
      <c r="K8" s="148"/>
      <c r="L8" s="147" t="n">
        <f aca="false">H8-I8</f>
        <v>654530</v>
      </c>
      <c r="M8" s="147" t="n">
        <f aca="false">J8-K8</f>
        <v>0</v>
      </c>
      <c r="N8" s="148" t="n">
        <v>3002195</v>
      </c>
      <c r="O8" s="149" t="n">
        <v>81897043.9675653</v>
      </c>
      <c r="P8" s="144" t="n">
        <f aca="false">O8/I8</f>
        <v>5.16591440506137</v>
      </c>
      <c r="Q8" s="147" t="n">
        <f aca="false">I8*5.5017049523</f>
        <v>87220448.7038403</v>
      </c>
      <c r="R8" s="147" t="n">
        <v>13986686.083894</v>
      </c>
      <c r="S8" s="147" t="n">
        <v>2964672.99162586</v>
      </c>
      <c r="T8" s="149" t="n">
        <v>18231627.4986104</v>
      </c>
      <c r="U8" s="144" t="n">
        <f aca="false">R8/N8</f>
        <v>4.65881999133767</v>
      </c>
      <c r="V8" s="145"/>
      <c r="W8" s="145"/>
      <c r="X8" s="147" t="n">
        <f aca="false">N8*5.1890047538+L8*5.5017049523</f>
        <v>19179435.0692635</v>
      </c>
      <c r="Y8" s="147" t="n">
        <f aca="false">N8*5.1890047538</f>
        <v>15578404.1268346</v>
      </c>
      <c r="Z8" s="147" t="n">
        <f aca="false">L8*5.5017049523</f>
        <v>3601030.94242892</v>
      </c>
    </row>
    <row r="9" customFormat="false" ht="12.8" hidden="false" customHeight="false" outlineLevel="0" collapsed="false">
      <c r="B9" s="145"/>
      <c r="C9" s="144" t="n">
        <f aca="false">C5+1</f>
        <v>2015</v>
      </c>
      <c r="D9" s="144" t="n">
        <f aca="false">D5</f>
        <v>2</v>
      </c>
      <c r="E9" s="144" t="n">
        <v>1000</v>
      </c>
      <c r="F9" s="146" t="n">
        <v>17877475</v>
      </c>
      <c r="G9" s="146" t="n">
        <v>17180984</v>
      </c>
      <c r="H9" s="147" t="n">
        <f aca="false">F9-J9</f>
        <v>17877475</v>
      </c>
      <c r="I9" s="147" t="n">
        <f aca="false">G9-K9</f>
        <v>17180984</v>
      </c>
      <c r="J9" s="148"/>
      <c r="K9" s="148"/>
      <c r="L9" s="147" t="n">
        <f aca="false">H9-I9</f>
        <v>696491</v>
      </c>
      <c r="M9" s="147" t="n">
        <f aca="false">J9-K9</f>
        <v>0</v>
      </c>
      <c r="N9" s="148" t="n">
        <v>2371185</v>
      </c>
      <c r="O9" s="149" t="n">
        <v>104523364.336654</v>
      </c>
      <c r="P9" s="144" t="n">
        <f aca="false">O9/I9</f>
        <v>6.08366577471081</v>
      </c>
      <c r="Q9" s="147" t="n">
        <f aca="false">I9*5.5017049523</f>
        <v>94524704.7581871</v>
      </c>
      <c r="R9" s="147" t="n">
        <v>14339828.6769147</v>
      </c>
      <c r="S9" s="147" t="n">
        <v>3783745.78898687</v>
      </c>
      <c r="T9" s="149" t="n">
        <v>19687951.5296409</v>
      </c>
      <c r="U9" s="144" t="n">
        <f aca="false">R9/N9</f>
        <v>6.04753685474339</v>
      </c>
      <c r="V9" s="145"/>
      <c r="W9" s="145"/>
      <c r="X9" s="147" t="n">
        <f aca="false">N9*5.1890047538+L9*5.5017049523</f>
        <v>16135978.2210716</v>
      </c>
      <c r="Y9" s="147" t="n">
        <f aca="false">N9*5.1890047538</f>
        <v>12304090.2371393</v>
      </c>
      <c r="Z9" s="147" t="n">
        <f aca="false">L9*5.5017049523</f>
        <v>3831887.98393238</v>
      </c>
    </row>
    <row r="10" customFormat="false" ht="12.8" hidden="false" customHeight="false" outlineLevel="0" collapsed="false">
      <c r="B10" s="145"/>
      <c r="C10" s="144" t="n">
        <v>2016</v>
      </c>
      <c r="D10" s="144" t="n">
        <v>2</v>
      </c>
      <c r="E10" s="144" t="n">
        <v>996</v>
      </c>
      <c r="F10" s="146" t="n">
        <v>18529945</v>
      </c>
      <c r="G10" s="146" t="n">
        <v>17797215</v>
      </c>
      <c r="H10" s="147" t="n">
        <f aca="false">F10-J10</f>
        <v>18529945</v>
      </c>
      <c r="I10" s="147" t="n">
        <f aca="false">G10-K10</f>
        <v>17797215</v>
      </c>
      <c r="J10" s="148"/>
      <c r="K10" s="148"/>
      <c r="L10" s="147" t="n">
        <f aca="false">H10-I10</f>
        <v>732730</v>
      </c>
      <c r="M10" s="147" t="n">
        <f aca="false">J10-K10</f>
        <v>0</v>
      </c>
      <c r="N10" s="148"/>
      <c r="O10" s="145"/>
      <c r="P10" s="145"/>
      <c r="Q10" s="147" t="n">
        <f aca="false">I10*5.5017049523</f>
        <v>97915025.9026478</v>
      </c>
      <c r="R10" s="147"/>
      <c r="S10" s="147"/>
      <c r="T10" s="145"/>
      <c r="U10" s="145"/>
      <c r="V10" s="145"/>
      <c r="W10" s="145"/>
      <c r="X10" s="147"/>
      <c r="Y10" s="147"/>
      <c r="Z10" s="147"/>
    </row>
    <row r="11" customFormat="false" ht="12.8" hidden="false" customHeight="false" outlineLevel="0" collapsed="false">
      <c r="B11" s="145"/>
      <c r="C11" s="144" t="n">
        <v>2016</v>
      </c>
      <c r="D11" s="144" t="n">
        <v>3</v>
      </c>
      <c r="E11" s="144" t="n">
        <v>995</v>
      </c>
      <c r="F11" s="146" t="n">
        <v>19118239</v>
      </c>
      <c r="G11" s="146" t="n">
        <v>18342944</v>
      </c>
      <c r="H11" s="147" t="n">
        <f aca="false">F11-J11</f>
        <v>19118239</v>
      </c>
      <c r="I11" s="147" t="n">
        <f aca="false">G11-K11</f>
        <v>18342944</v>
      </c>
      <c r="J11" s="148"/>
      <c r="K11" s="148"/>
      <c r="L11" s="147" t="n">
        <f aca="false">H11-I11</f>
        <v>775295</v>
      </c>
      <c r="M11" s="147" t="n">
        <f aca="false">J11-K11</f>
        <v>0</v>
      </c>
      <c r="N11" s="148"/>
      <c r="O11" s="145"/>
      <c r="P11" s="145"/>
      <c r="Q11" s="147" t="n">
        <f aca="false">I11*5.5017049523</f>
        <v>100917465.844562</v>
      </c>
      <c r="R11" s="147"/>
      <c r="S11" s="147"/>
      <c r="T11" s="145"/>
      <c r="U11" s="145"/>
      <c r="V11" s="145"/>
      <c r="W11" s="145"/>
      <c r="X11" s="147"/>
      <c r="Y11" s="147"/>
      <c r="Z11" s="147"/>
    </row>
    <row r="12" customFormat="false" ht="12.8" hidden="false" customHeight="false" outlineLevel="0" collapsed="false">
      <c r="B12" s="145"/>
      <c r="C12" s="144" t="n">
        <v>2016</v>
      </c>
      <c r="D12" s="144" t="n">
        <v>4</v>
      </c>
      <c r="E12" s="144" t="n">
        <v>994</v>
      </c>
      <c r="F12" s="146" t="n">
        <v>20592277</v>
      </c>
      <c r="G12" s="146" t="n">
        <v>19759371</v>
      </c>
      <c r="H12" s="147" t="n">
        <f aca="false">F12-J12</f>
        <v>20592277</v>
      </c>
      <c r="I12" s="147" t="n">
        <f aca="false">G12-K12</f>
        <v>19759371</v>
      </c>
      <c r="J12" s="148"/>
      <c r="K12" s="148"/>
      <c r="L12" s="147" t="n">
        <f aca="false">H12-I12</f>
        <v>832906</v>
      </c>
      <c r="M12" s="147" t="n">
        <f aca="false">J12-K12</f>
        <v>0</v>
      </c>
      <c r="N12" s="148"/>
      <c r="O12" s="145"/>
      <c r="P12" s="145" t="s">
        <v>193</v>
      </c>
      <c r="Q12" s="147" t="n">
        <f aca="false">I12*5.5017049523</f>
        <v>108710229.285033</v>
      </c>
      <c r="R12" s="147"/>
      <c r="S12" s="147"/>
      <c r="T12" s="145"/>
      <c r="U12" s="144" t="n">
        <f aca="false">AVERAGE(U4:U9)</f>
        <v>5.18900475376138</v>
      </c>
      <c r="V12" s="145"/>
      <c r="W12" s="145"/>
      <c r="X12" s="147"/>
      <c r="Y12" s="147"/>
      <c r="Z12" s="147"/>
    </row>
    <row r="13" customFormat="false" ht="12.8" hidden="false" customHeight="false" outlineLevel="0" collapsed="false">
      <c r="B13" s="145"/>
      <c r="C13" s="144" t="n">
        <v>2017</v>
      </c>
      <c r="D13" s="144" t="n">
        <v>1</v>
      </c>
      <c r="E13" s="144" t="n">
        <v>993</v>
      </c>
      <c r="F13" s="146" t="n">
        <v>20242858</v>
      </c>
      <c r="G13" s="146" t="n">
        <v>19409870</v>
      </c>
      <c r="H13" s="147" t="n">
        <f aca="false">F13-J13</f>
        <v>20242858</v>
      </c>
      <c r="I13" s="147" t="n">
        <f aca="false">G13-K13</f>
        <v>19409870</v>
      </c>
      <c r="J13" s="148"/>
      <c r="K13" s="148"/>
      <c r="L13" s="147" t="n">
        <f aca="false">H13-I13</f>
        <v>832988</v>
      </c>
      <c r="M13" s="147" t="n">
        <f aca="false">J13-K13</f>
        <v>0</v>
      </c>
      <c r="N13" s="148"/>
      <c r="O13" s="145"/>
      <c r="P13" s="144" t="n">
        <f aca="false">AVERAGE(P4:P9)</f>
        <v>5.50170495229345</v>
      </c>
      <c r="Q13" s="147" t="n">
        <f aca="false">I13*5.5017049523</f>
        <v>106787377.902499</v>
      </c>
      <c r="R13" s="147"/>
      <c r="S13" s="147"/>
      <c r="T13" s="145"/>
      <c r="U13" s="145"/>
      <c r="V13" s="145"/>
      <c r="W13" s="145"/>
      <c r="X13" s="147"/>
      <c r="Y13" s="147"/>
      <c r="Z13" s="147"/>
    </row>
    <row r="14" customFormat="false" ht="12.8" hidden="false" customHeight="false" outlineLevel="0" collapsed="false">
      <c r="A14" s="65" t="s">
        <v>194</v>
      </c>
      <c r="B14" s="5"/>
      <c r="C14" s="65" t="n">
        <v>2015</v>
      </c>
      <c r="D14" s="65" t="n">
        <v>1</v>
      </c>
      <c r="E14" s="65" t="n">
        <v>161</v>
      </c>
      <c r="F14" s="150" t="n">
        <v>17715091.2971215</v>
      </c>
      <c r="G14" s="150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1" t="n">
        <v>0</v>
      </c>
      <c r="K14" s="151" t="n">
        <v>0</v>
      </c>
      <c r="L14" s="8" t="n">
        <f aca="false">H14-I14</f>
        <v>691939.443819597</v>
      </c>
      <c r="M14" s="8" t="n">
        <f aca="false">J14-K14</f>
        <v>0</v>
      </c>
      <c r="N14" s="151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2" t="n">
        <v>20422747.1350974</v>
      </c>
      <c r="G15" s="152" t="n"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3" t="n">
        <v>0</v>
      </c>
      <c r="K15" s="153" t="n">
        <v>0</v>
      </c>
      <c r="L15" s="67" t="n">
        <f aca="false">H15-I15</f>
        <v>799976.431236599</v>
      </c>
      <c r="M15" s="67" t="n">
        <f aca="false">J15-K15</f>
        <v>0</v>
      </c>
      <c r="N15" s="153" t="n"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17260864.0964791</v>
      </c>
      <c r="Y15" s="67" t="n">
        <f aca="false">N15*5.1890047538</f>
        <v>12859629.8030215</v>
      </c>
      <c r="Z15" s="67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2" t="n">
        <v>19803746.8364793</v>
      </c>
      <c r="G16" s="152" t="n"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3" t="n">
        <v>0</v>
      </c>
      <c r="K16" s="153" t="n">
        <v>0</v>
      </c>
      <c r="L16" s="67" t="n">
        <f aca="false">H16-I16</f>
        <v>777485.531692199</v>
      </c>
      <c r="M16" s="67" t="n">
        <f aca="false">J16-K16</f>
        <v>0</v>
      </c>
      <c r="N16" s="153" t="n">
        <v>2919136.76234831</v>
      </c>
      <c r="O16" s="154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4" t="n">
        <v>22190060.6351791</v>
      </c>
      <c r="U16" s="7" t="n">
        <f aca="false">R22/N16</f>
        <v>7.11783128484033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19424910.5368703</v>
      </c>
      <c r="Y16" s="67" t="n">
        <f aca="false">N16*5.1890047538</f>
        <v>15147414.5368177</v>
      </c>
      <c r="Z16" s="67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2" t="n">
        <v>21421804.3950487</v>
      </c>
      <c r="G17" s="152" t="n"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3" t="n">
        <v>0</v>
      </c>
      <c r="K17" s="153" t="n">
        <v>0</v>
      </c>
      <c r="L17" s="67" t="n">
        <f aca="false">H17-I17</f>
        <v>842157.0006628</v>
      </c>
      <c r="M17" s="67" t="n">
        <f aca="false">J17-K17</f>
        <v>0</v>
      </c>
      <c r="N17" s="153" t="n">
        <v>2757062.56989139</v>
      </c>
      <c r="O17" s="154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4633299.34116064</v>
      </c>
    </row>
    <row r="18" customFormat="false" ht="12.8" hidden="false" customHeight="false" outlineLevel="0" collapsed="false">
      <c r="A18" s="65"/>
      <c r="B18" s="5"/>
      <c r="C18" s="65" t="n">
        <f aca="false">C14+1</f>
        <v>2016</v>
      </c>
      <c r="D18" s="65" t="n">
        <f aca="false">D14</f>
        <v>1</v>
      </c>
      <c r="E18" s="65" t="n">
        <v>165</v>
      </c>
      <c r="F18" s="150" t="n">
        <v>18798652.8327858</v>
      </c>
      <c r="G18" s="150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1" t="n">
        <v>0</v>
      </c>
      <c r="K18" s="151" t="n">
        <v>0</v>
      </c>
      <c r="L18" s="8" t="n">
        <f aca="false">H18-I18</f>
        <v>737510.400040299</v>
      </c>
      <c r="M18" s="8" t="n">
        <f aca="false">J18-K18</f>
        <v>0</v>
      </c>
      <c r="N18" s="151" t="n">
        <v>2795658.97722293</v>
      </c>
      <c r="O18" s="15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5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2" t="n">
        <v>19381974.1868191</v>
      </c>
      <c r="G19" s="152" t="n"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3" t="n">
        <v>0</v>
      </c>
      <c r="K19" s="153" t="n">
        <v>0</v>
      </c>
      <c r="L19" s="67" t="n">
        <f aca="false">H19-I19</f>
        <v>762298.459394898</v>
      </c>
      <c r="M19" s="67" t="n">
        <f aca="false">J19-K19</f>
        <v>0</v>
      </c>
      <c r="N19" s="153" t="n">
        <v>2828183.68633319</v>
      </c>
      <c r="O19" s="154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4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14675458.5930025</v>
      </c>
      <c r="Z19" s="67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3" t="n">
        <v>18503713.2101988</v>
      </c>
      <c r="G20" s="153" t="n"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3" t="n">
        <v>0</v>
      </c>
      <c r="K20" s="153" t="n">
        <v>0</v>
      </c>
      <c r="L20" s="67" t="n">
        <f aca="false">H20-I20</f>
        <v>730249.346840899</v>
      </c>
      <c r="M20" s="67" t="n">
        <f aca="false">J20-K20</f>
        <v>0</v>
      </c>
      <c r="N20" s="153" t="n">
        <v>2477813.00409058</v>
      </c>
      <c r="O20" s="154" t="n">
        <v>90764685.8571572</v>
      </c>
      <c r="P20" s="7" t="n">
        <v>5.43</v>
      </c>
      <c r="Q20" s="67" t="n">
        <f aca="false">I20*5.5017049523</f>
        <v>97784354.1565613</v>
      </c>
      <c r="R20" s="67" t="n">
        <v>16989362.3248539</v>
      </c>
      <c r="S20" s="67" t="n">
        <v>3285681.62802909</v>
      </c>
      <c r="T20" s="154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16874999.9051819</v>
      </c>
      <c r="Y20" s="67" t="n">
        <f aca="false">N20*5.1890047538</f>
        <v>12857383.4572535</v>
      </c>
      <c r="Z20" s="67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3" t="n">
        <v>20254615.8512826</v>
      </c>
      <c r="G21" s="153" t="n">
        <v>19452949.3858272</v>
      </c>
      <c r="H21" s="67" t="n">
        <f aca="false">F21-J21</f>
        <v>20217167.5584862</v>
      </c>
      <c r="I21" s="67" t="n">
        <f aca="false">G21-K21</f>
        <v>19416624.5418147</v>
      </c>
      <c r="J21" s="153" t="n">
        <v>37448.2927964077</v>
      </c>
      <c r="K21" s="153" t="n">
        <v>36324.8440125154</v>
      </c>
      <c r="L21" s="67" t="n">
        <f aca="false">H21-I21</f>
        <v>800543.016671509</v>
      </c>
      <c r="M21" s="67" t="n">
        <f aca="false">J21-K21</f>
        <v>1123.4487838923</v>
      </c>
      <c r="N21" s="153" t="n">
        <v>3910348.4398605</v>
      </c>
      <c r="O21" s="154" t="n">
        <v>112083822.294624</v>
      </c>
      <c r="P21" s="7" t="n">
        <v>6.14</v>
      </c>
      <c r="Q21" s="67" t="n">
        <f aca="false">I21*5.5017049523</f>
        <v>106824539.398652</v>
      </c>
      <c r="R21" s="67" t="n">
        <v>21412355.8556138</v>
      </c>
      <c r="S21" s="67" t="n">
        <v>4057434.36706539</v>
      </c>
      <c r="T21" s="154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6180.88373799569</v>
      </c>
      <c r="X21" s="67" t="n">
        <f aca="false">N21*5.1890047538+L21*5.5017049523</f>
        <v>24695168.1228014</v>
      </c>
      <c r="Y21" s="67" t="n">
        <f aca="false">N21*5.1890047538</f>
        <v>20290816.6434505</v>
      </c>
      <c r="Z21" s="67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65"/>
      <c r="B22" s="5"/>
      <c r="C22" s="65" t="n">
        <f aca="false">C18+1</f>
        <v>2017</v>
      </c>
      <c r="D22" s="65" t="n">
        <f aca="false">D18</f>
        <v>1</v>
      </c>
      <c r="E22" s="65" t="n">
        <v>169</v>
      </c>
      <c r="F22" s="151" t="n">
        <v>19377172.7510706</v>
      </c>
      <c r="G22" s="151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51" t="n">
        <v>68744.4841315014</v>
      </c>
      <c r="K22" s="151" t="n"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51" t="n">
        <v>4299591.36744104</v>
      </c>
      <c r="O22" s="155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5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3" t="n">
        <v>20709754.3962264</v>
      </c>
      <c r="G23" s="153" t="n">
        <v>19888095.1774069</v>
      </c>
      <c r="H23" s="67" t="n">
        <f aca="false">F23-J23</f>
        <v>20604347.9858498</v>
      </c>
      <c r="I23" s="67" t="n">
        <f aca="false">G23-K23</f>
        <v>19785850.9593416</v>
      </c>
      <c r="J23" s="153" t="n">
        <v>105406.410376622</v>
      </c>
      <c r="K23" s="153" t="n">
        <v>102244.218065323</v>
      </c>
      <c r="L23" s="67" t="n">
        <f aca="false">H23-I23</f>
        <v>818497.026508197</v>
      </c>
      <c r="M23" s="67" t="n">
        <f aca="false">J23-K23</f>
        <v>3162.192311299</v>
      </c>
      <c r="N23" s="153" t="n">
        <v>3939404.98436416</v>
      </c>
      <c r="O23" s="154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4" t="n">
        <v>24020927.7863425</v>
      </c>
      <c r="U23" s="7" t="n">
        <f aca="false">R23/N23</f>
        <v>4.70511486754731</v>
      </c>
      <c r="V23" s="67" t="n">
        <f aca="false">K23*5.5017049523</f>
        <v>562517.520874029</v>
      </c>
      <c r="W23" s="67" t="n">
        <f aca="false">M23*5.5017049523</f>
        <v>17397.4490991987</v>
      </c>
      <c r="X23" s="67" t="n">
        <f aca="false">N23*5.1890047538+L23*5.5017049523</f>
        <v>24944720.335192</v>
      </c>
      <c r="Y23" s="67" t="n">
        <f aca="false">N23*5.1890047538</f>
        <v>20441591.191009</v>
      </c>
      <c r="Z23" s="67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3" t="n">
        <v>19896829.3534219</v>
      </c>
      <c r="G24" s="153" t="n"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53" t="n">
        <v>153068.271140567</v>
      </c>
      <c r="K24" s="153" t="n">
        <v>148476.22300635</v>
      </c>
      <c r="L24" s="67" t="n">
        <f aca="false">H24-I24</f>
        <v>785462.55747468</v>
      </c>
      <c r="M24" s="67" t="n">
        <f aca="false">J24-K24</f>
        <v>4592.04813421701</v>
      </c>
      <c r="N24" s="153" t="n">
        <v>3599614.55233288</v>
      </c>
      <c r="O24" s="154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4" t="n">
        <v>24278813.7103198</v>
      </c>
      <c r="U24" s="7" t="n">
        <f aca="false">R24/N24</f>
        <v>5.14409971985079</v>
      </c>
      <c r="V24" s="67" t="n">
        <f aca="false">K24*5.5017049523</f>
        <v>816872.371412835</v>
      </c>
      <c r="W24" s="67" t="n">
        <f aca="false">M24*5.5017049523</f>
        <v>25264.0939612217</v>
      </c>
      <c r="X24" s="67" t="n">
        <f aca="false">N24*5.1890047538+L24*5.5017049523</f>
        <v>22999800.2662076</v>
      </c>
      <c r="Y24" s="67" t="n">
        <f aca="false">N24*5.1890047538</f>
        <v>18678417.023903</v>
      </c>
      <c r="Z24" s="67" t="n">
        <f aca="false">L24*5.5017049523</f>
        <v>4321383.24230467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3" t="n">
        <v>21653269.8158238</v>
      </c>
      <c r="G25" s="153" t="n"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53" t="n">
        <v>195716.984291222</v>
      </c>
      <c r="K25" s="153" t="n">
        <v>189845.474762486</v>
      </c>
      <c r="L25" s="67" t="n">
        <f aca="false">H25-I25</f>
        <v>856204.006193865</v>
      </c>
      <c r="M25" s="67" t="n">
        <f aca="false">J25-K25</f>
        <v>5871.509528736</v>
      </c>
      <c r="N25" s="153" t="n">
        <v>4012507.36812272</v>
      </c>
      <c r="O25" s="76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76" t="n">
        <v>24785174.0476736</v>
      </c>
      <c r="V25" s="67" t="n">
        <f aca="false">K25*5.5017049523</f>
        <v>1044473.78867251</v>
      </c>
      <c r="W25" s="67" t="n">
        <f aca="false">M25*5.5017049523</f>
        <v>32303.3130517235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8" hidden="false" customHeight="false" outlineLevel="0" collapsed="false">
      <c r="A26" s="65"/>
      <c r="B26" s="5"/>
      <c r="C26" s="65" t="n">
        <f aca="false">C22+1</f>
        <v>2018</v>
      </c>
      <c r="D26" s="65" t="n">
        <f aca="false">D22</f>
        <v>1</v>
      </c>
      <c r="E26" s="65" t="n">
        <v>173</v>
      </c>
      <c r="F26" s="151" t="n">
        <v>20401597.9187957</v>
      </c>
      <c r="G26" s="151" t="n"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51" t="n">
        <v>199621.10106806</v>
      </c>
      <c r="K26" s="151" t="n">
        <v>193632.468036018</v>
      </c>
      <c r="L26" s="8" t="n">
        <f aca="false">H26-I26</f>
        <v>808953.540091459</v>
      </c>
      <c r="M26" s="8" t="n">
        <f aca="false">J26-K26</f>
        <v>5988.63303204201</v>
      </c>
      <c r="N26" s="151" t="n"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26587466.4401902</v>
      </c>
      <c r="Y26" s="8" t="n">
        <f aca="false">N26*5.1890047538</f>
        <v>22136842.7424884</v>
      </c>
      <c r="Z26" s="8" t="n">
        <f aca="false">L26*5.5017049523</f>
        <v>4450623.6977018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3" t="n">
        <v>20235562.8531744</v>
      </c>
      <c r="G27" s="153" t="n">
        <v>19426704.0638725</v>
      </c>
      <c r="H27" s="67" t="n">
        <f aca="false">F27-J27</f>
        <v>20017800.9545935</v>
      </c>
      <c r="I27" s="67" t="n">
        <f aca="false">G27-K27</f>
        <v>19215475.022249</v>
      </c>
      <c r="J27" s="153" t="n">
        <v>217761.898580891</v>
      </c>
      <c r="K27" s="153" t="n">
        <v>211229.041623464</v>
      </c>
      <c r="L27" s="67" t="n">
        <f aca="false">H27-I27</f>
        <v>802325.932344474</v>
      </c>
      <c r="M27" s="67" t="n">
        <f aca="false">J27-K27</f>
        <v>6532.85695742699</v>
      </c>
      <c r="N27" s="153" t="n">
        <v>3669626.15930423</v>
      </c>
      <c r="O27" s="7"/>
      <c r="P27" s="7"/>
      <c r="Q27" s="67" t="n">
        <f aca="false">I27*5.5017049523</f>
        <v>105717874.090704</v>
      </c>
      <c r="R27" s="67"/>
      <c r="S27" s="67"/>
      <c r="T27" s="7"/>
      <c r="U27" s="7"/>
      <c r="V27" s="67" t="n">
        <f aca="false">K27*5.5017049523</f>
        <v>1162119.86436939</v>
      </c>
      <c r="W27" s="67" t="n">
        <f aca="false">M27*5.5017049523</f>
        <v>35941.8514753436</v>
      </c>
      <c r="X27" s="67" t="n">
        <f aca="false">N27*5.1890047538+L27*5.5017049523</f>
        <v>23455868.1406368</v>
      </c>
      <c r="Y27" s="67" t="n">
        <f aca="false">N27*5.1890047538</f>
        <v>19041707.5852985</v>
      </c>
      <c r="Z27" s="67" t="n">
        <f aca="false">L27*5.5017049523</f>
        <v>4414160.55533831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3" t="n">
        <v>19245553.8982161</v>
      </c>
      <c r="G28" s="153" t="n">
        <v>18477271.9630652</v>
      </c>
      <c r="H28" s="67" t="n">
        <f aca="false">F28-J28</f>
        <v>19010506.7749919</v>
      </c>
      <c r="I28" s="67" t="n">
        <f aca="false">G28-K28</f>
        <v>18249276.2535378</v>
      </c>
      <c r="J28" s="153" t="n">
        <v>235047.123224172</v>
      </c>
      <c r="K28" s="153" t="n">
        <v>227995.709527446</v>
      </c>
      <c r="L28" s="67" t="n">
        <f aca="false">H28-I28</f>
        <v>761230.521454174</v>
      </c>
      <c r="M28" s="67" t="n">
        <f aca="false">J28-K28</f>
        <v>7051.41369672603</v>
      </c>
      <c r="N28" s="153" t="n"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38794.7976559936</v>
      </c>
      <c r="X28" s="67" t="n">
        <f aca="false">N28*5.1890047538+L28*5.5017049523</f>
        <v>21353354.7952991</v>
      </c>
      <c r="Y28" s="67" t="n">
        <f aca="false">N28*5.1890047538</f>
        <v>17165289.0655728</v>
      </c>
      <c r="Z28" s="67" t="n">
        <f aca="false">L28*5.5017049523</f>
        <v>4188065.72972634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3" t="n">
        <v>17632490.3683875</v>
      </c>
      <c r="G29" s="153" t="n">
        <v>16930411.3942214</v>
      </c>
      <c r="H29" s="67" t="n">
        <f aca="false">F29-J29</f>
        <v>17392099.0463504</v>
      </c>
      <c r="I29" s="67" t="n">
        <f aca="false">G29-K29</f>
        <v>16697231.8118454</v>
      </c>
      <c r="J29" s="153" t="n">
        <v>240391.322037069</v>
      </c>
      <c r="K29" s="153" t="n">
        <v>233179.582375956</v>
      </c>
      <c r="L29" s="67" t="n">
        <f aca="false">H29-I29</f>
        <v>694867.234504992</v>
      </c>
      <c r="M29" s="67" t="n">
        <f aca="false">J29-K29</f>
        <v>7211.73966111301</v>
      </c>
      <c r="N29" s="153" t="n">
        <v>3051608.62668183</v>
      </c>
      <c r="O29" s="7"/>
      <c r="P29" s="7"/>
      <c r="Q29" s="67" t="n">
        <f aca="false">I29*5.5017049523</f>
        <v>91863242.9489312</v>
      </c>
      <c r="R29" s="67"/>
      <c r="S29" s="67"/>
      <c r="T29" s="7"/>
      <c r="U29" s="7"/>
      <c r="V29" s="67" t="n">
        <f aca="false">K29*5.5017049523</f>
        <v>1282885.26313304</v>
      </c>
      <c r="W29" s="67" t="n">
        <f aca="false">M29*5.5017049523</f>
        <v>39676.8638082438</v>
      </c>
      <c r="X29" s="67" t="n">
        <f aca="false">N29*5.1890047538+L29*5.5017049523</f>
        <v>19657766.1758562</v>
      </c>
      <c r="Y29" s="67" t="n">
        <f aca="false">N29*5.1890047538</f>
        <v>15834811.6705891</v>
      </c>
      <c r="Z29" s="67" t="n">
        <f aca="false">L29*5.5017049523</f>
        <v>3822954.50526712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65"/>
      <c r="B30" s="5"/>
      <c r="C30" s="65" t="n">
        <f aca="false">C26+1</f>
        <v>2019</v>
      </c>
      <c r="D30" s="65" t="n">
        <f aca="false">D26</f>
        <v>1</v>
      </c>
      <c r="E30" s="65" t="n">
        <v>177</v>
      </c>
      <c r="F30" s="151" t="n">
        <v>17486334.6842501</v>
      </c>
      <c r="G30" s="151" t="n"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51" t="n">
        <v>194215.016136578</v>
      </c>
      <c r="K30" s="151" t="n">
        <v>188388.565652481</v>
      </c>
      <c r="L30" s="8" t="n">
        <f aca="false">H30-I30</f>
        <v>691277.192997402</v>
      </c>
      <c r="M30" s="8" t="n">
        <f aca="false">J30-K30</f>
        <v>5826.450484097</v>
      </c>
      <c r="N30" s="151" t="n">
        <v>3575526.78286279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22356628.6297401</v>
      </c>
      <c r="Y30" s="8" t="n">
        <f aca="false">N30*5.1890047538</f>
        <v>18553425.4736142</v>
      </c>
      <c r="Z30" s="8" t="n">
        <f aca="false">L30*5.5017049523</f>
        <v>3803203.15612585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3" t="n">
        <v>17659103.1044917</v>
      </c>
      <c r="G31" s="153" t="n"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53" t="n">
        <v>199317.416544857</v>
      </c>
      <c r="K31" s="153" t="n">
        <v>193337.894048511</v>
      </c>
      <c r="L31" s="67" t="n">
        <f aca="false">H31-I31</f>
        <v>698972.402993051</v>
      </c>
      <c r="M31" s="67" t="n">
        <f aca="false">J31-K31</f>
        <v>5979.52249634601</v>
      </c>
      <c r="N31" s="153" t="n">
        <v>3241856.85627298</v>
      </c>
      <c r="O31" s="7"/>
      <c r="P31" s="7"/>
      <c r="Q31" s="67" t="n">
        <f aca="false">I31*5.5017049523</f>
        <v>92213049.4544059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32897.5685305361</v>
      </c>
      <c r="X31" s="67" t="n">
        <f aca="false">N31*5.1890047538+L31*5.5017049523</f>
        <v>20667550.5694075</v>
      </c>
      <c r="Y31" s="67" t="n">
        <f aca="false">N31*5.1890047538</f>
        <v>16822010.6383396</v>
      </c>
      <c r="Z31" s="67" t="n">
        <f aca="false">L31*5.5017049523</f>
        <v>3845539.9310679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3" t="n">
        <v>18043229.2177913</v>
      </c>
      <c r="G32" s="153" t="n">
        <v>17321407.4382308</v>
      </c>
      <c r="H32" s="67" t="n">
        <f aca="false">F32-J32</f>
        <v>17852935.5813082</v>
      </c>
      <c r="I32" s="67" t="n">
        <f aca="false">G32-K32</f>
        <v>17136822.6108422</v>
      </c>
      <c r="J32" s="153" t="n">
        <v>190293.636483069</v>
      </c>
      <c r="K32" s="153" t="n">
        <v>184584.827388577</v>
      </c>
      <c r="L32" s="67" t="n">
        <f aca="false">H32-I32</f>
        <v>716112.970466007</v>
      </c>
      <c r="M32" s="67" t="n">
        <f aca="false">J32-K32</f>
        <v>5708.80909449203</v>
      </c>
      <c r="N32" s="153" t="n">
        <v>3172850.31297567</v>
      </c>
      <c r="O32" s="7"/>
      <c r="P32" s="7"/>
      <c r="Q32" s="67" t="n">
        <f aca="false">I32*5.5017049523</f>
        <v>94281741.8247573</v>
      </c>
      <c r="R32" s="67"/>
      <c r="S32" s="67"/>
      <c r="T32" s="7"/>
      <c r="U32" s="7"/>
      <c r="V32" s="67" t="n">
        <f aca="false">K32*5.5017049523</f>
        <v>1015531.25896317</v>
      </c>
      <c r="W32" s="67" t="n">
        <f aca="false">M32*5.5017049523</f>
        <v>31408.1832669021</v>
      </c>
      <c r="X32" s="67" t="n">
        <f aca="false">N32*5.1890047538+L32*5.5017049523</f>
        <v>20403777.6331457</v>
      </c>
      <c r="Y32" s="67" t="n">
        <f aca="false">N32*5.1890047538</f>
        <v>16463935.3571266</v>
      </c>
      <c r="Z32" s="67" t="n">
        <f aca="false">L32*5.5017049523</f>
        <v>3939842.27601909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3" t="n">
        <v>17821958.9706619</v>
      </c>
      <c r="G33" s="153" t="n">
        <v>17108112.8586655</v>
      </c>
      <c r="H33" s="67" t="n">
        <f aca="false">F33-J33</f>
        <v>17615207.406626</v>
      </c>
      <c r="I33" s="67" t="n">
        <f aca="false">G33-K33</f>
        <v>16907563.8415507</v>
      </c>
      <c r="J33" s="153" t="n">
        <v>206751.564035903</v>
      </c>
      <c r="K33" s="153" t="n">
        <v>200549.017114826</v>
      </c>
      <c r="L33" s="67" t="n">
        <f aca="false">H33-I33</f>
        <v>707643.565075323</v>
      </c>
      <c r="M33" s="67" t="n">
        <f aca="false">J33-K33</f>
        <v>6202.54692107698</v>
      </c>
      <c r="N33" s="153" t="n">
        <v>3286268.97441294</v>
      </c>
      <c r="O33" s="7"/>
      <c r="P33" s="7"/>
      <c r="Q33" s="67" t="n">
        <f aca="false">I33*5.5017049523</f>
        <v>93020427.7183878</v>
      </c>
      <c r="R33" s="67"/>
      <c r="S33" s="67"/>
      <c r="T33" s="7"/>
      <c r="U33" s="7"/>
      <c r="V33" s="67" t="n">
        <f aca="false">K33*5.5017049523</f>
        <v>1103361.52063954</v>
      </c>
      <c r="W33" s="67" t="n">
        <f aca="false">M33*5.5017049523</f>
        <v>34124.5831125623</v>
      </c>
      <c r="X33" s="67" t="n">
        <f aca="false">N33*5.1890047538+L33*5.5017049523</f>
        <v>20945711.4369323</v>
      </c>
      <c r="Y33" s="67" t="n">
        <f aca="false">N33*5.1890047538</f>
        <v>17052465.3304942</v>
      </c>
      <c r="Z33" s="67" t="n">
        <f aca="false">L33*5.5017049523</f>
        <v>3893246.10643813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65"/>
      <c r="B34" s="5"/>
      <c r="C34" s="65" t="n">
        <f aca="false">C30+1</f>
        <v>2020</v>
      </c>
      <c r="D34" s="65" t="n">
        <f aca="false">D30</f>
        <v>1</v>
      </c>
      <c r="E34" s="65" t="n">
        <v>181</v>
      </c>
      <c r="F34" s="151" t="n">
        <v>18197205.8241657</v>
      </c>
      <c r="G34" s="151" t="n">
        <v>17468060.934048</v>
      </c>
      <c r="H34" s="8" t="n">
        <f aca="false">F34-J34</f>
        <v>17968811.6195361</v>
      </c>
      <c r="I34" s="8" t="n">
        <f aca="false">G34-K34</f>
        <v>17246518.5555573</v>
      </c>
      <c r="J34" s="151" t="n">
        <v>228394.204629609</v>
      </c>
      <c r="K34" s="151" t="n">
        <v>221542.378490721</v>
      </c>
      <c r="L34" s="8" t="n">
        <f aca="false">H34-I34</f>
        <v>722293.06397881</v>
      </c>
      <c r="M34" s="8" t="n">
        <f aca="false">J34-K34</f>
        <v>6851.82613888802</v>
      </c>
      <c r="N34" s="151" t="n">
        <v>3555397.85023694</v>
      </c>
      <c r="O34" s="5"/>
      <c r="P34" s="5"/>
      <c r="Q34" s="8" t="n">
        <f aca="false">I34*5.5017049523</f>
        <v>94885256.5470433</v>
      </c>
      <c r="R34" s="8"/>
      <c r="S34" s="8"/>
      <c r="T34" s="5"/>
      <c r="U34" s="5"/>
      <c r="V34" s="8" t="n">
        <f aca="false">K34*5.5017049523</f>
        <v>1218860.80088672</v>
      </c>
      <c r="W34" s="8" t="n">
        <f aca="false">M34*5.5017049523</f>
        <v>37696.7258006188</v>
      </c>
      <c r="X34" s="8" t="n">
        <f aca="false">N34*5.1890047538+L34*5.5017049523</f>
        <v>22422819.6736339</v>
      </c>
      <c r="Y34" s="8" t="n">
        <f aca="false">N34*5.1890047538</f>
        <v>18448976.3465298</v>
      </c>
      <c r="Z34" s="8" t="n">
        <f aca="false">L34*5.5017049523</f>
        <v>3973843.32710416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3" t="n">
        <v>18613335.2965406</v>
      </c>
      <c r="G35" s="153" t="n">
        <v>17866025.8228428</v>
      </c>
      <c r="H35" s="67" t="n">
        <f aca="false">F35-J35</f>
        <v>18359119.1519322</v>
      </c>
      <c r="I35" s="67" t="n">
        <f aca="false">G35-K35</f>
        <v>17619436.1625726</v>
      </c>
      <c r="J35" s="153" t="n">
        <v>254216.144608421</v>
      </c>
      <c r="K35" s="153" t="n">
        <v>246589.660270168</v>
      </c>
      <c r="L35" s="67" t="n">
        <f aca="false">H35-I35</f>
        <v>739682.98935955</v>
      </c>
      <c r="M35" s="67" t="n">
        <f aca="false">J35-K35</f>
        <v>7626.48433825298</v>
      </c>
      <c r="N35" s="153" t="n">
        <v>3068409.42281299</v>
      </c>
      <c r="O35" s="7"/>
      <c r="P35" s="7"/>
      <c r="Q35" s="67" t="n">
        <f aca="false">I35*5.5017049523</f>
        <v>96936939.1923595</v>
      </c>
      <c r="R35" s="67"/>
      <c r="S35" s="67"/>
      <c r="T35" s="7"/>
      <c r="U35" s="7"/>
      <c r="V35" s="67" t="n">
        <f aca="false">K35*5.5017049523</f>
        <v>1356663.55509436</v>
      </c>
      <c r="W35" s="67" t="n">
        <f aca="false">M35*5.5017049523</f>
        <v>41958.6666524048</v>
      </c>
      <c r="X35" s="67" t="n">
        <f aca="false">N35*5.1890047538+L35*5.5017049523</f>
        <v>19991508.6472728</v>
      </c>
      <c r="Y35" s="67" t="n">
        <f aca="false">N35*5.1890047538</f>
        <v>15921991.0815813</v>
      </c>
      <c r="Z35" s="67" t="n">
        <f aca="false">L35*5.5017049523</f>
        <v>4069517.56569151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3" t="n">
        <v>19578065.2525461</v>
      </c>
      <c r="G36" s="153" t="n">
        <v>18790450.2497995</v>
      </c>
      <c r="H36" s="67" t="n">
        <f aca="false">F36-J36</f>
        <v>19285322.0205057</v>
      </c>
      <c r="I36" s="67" t="n">
        <f aca="false">G36-K36</f>
        <v>18506489.3147203</v>
      </c>
      <c r="J36" s="153" t="n">
        <v>292743.232040435</v>
      </c>
      <c r="K36" s="153" t="n">
        <v>283960.935079222</v>
      </c>
      <c r="L36" s="67" t="n">
        <f aca="false">H36-I36</f>
        <v>778832.705785386</v>
      </c>
      <c r="M36" s="67" t="n">
        <f aca="false">J36-K36</f>
        <v>8782.296961213</v>
      </c>
      <c r="N36" s="153" t="n">
        <v>3287260.76656534</v>
      </c>
      <c r="O36" s="7"/>
      <c r="P36" s="7"/>
      <c r="Q36" s="67" t="n">
        <f aca="false">I36*5.5017049523</f>
        <v>101817243.912484</v>
      </c>
      <c r="R36" s="67"/>
      <c r="S36" s="67"/>
      <c r="T36" s="7"/>
      <c r="U36" s="7"/>
      <c r="V36" s="67" t="n">
        <f aca="false">K36*5.5017049523</f>
        <v>1562269.28278509</v>
      </c>
      <c r="W36" s="67" t="n">
        <f aca="false">M36*5.5017049523</f>
        <v>48317.6066840748</v>
      </c>
      <c r="X36" s="67" t="n">
        <f aca="false">N36*5.1890047538+L36*5.5017049523</f>
        <v>21342519.4991204</v>
      </c>
      <c r="Y36" s="67" t="n">
        <f aca="false">N36*5.1890047538</f>
        <v>17057611.7446878</v>
      </c>
      <c r="Z36" s="67" t="n">
        <f aca="false">L36*5.5017049523</f>
        <v>4284907.75443267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3" t="n">
        <v>19794899.5345579</v>
      </c>
      <c r="G37" s="153" t="n">
        <v>18997200.7899591</v>
      </c>
      <c r="H37" s="67" t="n">
        <f aca="false">F37-J37</f>
        <v>19470679.9688811</v>
      </c>
      <c r="I37" s="67" t="n">
        <f aca="false">G37-K37</f>
        <v>18682707.8112527</v>
      </c>
      <c r="J37" s="153" t="n">
        <v>324219.565676751</v>
      </c>
      <c r="K37" s="153" t="n">
        <v>314492.978706449</v>
      </c>
      <c r="L37" s="67" t="n">
        <f aca="false">H37-I37</f>
        <v>787972.157628499</v>
      </c>
      <c r="M37" s="67" t="n">
        <f aca="false">J37-K37</f>
        <v>9726.58697030204</v>
      </c>
      <c r="N37" s="153" t="n">
        <v>3338369.06091136</v>
      </c>
      <c r="O37" s="7"/>
      <c r="P37" s="7"/>
      <c r="Q37" s="67" t="n">
        <f aca="false">I37*5.5017049523</f>
        <v>102786746.087543</v>
      </c>
      <c r="R37" s="67"/>
      <c r="S37" s="67"/>
      <c r="T37" s="7"/>
      <c r="U37" s="7"/>
      <c r="V37" s="67" t="n">
        <f aca="false">K37*5.5017049523</f>
        <v>1730247.57841285</v>
      </c>
      <c r="W37" s="67" t="n">
        <f aca="false">M37*5.5017049523</f>
        <v>53512.8117034874</v>
      </c>
      <c r="X37" s="67" t="n">
        <f aca="false">N37*5.1890047538+L37*5.5017049523</f>
        <v>21658003.2489071</v>
      </c>
      <c r="Y37" s="67" t="n">
        <f aca="false">N37*5.1890047538</f>
        <v>17322812.9270079</v>
      </c>
      <c r="Z37" s="67" t="n">
        <f aca="false">L37*5.5017049523</f>
        <v>4335190.32189923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65"/>
      <c r="B38" s="5"/>
      <c r="C38" s="65" t="n">
        <f aca="false">C34+1</f>
        <v>2021</v>
      </c>
      <c r="D38" s="65" t="n">
        <f aca="false">D34</f>
        <v>1</v>
      </c>
      <c r="E38" s="65" t="n">
        <v>185</v>
      </c>
      <c r="F38" s="151" t="n">
        <v>19388318.0927137</v>
      </c>
      <c r="G38" s="151" t="n">
        <v>18604737.0393558</v>
      </c>
      <c r="H38" s="8" t="n">
        <f aca="false">F38-J38</f>
        <v>19043220.9617542</v>
      </c>
      <c r="I38" s="8" t="n">
        <f aca="false">G38-K38</f>
        <v>18269992.8223251</v>
      </c>
      <c r="J38" s="151" t="n">
        <v>345097.13095946</v>
      </c>
      <c r="K38" s="151" t="n">
        <v>334744.217030677</v>
      </c>
      <c r="L38" s="8" t="n">
        <f aca="false">H38-I38</f>
        <v>773228.139429119</v>
      </c>
      <c r="M38" s="8" t="n">
        <f aca="false">J38-K38</f>
        <v>10352.913928783</v>
      </c>
      <c r="N38" s="151" t="n">
        <v>3762570.0789357</v>
      </c>
      <c r="O38" s="5"/>
      <c r="P38" s="5"/>
      <c r="Q38" s="8" t="n">
        <f aca="false">I38*5.5017049523</f>
        <v>100516109.989072</v>
      </c>
      <c r="R38" s="8"/>
      <c r="S38" s="8"/>
      <c r="T38" s="5"/>
      <c r="U38" s="5"/>
      <c r="V38" s="8" t="n">
        <f aca="false">K38*5.5017049523</f>
        <v>1841663.91659146</v>
      </c>
      <c r="W38" s="8" t="n">
        <f aca="false">M38*5.5017049523</f>
        <v>56958.6778327209</v>
      </c>
      <c r="X38" s="8" t="n">
        <f aca="false">N38*5.1890047538+L38*5.5017049523</f>
        <v>23778067.1100579</v>
      </c>
      <c r="Y38" s="8" t="n">
        <f aca="false">N38*5.1890047538</f>
        <v>19523994.026103</v>
      </c>
      <c r="Z38" s="8" t="n">
        <f aca="false">L38*5.5017049523</f>
        <v>4254073.0839549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3" t="n">
        <v>19384737.8992643</v>
      </c>
      <c r="G39" s="153" t="n">
        <v>18599364.9674714</v>
      </c>
      <c r="H39" s="67" t="n">
        <f aca="false">F39-J39</f>
        <v>19023160.9606202</v>
      </c>
      <c r="I39" s="67" t="n">
        <f aca="false">G39-K39</f>
        <v>18248635.3369866</v>
      </c>
      <c r="J39" s="153" t="n">
        <v>361576.938644129</v>
      </c>
      <c r="K39" s="153" t="n">
        <v>350729.630484805</v>
      </c>
      <c r="L39" s="67" t="n">
        <f aca="false">H39-I39</f>
        <v>774525.623633575</v>
      </c>
      <c r="M39" s="67" t="n">
        <f aca="false">J39-K39</f>
        <v>10847.3081593241</v>
      </c>
      <c r="N39" s="153" t="n">
        <v>3077281.83276049</v>
      </c>
      <c r="O39" s="7"/>
      <c r="P39" s="7"/>
      <c r="Q39" s="67" t="n">
        <f aca="false">I39*5.5017049523</f>
        <v>100398607.406216</v>
      </c>
      <c r="R39" s="67"/>
      <c r="S39" s="67"/>
      <c r="T39" s="7"/>
      <c r="U39" s="7"/>
      <c r="V39" s="67" t="n">
        <f aca="false">K39*5.5017049523</f>
        <v>1929610.9449566</v>
      </c>
      <c r="W39" s="67" t="n">
        <f aca="false">M39*5.5017049523</f>
        <v>59678.6890192773</v>
      </c>
      <c r="X39" s="67" t="n">
        <f aca="false">N39*5.1890047538+L39*5.5017049523</f>
        <v>20229241.5182046</v>
      </c>
      <c r="Y39" s="67" t="n">
        <f aca="false">N39*5.1890047538</f>
        <v>15968030.0589766</v>
      </c>
      <c r="Z39" s="67" t="n">
        <f aca="false">L39*5.5017049523</f>
        <v>4261211.45922808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3" t="n">
        <v>19836276.9281576</v>
      </c>
      <c r="G40" s="153" t="n">
        <v>19030882.7461814</v>
      </c>
      <c r="H40" s="67" t="n">
        <f aca="false">F40-J40</f>
        <v>19439503.6325877</v>
      </c>
      <c r="I40" s="67" t="n">
        <f aca="false">G40-K40</f>
        <v>18646012.6494786</v>
      </c>
      <c r="J40" s="153" t="n">
        <v>396773.295569908</v>
      </c>
      <c r="K40" s="153" t="n">
        <v>384870.096702811</v>
      </c>
      <c r="L40" s="67" t="n">
        <f aca="false">H40-I40</f>
        <v>793490.983109105</v>
      </c>
      <c r="M40" s="67" t="n">
        <f aca="false">J40-K40</f>
        <v>11903.198867097</v>
      </c>
      <c r="N40" s="153" t="n">
        <v>3072593.06325215</v>
      </c>
      <c r="O40" s="7"/>
      <c r="P40" s="7"/>
      <c r="Q40" s="67" t="n">
        <f aca="false">I40*5.5017049523</f>
        <v>102584860.134285</v>
      </c>
      <c r="R40" s="67"/>
      <c r="S40" s="67"/>
      <c r="T40" s="7"/>
      <c r="U40" s="7"/>
      <c r="V40" s="67" t="n">
        <f aca="false">K40*5.5017049523</f>
        <v>2117441.71702204</v>
      </c>
      <c r="W40" s="67" t="n">
        <f aca="false">M40*5.5017049523</f>
        <v>65487.8881553192</v>
      </c>
      <c r="X40" s="67" t="n">
        <f aca="false">N40*5.1890047538+L40*5.5017049523</f>
        <v>20309253.2830851</v>
      </c>
      <c r="Y40" s="67" t="n">
        <f aca="false">N40*5.1890047538</f>
        <v>15943700.0117083</v>
      </c>
      <c r="Z40" s="67" t="n">
        <f aca="false">L40*5.5017049523</f>
        <v>4365553.27137676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3" t="n">
        <v>20279285.0903604</v>
      </c>
      <c r="G41" s="153" t="n">
        <v>19454368.308999</v>
      </c>
      <c r="H41" s="67" t="n">
        <f aca="false">F41-J41</f>
        <v>19841547.56701</v>
      </c>
      <c r="I41" s="67" t="n">
        <f aca="false">G41-K41</f>
        <v>19029762.9113491</v>
      </c>
      <c r="J41" s="153" t="n">
        <v>437737.523350438</v>
      </c>
      <c r="K41" s="153" t="n">
        <v>424605.397649925</v>
      </c>
      <c r="L41" s="67" t="n">
        <f aca="false">H41-I41</f>
        <v>811784.65566089</v>
      </c>
      <c r="M41" s="67" t="n">
        <f aca="false">J41-K41</f>
        <v>13132.125700513</v>
      </c>
      <c r="N41" s="153" t="n">
        <v>3113452.30017094</v>
      </c>
      <c r="O41" s="7"/>
      <c r="P41" s="7"/>
      <c r="Q41" s="67" t="n">
        <f aca="false">I41*5.5017049523</f>
        <v>104696140.850464</v>
      </c>
      <c r="R41" s="67"/>
      <c r="S41" s="67"/>
      <c r="T41" s="7"/>
      <c r="U41" s="7"/>
      <c r="V41" s="67" t="n">
        <f aca="false">K41*5.5017049523</f>
        <v>2336053.6190239</v>
      </c>
      <c r="W41" s="67" t="n">
        <f aca="false">M41*5.5017049523</f>
        <v>72249.0810007383</v>
      </c>
      <c r="X41" s="67" t="n">
        <f aca="false">N41*5.1890047538+L41*5.5017049523</f>
        <v>20621918.4465672</v>
      </c>
      <c r="Y41" s="67" t="n">
        <f aca="false">N41*5.1890047538</f>
        <v>16155718.7863166</v>
      </c>
      <c r="Z41" s="67" t="n">
        <f aca="false">L41*5.5017049523</f>
        <v>4466199.66025067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65"/>
      <c r="B42" s="5"/>
      <c r="C42" s="65" t="n">
        <f aca="false">C38+1</f>
        <v>2022</v>
      </c>
      <c r="D42" s="65" t="n">
        <f aca="false">D38</f>
        <v>1</v>
      </c>
      <c r="E42" s="65" t="n">
        <v>189</v>
      </c>
      <c r="F42" s="151" t="n">
        <v>20607902.8610101</v>
      </c>
      <c r="G42" s="151" t="n">
        <v>19768150.0642967</v>
      </c>
      <c r="H42" s="8" t="n">
        <f aca="false">F42-J42</f>
        <v>20147684.5763941</v>
      </c>
      <c r="I42" s="8" t="n">
        <f aca="false">G42-K42</f>
        <v>19321738.3282192</v>
      </c>
      <c r="J42" s="151" t="n">
        <v>460218.284616026</v>
      </c>
      <c r="K42" s="151" t="n">
        <v>446411.736077546</v>
      </c>
      <c r="L42" s="8" t="n">
        <f aca="false">H42-I42</f>
        <v>825946.248174921</v>
      </c>
      <c r="M42" s="8" t="n">
        <f aca="false">J42-K42</f>
        <v>13806.54853848</v>
      </c>
      <c r="N42" s="151" t="n">
        <v>3784892.16470182</v>
      </c>
      <c r="O42" s="5"/>
      <c r="P42" s="5"/>
      <c r="Q42" s="8" t="n">
        <f aca="false">I42*5.5017049523</f>
        <v>106302503.447408</v>
      </c>
      <c r="R42" s="8"/>
      <c r="S42" s="8"/>
      <c r="T42" s="5"/>
      <c r="U42" s="5"/>
      <c r="V42" s="8" t="n">
        <f aca="false">K42*5.5017049523</f>
        <v>2456025.65914268</v>
      </c>
      <c r="W42" s="8" t="n">
        <f aca="false">M42*5.5017049523</f>
        <v>75959.5564683255</v>
      </c>
      <c r="X42" s="8" t="n">
        <f aca="false">N42*5.1890047538+L42*5.5017049523</f>
        <v>24183935.9991757</v>
      </c>
      <c r="Y42" s="8" t="n">
        <f aca="false">N42*5.1890047538</f>
        <v>19639823.4352581</v>
      </c>
      <c r="Z42" s="8" t="n">
        <f aca="false">L42*5.5017049523</f>
        <v>4544112.56391757</v>
      </c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3" t="n">
        <v>21010938.7369541</v>
      </c>
      <c r="G43" s="153" t="n">
        <v>20152893.0869783</v>
      </c>
      <c r="H43" s="67" t="n">
        <f aca="false">F43-J43</f>
        <v>20514224.2644697</v>
      </c>
      <c r="I43" s="67" t="n">
        <f aca="false">G43-K43</f>
        <v>19671080.0486685</v>
      </c>
      <c r="J43" s="153" t="n">
        <v>496714.472484369</v>
      </c>
      <c r="K43" s="153" t="n">
        <v>481813.038309838</v>
      </c>
      <c r="L43" s="67" t="n">
        <f aca="false">H43-I43</f>
        <v>843144.215801269</v>
      </c>
      <c r="M43" s="67" t="n">
        <f aca="false">J43-K43</f>
        <v>14901.434174531</v>
      </c>
      <c r="N43" s="153" t="n">
        <v>3154659.29187493</v>
      </c>
      <c r="O43" s="7"/>
      <c r="P43" s="7"/>
      <c r="Q43" s="67" t="n">
        <f aca="false">I43*5.5017049523</f>
        <v>108224478.520849</v>
      </c>
      <c r="R43" s="67"/>
      <c r="S43" s="67"/>
      <c r="T43" s="7"/>
      <c r="U43" s="7"/>
      <c r="V43" s="67" t="n">
        <f aca="false">K43*5.5017049523</f>
        <v>2650793.17895194</v>
      </c>
      <c r="W43" s="67" t="n">
        <f aca="false">M43*5.5017049523</f>
        <v>81983.2941943898</v>
      </c>
      <c r="X43" s="67" t="n">
        <f aca="false">N43*5.1890047538+L43*5.5017049523</f>
        <v>21008272.7697353</v>
      </c>
      <c r="Y43" s="67" t="n">
        <f aca="false">N43*5.1890047538</f>
        <v>16369542.0621584</v>
      </c>
      <c r="Z43" s="67" t="n">
        <f aca="false">L43*5.5017049523</f>
        <v>4638730.70757694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3" t="n">
        <v>21263691.2646549</v>
      </c>
      <c r="G44" s="153" t="n">
        <v>20394525.5089058</v>
      </c>
      <c r="H44" s="67" t="n">
        <f aca="false">F44-J44</f>
        <v>20738363.6007932</v>
      </c>
      <c r="I44" s="67" t="n">
        <f aca="false">G44-K44</f>
        <v>19884957.6749599</v>
      </c>
      <c r="J44" s="153" t="n">
        <v>525327.663861713</v>
      </c>
      <c r="K44" s="153" t="n">
        <v>509567.833945861</v>
      </c>
      <c r="L44" s="67" t="n">
        <f aca="false">H44-I44</f>
        <v>853405.925833248</v>
      </c>
      <c r="M44" s="67" t="n">
        <f aca="false">J44-K44</f>
        <v>15759.829915852</v>
      </c>
      <c r="N44" s="153" t="n">
        <v>3149838.07657126</v>
      </c>
      <c r="O44" s="7"/>
      <c r="P44" s="7"/>
      <c r="Q44" s="67" t="n">
        <f aca="false">I44*5.5017049523</f>
        <v>109401170.116603</v>
      </c>
      <c r="R44" s="67"/>
      <c r="S44" s="67"/>
      <c r="T44" s="7"/>
      <c r="U44" s="7"/>
      <c r="V44" s="67" t="n">
        <f aca="false">K44*5.5017049523</f>
        <v>2803491.87555273</v>
      </c>
      <c r="W44" s="67" t="n">
        <f aca="false">M44*5.5017049523</f>
        <v>86705.9342954486</v>
      </c>
      <c r="X44" s="67" t="n">
        <f aca="false">N44*5.1890047538+L44*5.5017049523</f>
        <v>21039712.3615075</v>
      </c>
      <c r="Y44" s="67" t="n">
        <f aca="false">N44*5.1890047538</f>
        <v>16344524.7530285</v>
      </c>
      <c r="Z44" s="67" t="n">
        <f aca="false">L44*5.5017049523</f>
        <v>4695187.60847894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3" t="n">
        <v>21514034.7563647</v>
      </c>
      <c r="G45" s="153" t="n">
        <v>20632684.2949172</v>
      </c>
      <c r="H45" s="67" t="n">
        <f aca="false">F45-J45</f>
        <v>20958314.3154372</v>
      </c>
      <c r="I45" s="67" t="n">
        <f aca="false">G45-K45</f>
        <v>20093635.4672175</v>
      </c>
      <c r="J45" s="153" t="n">
        <v>555720.440927474</v>
      </c>
      <c r="K45" s="153" t="n">
        <v>539048.827699649</v>
      </c>
      <c r="L45" s="67" t="n">
        <f aca="false">H45-I45</f>
        <v>864678.848219674</v>
      </c>
      <c r="M45" s="67" t="n">
        <f aca="false">J45-K45</f>
        <v>16671.6132278249</v>
      </c>
      <c r="N45" s="153" t="n">
        <v>3152586.26300242</v>
      </c>
      <c r="O45" s="7"/>
      <c r="P45" s="7"/>
      <c r="Q45" s="67" t="n">
        <f aca="false">I45*5.5017049523</f>
        <v>110549253.759702</v>
      </c>
      <c r="R45" s="67"/>
      <c r="S45" s="67"/>
      <c r="T45" s="7"/>
      <c r="U45" s="7"/>
      <c r="V45" s="67" t="n">
        <f aca="false">K45*5.5017049523</f>
        <v>2965687.60488667</v>
      </c>
      <c r="W45" s="67" t="n">
        <f aca="false">M45*5.5017049523</f>
        <v>91722.2970583545</v>
      </c>
      <c r="X45" s="67" t="n">
        <f aca="false">N45*5.1890047538+L45*5.5017049523</f>
        <v>21115993.0068834</v>
      </c>
      <c r="Y45" s="67" t="n">
        <f aca="false">N45*5.1890047538</f>
        <v>16358785.1054841</v>
      </c>
      <c r="Z45" s="67" t="n">
        <f aca="false">L45*5.5017049523</f>
        <v>4757207.90139924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65"/>
      <c r="B46" s="5"/>
      <c r="C46" s="65" t="n">
        <f aca="false">C42+1</f>
        <v>2023</v>
      </c>
      <c r="D46" s="65" t="n">
        <f aca="false">D42</f>
        <v>1</v>
      </c>
      <c r="E46" s="65" t="n">
        <v>193</v>
      </c>
      <c r="F46" s="151" t="n">
        <v>21647978.1007863</v>
      </c>
      <c r="G46" s="151" t="n">
        <v>20760511.5144513</v>
      </c>
      <c r="H46" s="8" t="n">
        <f aca="false">F46-J46</f>
        <v>21076694.1200719</v>
      </c>
      <c r="I46" s="8" t="n">
        <f aca="false">G46-K46</f>
        <v>20206366.0531583</v>
      </c>
      <c r="J46" s="151" t="n">
        <v>571283.980714422</v>
      </c>
      <c r="K46" s="151" t="n">
        <v>554145.46129299</v>
      </c>
      <c r="L46" s="8" t="n">
        <f aca="false">H46-I46</f>
        <v>870328.066913567</v>
      </c>
      <c r="M46" s="8" t="n">
        <f aca="false">J46-K46</f>
        <v>17138.5194214319</v>
      </c>
      <c r="N46" s="151" t="n">
        <v>3868097.68756647</v>
      </c>
      <c r="O46" s="5"/>
      <c r="P46" s="5"/>
      <c r="Q46" s="8" t="n">
        <f aca="false">I46*5.5017049523</f>
        <v>111169464.182648</v>
      </c>
      <c r="R46" s="8"/>
      <c r="S46" s="8"/>
      <c r="T46" s="5"/>
      <c r="U46" s="5"/>
      <c r="V46" s="8" t="n">
        <f aca="false">K46*5.5017049523</f>
        <v>3048744.82869021</v>
      </c>
      <c r="W46" s="8" t="n">
        <f aca="false">M46*5.5017049523</f>
        <v>94291.0771759818</v>
      </c>
      <c r="X46" s="8" t="n">
        <f aca="false">N46*5.1890047538+L46*5.5017049523</f>
        <v>24859865.5248093</v>
      </c>
      <c r="Y46" s="8" t="n">
        <f aca="false">N46*5.1890047538</f>
        <v>20071577.2889452</v>
      </c>
      <c r="Z46" s="8" t="n">
        <f aca="false">L46*5.5017049523</f>
        <v>4788288.23586406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3" t="n">
        <v>21778779.8764238</v>
      </c>
      <c r="G47" s="153" t="n">
        <v>20884527.8431305</v>
      </c>
      <c r="H47" s="67" t="n">
        <f aca="false">F47-J47</f>
        <v>21204301.0518921</v>
      </c>
      <c r="I47" s="67" t="n">
        <f aca="false">G47-K47</f>
        <v>20327283.3833348</v>
      </c>
      <c r="J47" s="153" t="n">
        <v>574478.82453168</v>
      </c>
      <c r="K47" s="153" t="n">
        <v>557244.45979573</v>
      </c>
      <c r="L47" s="67" t="n">
        <f aca="false">H47-I47</f>
        <v>877017.668557346</v>
      </c>
      <c r="M47" s="67" t="n">
        <f aca="false">J47-K47</f>
        <v>17234.36473595</v>
      </c>
      <c r="N47" s="153" t="n">
        <v>3182230.81270605</v>
      </c>
      <c r="O47" s="7"/>
      <c r="P47" s="7"/>
      <c r="Q47" s="67" t="n">
        <f aca="false">I47*5.5017049523</f>
        <v>111834715.656898</v>
      </c>
      <c r="R47" s="67"/>
      <c r="S47" s="67"/>
      <c r="T47" s="7"/>
      <c r="U47" s="7"/>
      <c r="V47" s="67" t="n">
        <f aca="false">K47*5.5017049523</f>
        <v>3065794.60409991</v>
      </c>
      <c r="W47" s="67" t="n">
        <f aca="false">M47*5.5017049523</f>
        <v>94818.3898175207</v>
      </c>
      <c r="X47" s="67" t="n">
        <f aca="false">N47*5.1890047538+L47*5.5017049523</f>
        <v>21337703.2651771</v>
      </c>
      <c r="Y47" s="67" t="n">
        <f aca="false">N47*5.1890047538</f>
        <v>16512610.8148205</v>
      </c>
      <c r="Z47" s="67" t="n">
        <f aca="false">L47*5.5017049523</f>
        <v>4825092.45035655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3" t="n">
        <v>21862140.1288511</v>
      </c>
      <c r="G48" s="153" t="n">
        <v>20963081.0544638</v>
      </c>
      <c r="H48" s="67" t="n">
        <f aca="false">F48-J48</f>
        <v>21260877.9757502</v>
      </c>
      <c r="I48" s="67" t="n">
        <f aca="false">G48-K48</f>
        <v>20379856.7659559</v>
      </c>
      <c r="J48" s="153" t="n">
        <v>601262.153100919</v>
      </c>
      <c r="K48" s="153" t="n">
        <v>583224.288507891</v>
      </c>
      <c r="L48" s="67" t="n">
        <f aca="false">H48-I48</f>
        <v>881021.209794272</v>
      </c>
      <c r="M48" s="67" t="n">
        <f aca="false">J48-K48</f>
        <v>18037.864593028</v>
      </c>
      <c r="N48" s="153" t="n">
        <v>3135940.98449865</v>
      </c>
      <c r="O48" s="7"/>
      <c r="P48" s="7"/>
      <c r="Q48" s="67" t="n">
        <f aca="false">I48*5.5017049523</f>
        <v>112123958.896424</v>
      </c>
      <c r="R48" s="67"/>
      <c r="S48" s="67"/>
      <c r="T48" s="7"/>
      <c r="U48" s="7"/>
      <c r="V48" s="67" t="n">
        <f aca="false">K48*5.5017049523</f>
        <v>3208727.95638551</v>
      </c>
      <c r="W48" s="67" t="n">
        <f aca="false">M48*5.5017049523</f>
        <v>99239.0089603788</v>
      </c>
      <c r="X48" s="67" t="n">
        <f aca="false">N48*5.1890047538+L48*5.5017049523</f>
        <v>21119531.4292062</v>
      </c>
      <c r="Y48" s="67" t="n">
        <f aca="false">N48*5.1890047538</f>
        <v>16272412.6761997</v>
      </c>
      <c r="Z48" s="67" t="n">
        <f aca="false">L48*5.5017049523</f>
        <v>4847118.75300648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3" t="n">
        <v>22009164.5978424</v>
      </c>
      <c r="G49" s="153" t="n">
        <v>21101810.5085758</v>
      </c>
      <c r="H49" s="67" t="n">
        <f aca="false">F49-J49</f>
        <v>21385982.7805801</v>
      </c>
      <c r="I49" s="67" t="n">
        <f aca="false">G49-K49</f>
        <v>20497324.1458314</v>
      </c>
      <c r="J49" s="153" t="n">
        <v>623181.81726228</v>
      </c>
      <c r="K49" s="153" t="n">
        <v>604486.362744412</v>
      </c>
      <c r="L49" s="67" t="n">
        <f aca="false">H49-I49</f>
        <v>888658.634748731</v>
      </c>
      <c r="M49" s="67" t="n">
        <f aca="false">J49-K49</f>
        <v>18695.454517868</v>
      </c>
      <c r="N49" s="153" t="n">
        <v>3120458.9563498</v>
      </c>
      <c r="O49" s="7"/>
      <c r="P49" s="7"/>
      <c r="Q49" s="67" t="n">
        <f aca="false">I49*5.5017049523</f>
        <v>112770229.762019</v>
      </c>
      <c r="R49" s="67"/>
      <c r="S49" s="67"/>
      <c r="T49" s="7"/>
      <c r="U49" s="7"/>
      <c r="V49" s="67" t="n">
        <f aca="false">K49*5.5017049523</f>
        <v>3325705.61550875</v>
      </c>
      <c r="W49" s="67" t="n">
        <f aca="false">M49*5.5017049523</f>
        <v>102856.874706454</v>
      </c>
      <c r="X49" s="67" t="n">
        <f aca="false">N49*5.1890047538+L49*5.5017049523</f>
        <v>21081213.9702381</v>
      </c>
      <c r="Y49" s="67" t="n">
        <f aca="false">N49*5.1890047538</f>
        <v>16192076.3585369</v>
      </c>
      <c r="Z49" s="67" t="n">
        <f aca="false">L49*5.5017049523</f>
        <v>4889137.61170125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65"/>
      <c r="B50" s="5"/>
      <c r="C50" s="65" t="n">
        <f aca="false">C46+1</f>
        <v>2024</v>
      </c>
      <c r="D50" s="65" t="n">
        <f aca="false">D46</f>
        <v>1</v>
      </c>
      <c r="E50" s="65" t="n">
        <v>197</v>
      </c>
      <c r="F50" s="151" t="n">
        <v>22175110.7739496</v>
      </c>
      <c r="G50" s="151" t="n">
        <v>21258882.7859868</v>
      </c>
      <c r="H50" s="8" t="n">
        <f aca="false">F50-J50</f>
        <v>21531402.0643684</v>
      </c>
      <c r="I50" s="8" t="n">
        <f aca="false">G50-K50</f>
        <v>20634485.337693</v>
      </c>
      <c r="J50" s="151" t="n">
        <v>643708.709581184</v>
      </c>
      <c r="K50" s="151" t="n">
        <v>624397.448293748</v>
      </c>
      <c r="L50" s="8" t="n">
        <f aca="false">H50-I50</f>
        <v>896916.726675365</v>
      </c>
      <c r="M50" s="8" t="n">
        <f aca="false">J50-K50</f>
        <v>19311.261287436</v>
      </c>
      <c r="N50" s="151" t="n">
        <v>3812453.20505339</v>
      </c>
      <c r="O50" s="5"/>
      <c r="P50" s="5"/>
      <c r="Q50" s="8" t="n">
        <f aca="false">I50*5.5017049523</f>
        <v>113524850.170548</v>
      </c>
      <c r="R50" s="8"/>
      <c r="S50" s="8"/>
      <c r="T50" s="5"/>
      <c r="U50" s="5"/>
      <c r="V50" s="8" t="n">
        <f aca="false">K50*5.5017049523</f>
        <v>3435250.5334812</v>
      </c>
      <c r="W50" s="8" t="n">
        <f aca="false">M50*5.5017049523</f>
        <v>106244.861860246</v>
      </c>
      <c r="X50" s="8" t="n">
        <f aca="false">N50*5.1890047538+L50*5.5017049523</f>
        <v>24717409.0016126</v>
      </c>
      <c r="Y50" s="8" t="n">
        <f aca="false">N50*5.1890047538</f>
        <v>19782837.8046621</v>
      </c>
      <c r="Z50" s="8" t="n">
        <f aca="false">L50*5.5017049523</f>
        <v>4934571.19695056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3" t="n">
        <v>22428423.1205724</v>
      </c>
      <c r="G51" s="153" t="n">
        <v>21499393.8921329</v>
      </c>
      <c r="H51" s="67" t="n">
        <f aca="false">F51-J51</f>
        <v>21768261.2084653</v>
      </c>
      <c r="I51" s="67" t="n">
        <f aca="false">G51-K51</f>
        <v>20859036.837389</v>
      </c>
      <c r="J51" s="153" t="n">
        <v>660161.912107109</v>
      </c>
      <c r="K51" s="153" t="n">
        <v>640357.054743895</v>
      </c>
      <c r="L51" s="67" t="n">
        <f aca="false">H51-I51</f>
        <v>909224.371076282</v>
      </c>
      <c r="M51" s="67" t="n">
        <f aca="false">J51-K51</f>
        <v>19804.857363214</v>
      </c>
      <c r="N51" s="153" t="n">
        <v>3218481.85955248</v>
      </c>
      <c r="O51" s="7"/>
      <c r="P51" s="7"/>
      <c r="Q51" s="67" t="n">
        <f aca="false">I51*5.5017049523</f>
        <v>114760266.268471</v>
      </c>
      <c r="R51" s="67"/>
      <c r="S51" s="67"/>
      <c r="T51" s="7"/>
      <c r="U51" s="7"/>
      <c r="V51" s="67" t="n">
        <f aca="false">K51*5.5017049523</f>
        <v>3523055.57932473</v>
      </c>
      <c r="W51" s="67" t="n">
        <f aca="false">M51*5.5017049523</f>
        <v>108960.48183479</v>
      </c>
      <c r="X51" s="67" t="n">
        <f aca="false">N51*5.1890047538+L51*5.5017049523</f>
        <v>21703001.8943391</v>
      </c>
      <c r="Y51" s="67" t="n">
        <f aca="false">N51*5.1890047538</f>
        <v>16700717.6692369</v>
      </c>
      <c r="Z51" s="67" t="n">
        <f aca="false">L51*5.5017049523</f>
        <v>5002284.22510223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3" t="n">
        <v>22751905.0268751</v>
      </c>
      <c r="G52" s="153" t="n">
        <v>21806901.2278669</v>
      </c>
      <c r="H52" s="67" t="n">
        <f aca="false">F52-J52</f>
        <v>22059048.3987642</v>
      </c>
      <c r="I52" s="67" t="n">
        <f aca="false">G52-K52</f>
        <v>21134830.2985993</v>
      </c>
      <c r="J52" s="153" t="n">
        <v>692856.628110919</v>
      </c>
      <c r="K52" s="153" t="n">
        <v>672070.929267591</v>
      </c>
      <c r="L52" s="67" t="n">
        <f aca="false">H52-I52</f>
        <v>924218.100164875</v>
      </c>
      <c r="M52" s="67" t="n">
        <f aca="false">J52-K52</f>
        <v>20785.698843328</v>
      </c>
      <c r="N52" s="153" t="n">
        <v>3193674.60462331</v>
      </c>
      <c r="O52" s="7"/>
      <c r="P52" s="7"/>
      <c r="Q52" s="67" t="n">
        <f aca="false">I52*5.5017049523</f>
        <v>116277600.519824</v>
      </c>
      <c r="R52" s="67"/>
      <c r="S52" s="67"/>
      <c r="T52" s="7"/>
      <c r="U52" s="7"/>
      <c r="V52" s="67" t="n">
        <f aca="false">K52*5.5017049523</f>
        <v>3697535.95984837</v>
      </c>
      <c r="W52" s="67" t="n">
        <f aca="false">M52*5.5017049523</f>
        <v>114356.782263354</v>
      </c>
      <c r="X52" s="67" t="n">
        <f aca="false">N52*5.1890047538+L52*5.5017049523</f>
        <v>21656768.0041631</v>
      </c>
      <c r="Y52" s="67" t="n">
        <f aca="false">N52*5.1890047538</f>
        <v>16571992.7054807</v>
      </c>
      <c r="Z52" s="67" t="n">
        <f aca="false">L52*5.5017049523</f>
        <v>5084775.29868239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3" t="n">
        <v>22875711.0775443</v>
      </c>
      <c r="G53" s="153" t="n">
        <v>21924411.5011527</v>
      </c>
      <c r="H53" s="67" t="n">
        <f aca="false">F53-J53</f>
        <v>22119138.4731043</v>
      </c>
      <c r="I53" s="67" t="n">
        <f aca="false">G53-K53</f>
        <v>21190536.0748459</v>
      </c>
      <c r="J53" s="153" t="n">
        <v>756572.604440042</v>
      </c>
      <c r="K53" s="153" t="n">
        <v>733875.426306841</v>
      </c>
      <c r="L53" s="67" t="n">
        <f aca="false">H53-I53</f>
        <v>928602.398258399</v>
      </c>
      <c r="M53" s="67" t="n">
        <f aca="false">J53-K53</f>
        <v>22697.1781332011</v>
      </c>
      <c r="N53" s="153" t="n">
        <v>3161916.60870302</v>
      </c>
      <c r="O53" s="7"/>
      <c r="P53" s="7"/>
      <c r="Q53" s="67" t="n">
        <f aca="false">I53*5.5017049523</f>
        <v>116584077.264871</v>
      </c>
      <c r="R53" s="67"/>
      <c r="S53" s="67"/>
      <c r="T53" s="7"/>
      <c r="U53" s="7"/>
      <c r="V53" s="67" t="n">
        <f aca="false">K53*5.5017049523</f>
        <v>4037566.06728362</v>
      </c>
      <c r="W53" s="67" t="n">
        <f aca="false">M53*5.5017049523</f>
        <v>124873.177338668</v>
      </c>
      <c r="X53" s="67" t="n">
        <f aca="false">N53*5.1890047538+L53*5.5017049523</f>
        <v>21516096.726895</v>
      </c>
      <c r="Y53" s="67" t="n">
        <f aca="false">N53*5.1890047538</f>
        <v>16407200.3136791</v>
      </c>
      <c r="Z53" s="67" t="n">
        <f aca="false">L53*5.5017049523</f>
        <v>5108896.41321589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65"/>
      <c r="B54" s="5"/>
      <c r="C54" s="65" t="n">
        <f aca="false">C50+1</f>
        <v>2025</v>
      </c>
      <c r="D54" s="65" t="n">
        <f aca="false">D50</f>
        <v>1</v>
      </c>
      <c r="E54" s="65" t="n">
        <v>201</v>
      </c>
      <c r="F54" s="151" t="n">
        <v>23055621.2048665</v>
      </c>
      <c r="G54" s="151" t="n">
        <v>22095038.8337859</v>
      </c>
      <c r="H54" s="8" t="n">
        <f aca="false">F54-J54</f>
        <v>22232854.4265216</v>
      </c>
      <c r="I54" s="8" t="n">
        <f aca="false">G54-K54</f>
        <v>21296955.0587913</v>
      </c>
      <c r="J54" s="151" t="n">
        <v>822766.778344941</v>
      </c>
      <c r="K54" s="151" t="n">
        <v>798083.774994593</v>
      </c>
      <c r="L54" s="8" t="n">
        <f aca="false">H54-I54</f>
        <v>935899.367730253</v>
      </c>
      <c r="M54" s="8" t="n">
        <f aca="false">J54-K54</f>
        <v>24683.003350348</v>
      </c>
      <c r="N54" s="151" t="n">
        <v>3827109.82968829</v>
      </c>
      <c r="O54" s="5"/>
      <c r="P54" s="5"/>
      <c r="Q54" s="8" t="n">
        <f aca="false">I54*5.5017049523</f>
        <v>117169563.115863</v>
      </c>
      <c r="R54" s="8"/>
      <c r="S54" s="8"/>
      <c r="T54" s="5"/>
      <c r="U54" s="5"/>
      <c r="V54" s="8" t="n">
        <f aca="false">K54*5.5017049523</f>
        <v>4390821.45723803</v>
      </c>
      <c r="W54" s="8" t="n">
        <f aca="false">M54*5.5017049523</f>
        <v>135798.601770247</v>
      </c>
      <c r="X54" s="8" t="n">
        <f aca="false">N54*5.1890047538+L54*5.5017049523</f>
        <v>25007933.2858632</v>
      </c>
      <c r="Y54" s="8" t="n">
        <f aca="false">N54*5.1890047538</f>
        <v>19858891.0995672</v>
      </c>
      <c r="Z54" s="8" t="n">
        <f aca="false">L54*5.5017049523</f>
        <v>5149042.18629597</v>
      </c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3" t="n">
        <v>23239891.9207275</v>
      </c>
      <c r="G55" s="153" t="n">
        <v>22271119.4589944</v>
      </c>
      <c r="H55" s="67" t="n">
        <f aca="false">F55-J55</f>
        <v>22311155.5980518</v>
      </c>
      <c r="I55" s="67" t="n">
        <f aca="false">G55-K55</f>
        <v>21370245.2259989</v>
      </c>
      <c r="J55" s="153" t="n">
        <v>928736.322675739</v>
      </c>
      <c r="K55" s="153" t="n">
        <v>900874.232995467</v>
      </c>
      <c r="L55" s="67" t="n">
        <f aca="false">H55-I55</f>
        <v>940910.372052826</v>
      </c>
      <c r="M55" s="67" t="n">
        <f aca="false">J55-K55</f>
        <v>27862.0896802719</v>
      </c>
      <c r="N55" s="153" t="n">
        <v>3138372.2693302</v>
      </c>
      <c r="O55" s="7"/>
      <c r="P55" s="7"/>
      <c r="Q55" s="67" t="n">
        <f aca="false">I55*5.5017049523</f>
        <v>117572783.991744</v>
      </c>
      <c r="R55" s="67"/>
      <c r="S55" s="67"/>
      <c r="T55" s="7"/>
      <c r="U55" s="7"/>
      <c r="V55" s="67" t="n">
        <f aca="false">K55*5.5017049523</f>
        <v>4956344.22907063</v>
      </c>
      <c r="W55" s="67" t="n">
        <f aca="false">M55*5.5017049523</f>
        <v>153288.996775379</v>
      </c>
      <c r="X55" s="67" t="n">
        <f aca="false">N55*5.1890047538+L55*5.5017049523</f>
        <v>21461639.878342</v>
      </c>
      <c r="Y55" s="67" t="n">
        <f aca="false">N55*5.1890047538</f>
        <v>16285028.6247485</v>
      </c>
      <c r="Z55" s="67" t="n">
        <f aca="false">L55*5.5017049523</f>
        <v>5176611.25359347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3" t="n">
        <v>23487760.8811795</v>
      </c>
      <c r="G56" s="153" t="n">
        <v>22506910.0235683</v>
      </c>
      <c r="H56" s="67" t="n">
        <f aca="false">F56-J56</f>
        <v>22509508.2440195</v>
      </c>
      <c r="I56" s="67" t="n">
        <f aca="false">G56-K56</f>
        <v>21558004.9655231</v>
      </c>
      <c r="J56" s="153" t="n">
        <v>978252.637160034</v>
      </c>
      <c r="K56" s="153" t="n">
        <v>948905.058045233</v>
      </c>
      <c r="L56" s="67" t="n">
        <f aca="false">H56-I56</f>
        <v>951503.278496403</v>
      </c>
      <c r="M56" s="67" t="n">
        <f aca="false">J56-K56</f>
        <v>29347.579114801</v>
      </c>
      <c r="N56" s="153" t="n">
        <v>3159536.00144545</v>
      </c>
      <c r="O56" s="7"/>
      <c r="P56" s="7"/>
      <c r="Q56" s="67" t="n">
        <f aca="false">I56*5.5017049523</f>
        <v>118605782.680526</v>
      </c>
      <c r="R56" s="67"/>
      <c r="S56" s="67"/>
      <c r="T56" s="7"/>
      <c r="U56" s="7"/>
      <c r="V56" s="67" t="n">
        <f aca="false">K56*5.5017049523</f>
        <v>5220595.65710998</v>
      </c>
      <c r="W56" s="67" t="n">
        <f aca="false">M56*5.5017049523</f>
        <v>161461.721353917</v>
      </c>
      <c r="X56" s="67" t="n">
        <f aca="false">N56*5.1890047538+L56*5.5017049523</f>
        <v>21629737.630736</v>
      </c>
      <c r="Y56" s="67" t="n">
        <f aca="false">N56*5.1890047538</f>
        <v>16394847.3313027</v>
      </c>
      <c r="Z56" s="67" t="n">
        <f aca="false">L56*5.5017049523</f>
        <v>5234890.29943335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3" t="n">
        <v>23661360.8587281</v>
      </c>
      <c r="G57" s="153" t="n">
        <v>22671907.6361419</v>
      </c>
      <c r="H57" s="67" t="n">
        <f aca="false">F57-J57</f>
        <v>22603113.7874575</v>
      </c>
      <c r="I57" s="67" t="n">
        <f aca="false">G57-K57</f>
        <v>21645407.9770094</v>
      </c>
      <c r="J57" s="153" t="n">
        <v>1058247.07127065</v>
      </c>
      <c r="K57" s="153" t="n">
        <v>1026499.65913253</v>
      </c>
      <c r="L57" s="67" t="n">
        <f aca="false">H57-I57</f>
        <v>957705.81044808</v>
      </c>
      <c r="M57" s="67" t="n">
        <f aca="false">J57-K57</f>
        <v>31747.41213812</v>
      </c>
      <c r="N57" s="153" t="n">
        <v>3140327.72471774</v>
      </c>
      <c r="O57" s="7"/>
      <c r="P57" s="7"/>
      <c r="Q57" s="67" t="n">
        <f aca="false">I57*5.5017049523</f>
        <v>119086648.261666</v>
      </c>
      <c r="R57" s="67"/>
      <c r="S57" s="67"/>
      <c r="T57" s="7"/>
      <c r="U57" s="7"/>
      <c r="V57" s="67" t="n">
        <f aca="false">K57*5.5017049523</f>
        <v>5647498.2581837</v>
      </c>
      <c r="W57" s="67" t="n">
        <f aca="false">M57*5.5017049523</f>
        <v>174664.894583004</v>
      </c>
      <c r="X57" s="67" t="n">
        <f aca="false">N57*5.1890047538+L57*5.5017049523</f>
        <v>21564190.292239</v>
      </c>
      <c r="Y57" s="67" t="n">
        <f aca="false">N57*5.1890047538</f>
        <v>16295175.4920503</v>
      </c>
      <c r="Z57" s="67" t="n">
        <f aca="false">L57*5.5017049523</f>
        <v>5269014.80018869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65"/>
      <c r="B58" s="5"/>
      <c r="C58" s="65" t="n">
        <f aca="false">C54+1</f>
        <v>2026</v>
      </c>
      <c r="D58" s="65" t="n">
        <f aca="false">D54</f>
        <v>1</v>
      </c>
      <c r="E58" s="65" t="n">
        <v>205</v>
      </c>
      <c r="F58" s="151" t="n">
        <v>23830064.4605334</v>
      </c>
      <c r="G58" s="151" t="n">
        <v>22833230.5781177</v>
      </c>
      <c r="H58" s="8" t="n">
        <f aca="false">F58-J58</f>
        <v>22654879.6295351</v>
      </c>
      <c r="I58" s="8" t="n">
        <f aca="false">G58-K58</f>
        <v>21693301.2920493</v>
      </c>
      <c r="J58" s="151" t="n">
        <v>1175184.83099832</v>
      </c>
      <c r="K58" s="151" t="n">
        <v>1139929.28606837</v>
      </c>
      <c r="L58" s="8" t="n">
        <f aca="false">H58-I58</f>
        <v>961578.337485749</v>
      </c>
      <c r="M58" s="8" t="n">
        <f aca="false">J58-K58</f>
        <v>35255.5449299498</v>
      </c>
      <c r="N58" s="151" t="n">
        <v>3844838.5967539</v>
      </c>
      <c r="O58" s="5"/>
      <c r="P58" s="5"/>
      <c r="Q58" s="8" t="n">
        <f aca="false">I58*5.5017049523</f>
        <v>119350143.150204</v>
      </c>
      <c r="R58" s="8"/>
      <c r="S58" s="8"/>
      <c r="T58" s="5"/>
      <c r="U58" s="5"/>
      <c r="V58" s="8" t="n">
        <f aca="false">K58*5.5017049523</f>
        <v>6271554.59843416</v>
      </c>
      <c r="W58" s="8" t="n">
        <f aca="false">M58*5.5017049523</f>
        <v>193965.60613714</v>
      </c>
      <c r="X58" s="8" t="n">
        <f aca="false">N58*5.1890047538+L58*5.5017049523</f>
        <v>25241206.0575195</v>
      </c>
      <c r="Y58" s="8" t="n">
        <f aca="false">N58*5.1890047538</f>
        <v>19950885.7561497</v>
      </c>
      <c r="Z58" s="8" t="n">
        <f aca="false">L58*5.5017049523</f>
        <v>5290320.30136975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3" t="n">
        <v>24216937.5862233</v>
      </c>
      <c r="G59" s="153" t="n">
        <v>23201673.0726033</v>
      </c>
      <c r="H59" s="67" t="n">
        <f aca="false">F59-J59</f>
        <v>22968503.8091608</v>
      </c>
      <c r="I59" s="67" t="n">
        <f aca="false">G59-K59</f>
        <v>21990692.3088527</v>
      </c>
      <c r="J59" s="153" t="n">
        <v>1248433.77706249</v>
      </c>
      <c r="K59" s="153" t="n">
        <v>1210980.76375062</v>
      </c>
      <c r="L59" s="67" t="n">
        <f aca="false">H59-I59</f>
        <v>977811.50030813</v>
      </c>
      <c r="M59" s="67" t="n">
        <f aca="false">J59-K59</f>
        <v>37453.0133118699</v>
      </c>
      <c r="N59" s="153" t="n">
        <v>3145081.68157752</v>
      </c>
      <c r="O59" s="7"/>
      <c r="P59" s="7"/>
      <c r="Q59" s="67" t="n">
        <f aca="false">I59*5.5017049523</f>
        <v>120986300.78012</v>
      </c>
      <c r="R59" s="67"/>
      <c r="S59" s="67"/>
      <c r="T59" s="7"/>
      <c r="U59" s="7"/>
      <c r="V59" s="67" t="n">
        <f aca="false">K59*5.5017049523</f>
        <v>6662458.86506682</v>
      </c>
      <c r="W59" s="67" t="n">
        <f aca="false">M59*5.5017049523</f>
        <v>206055.428816473</v>
      </c>
      <c r="X59" s="67" t="n">
        <f aca="false">N59*5.1890047538+L59*5.5017049523</f>
        <v>21699474.1704562</v>
      </c>
      <c r="Y59" s="67" t="n">
        <f aca="false">N59*5.1890047538</f>
        <v>16319843.7967951</v>
      </c>
      <c r="Z59" s="67" t="n">
        <f aca="false">L59*5.5017049523</f>
        <v>5379630.37366113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3" t="n">
        <v>24527233.0888737</v>
      </c>
      <c r="G60" s="153" t="n">
        <v>23498026.2732519</v>
      </c>
      <c r="H60" s="67" t="n">
        <f aca="false">F60-J60</f>
        <v>23213032.5959337</v>
      </c>
      <c r="I60" s="67" t="n">
        <f aca="false">G60-K60</f>
        <v>22223251.7951001</v>
      </c>
      <c r="J60" s="153" t="n">
        <v>1314200.49294001</v>
      </c>
      <c r="K60" s="153" t="n">
        <v>1274774.47815181</v>
      </c>
      <c r="L60" s="67" t="n">
        <f aca="false">H60-I60</f>
        <v>989780.800833602</v>
      </c>
      <c r="M60" s="67" t="n">
        <f aca="false">J60-K60</f>
        <v>39426.0147882001</v>
      </c>
      <c r="N60" s="153" t="n">
        <v>3176107.44924585</v>
      </c>
      <c r="O60" s="7"/>
      <c r="P60" s="7"/>
      <c r="Q60" s="67" t="n">
        <f aca="false">I60*5.5017049523</f>
        <v>122265774.457312</v>
      </c>
      <c r="R60" s="67"/>
      <c r="S60" s="67"/>
      <c r="T60" s="7"/>
      <c r="U60" s="7"/>
      <c r="V60" s="67" t="n">
        <f aca="false">K60*5.5017049523</f>
        <v>7013433.05951346</v>
      </c>
      <c r="W60" s="67" t="n">
        <f aca="false">M60*5.5017049523</f>
        <v>216910.300809694</v>
      </c>
      <c r="X60" s="67" t="n">
        <f aca="false">N60*5.1890047538+L60*5.5017049523</f>
        <v>21926318.586354</v>
      </c>
      <c r="Y60" s="67" t="n">
        <f aca="false">N60*5.1890047538</f>
        <v>16480836.6527163</v>
      </c>
      <c r="Z60" s="67" t="n">
        <f aca="false">L60*5.5017049523</f>
        <v>5445481.93363769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3" t="n">
        <v>24661079.8613371</v>
      </c>
      <c r="G61" s="153" t="n">
        <v>23625356.2883945</v>
      </c>
      <c r="H61" s="67" t="n">
        <f aca="false">F61-J61</f>
        <v>23272536.0983062</v>
      </c>
      <c r="I61" s="67" t="n">
        <f aca="false">G61-K61</f>
        <v>22278468.8382545</v>
      </c>
      <c r="J61" s="153" t="n">
        <v>1388543.76303088</v>
      </c>
      <c r="K61" s="153" t="n">
        <v>1346887.45013995</v>
      </c>
      <c r="L61" s="67" t="n">
        <f aca="false">H61-I61</f>
        <v>994067.260051672</v>
      </c>
      <c r="M61" s="67" t="n">
        <f aca="false">J61-K61</f>
        <v>41656.3128909299</v>
      </c>
      <c r="N61" s="153" t="n">
        <v>3178302.18048104</v>
      </c>
      <c r="O61" s="7"/>
      <c r="P61" s="7"/>
      <c r="Q61" s="67" t="n">
        <f aca="false">I61*5.5017049523</f>
        <v>122569562.337086</v>
      </c>
      <c r="R61" s="67"/>
      <c r="S61" s="67"/>
      <c r="T61" s="7"/>
      <c r="U61" s="7"/>
      <c r="V61" s="67" t="n">
        <f aca="false">K61*5.5017049523</f>
        <v>7410177.35462568</v>
      </c>
      <c r="W61" s="67" t="n">
        <f aca="false">M61*5.5017049523</f>
        <v>229180.742926587</v>
      </c>
      <c r="X61" s="67" t="n">
        <f aca="false">N61*5.1890047538+L61*5.5017049523</f>
        <v>21961289.8910746</v>
      </c>
      <c r="Y61" s="67" t="n">
        <f aca="false">N61*5.1890047538</f>
        <v>16492225.123529</v>
      </c>
      <c r="Z61" s="67" t="n">
        <f aca="false">L61*5.5017049523</f>
        <v>5469064.76754557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65"/>
      <c r="B62" s="5"/>
      <c r="C62" s="65" t="n">
        <f aca="false">C58+1</f>
        <v>2027</v>
      </c>
      <c r="D62" s="65" t="n">
        <f aca="false">D58</f>
        <v>1</v>
      </c>
      <c r="E62" s="65" t="n">
        <v>209</v>
      </c>
      <c r="F62" s="151" t="n">
        <v>24737519.5544241</v>
      </c>
      <c r="G62" s="151" t="n">
        <v>23698232.1557372</v>
      </c>
      <c r="H62" s="8" t="n">
        <f aca="false">F62-J62</f>
        <v>23309276.4682988</v>
      </c>
      <c r="I62" s="8" t="n">
        <f aca="false">G62-K62</f>
        <v>22312836.3621957</v>
      </c>
      <c r="J62" s="151" t="n">
        <v>1428243.08612525</v>
      </c>
      <c r="K62" s="151" t="n">
        <v>1385395.79354149</v>
      </c>
      <c r="L62" s="8" t="n">
        <f aca="false">H62-I62</f>
        <v>996440.106103141</v>
      </c>
      <c r="M62" s="8" t="n">
        <f aca="false">J62-K62</f>
        <v>42847.2925837599</v>
      </c>
      <c r="N62" s="151" t="n">
        <v>3851628.75935266</v>
      </c>
      <c r="O62" s="5"/>
      <c r="P62" s="5"/>
      <c r="Q62" s="8" t="n">
        <f aca="false">I62*5.5017049523</f>
        <v>122758642.313752</v>
      </c>
      <c r="R62" s="8"/>
      <c r="S62" s="8"/>
      <c r="T62" s="5"/>
      <c r="U62" s="5"/>
      <c r="V62" s="8" t="n">
        <f aca="false">K62*5.5017049523</f>
        <v>7622038.8982228</v>
      </c>
      <c r="W62" s="8" t="n">
        <f aca="false">M62*5.5017049523</f>
        <v>235733.161800719</v>
      </c>
      <c r="X62" s="8" t="n">
        <f aca="false">N62*5.1890047538+L62*5.5017049523</f>
        <v>25468239.4085717</v>
      </c>
      <c r="Y62" s="8" t="n">
        <f aca="false">N62*5.1890047538</f>
        <v>19986119.9421537</v>
      </c>
      <c r="Z62" s="8" t="n">
        <f aca="false">L62*5.5017049523</f>
        <v>5482119.46641799</v>
      </c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3" t="n">
        <v>24784779.9603213</v>
      </c>
      <c r="G63" s="153" t="n">
        <v>23743014.8334216</v>
      </c>
      <c r="H63" s="67" t="n">
        <f aca="false">F63-J63</f>
        <v>23302395.7157484</v>
      </c>
      <c r="I63" s="67" t="n">
        <f aca="false">G63-K63</f>
        <v>22305102.1161859</v>
      </c>
      <c r="J63" s="153" t="n">
        <v>1482384.24457292</v>
      </c>
      <c r="K63" s="153" t="n">
        <v>1437912.71723573</v>
      </c>
      <c r="L63" s="67" t="n">
        <f aca="false">H63-I63</f>
        <v>997293.599562511</v>
      </c>
      <c r="M63" s="67" t="n">
        <f aca="false">J63-K63</f>
        <v>44471.52733719</v>
      </c>
      <c r="N63" s="153" t="n">
        <v>3115698.50557294</v>
      </c>
      <c r="O63" s="7"/>
      <c r="P63" s="7"/>
      <c r="Q63" s="67" t="n">
        <f aca="false">I63*5.5017049523</f>
        <v>122716090.774177</v>
      </c>
      <c r="R63" s="67"/>
      <c r="S63" s="67"/>
      <c r="T63" s="7"/>
      <c r="U63" s="7"/>
      <c r="V63" s="67" t="n">
        <f aca="false">K63*5.5017049523</f>
        <v>7910971.51739097</v>
      </c>
      <c r="W63" s="67" t="n">
        <f aca="false">M63*5.5017049523</f>
        <v>244669.222187363</v>
      </c>
      <c r="X63" s="67" t="n">
        <f aca="false">N63*5.1890047538+L63*5.5017049523</f>
        <v>21654189.4924357</v>
      </c>
      <c r="Y63" s="67" t="n">
        <f aca="false">N63*5.1890047538</f>
        <v>16167374.3568255</v>
      </c>
      <c r="Z63" s="67" t="n">
        <f aca="false">L63*5.5017049523</f>
        <v>5486815.13561016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3" t="n">
        <v>24937312.4498707</v>
      </c>
      <c r="G64" s="153" t="n">
        <v>23887814.3588606</v>
      </c>
      <c r="H64" s="67" t="n">
        <f aca="false">F64-J64</f>
        <v>23379962.9572069</v>
      </c>
      <c r="I64" s="67" t="n">
        <f aca="false">G64-K64</f>
        <v>22377185.3509767</v>
      </c>
      <c r="J64" s="153" t="n">
        <v>1557349.49266382</v>
      </c>
      <c r="K64" s="153" t="n">
        <v>1510629.00788391</v>
      </c>
      <c r="L64" s="67" t="n">
        <f aca="false">H64-I64</f>
        <v>1002777.60623019</v>
      </c>
      <c r="M64" s="67" t="n">
        <f aca="false">J64-K64</f>
        <v>46720.48477991</v>
      </c>
      <c r="N64" s="153" t="n">
        <v>3110471.98485456</v>
      </c>
      <c r="O64" s="7"/>
      <c r="P64" s="7"/>
      <c r="Q64" s="67" t="n">
        <f aca="false">I64*5.5017049523</f>
        <v>123112671.464003</v>
      </c>
      <c r="R64" s="67"/>
      <c r="S64" s="67"/>
      <c r="T64" s="7"/>
      <c r="U64" s="7"/>
      <c r="V64" s="67" t="n">
        <f aca="false">K64*5.5017049523</f>
        <v>8311035.09376294</v>
      </c>
      <c r="W64" s="67" t="n">
        <f aca="false">M64*5.5017049523</f>
        <v>257042.322487487</v>
      </c>
      <c r="X64" s="67" t="n">
        <f aca="false">N64*5.1890047538+L64*5.5017049523</f>
        <v>21657240.4382242</v>
      </c>
      <c r="Y64" s="67" t="n">
        <f aca="false">N64*5.1890047538</f>
        <v>16140253.915972</v>
      </c>
      <c r="Z64" s="67" t="n">
        <f aca="false">L64*5.5017049523</f>
        <v>5516986.52225217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3" t="n">
        <v>25104785.3098334</v>
      </c>
      <c r="G65" s="153" t="n">
        <v>24046914.3336569</v>
      </c>
      <c r="H65" s="67" t="n">
        <f aca="false">F65-J65</f>
        <v>23425276.6889688</v>
      </c>
      <c r="I65" s="67" t="n">
        <f aca="false">G65-K65</f>
        <v>22417790.9714182</v>
      </c>
      <c r="J65" s="153" t="n">
        <v>1679508.6208646</v>
      </c>
      <c r="K65" s="153" t="n">
        <v>1629123.36223866</v>
      </c>
      <c r="L65" s="67" t="n">
        <f aca="false">H65-I65</f>
        <v>1007485.71755056</v>
      </c>
      <c r="M65" s="67" t="n">
        <f aca="false">J65-K65</f>
        <v>50385.25862594</v>
      </c>
      <c r="N65" s="153" t="n">
        <v>3063345.44172959</v>
      </c>
      <c r="O65" s="7"/>
      <c r="P65" s="7"/>
      <c r="Q65" s="67" t="n">
        <f aca="false">I65*5.5017049523</f>
        <v>123336071.607078</v>
      </c>
      <c r="R65" s="67"/>
      <c r="S65" s="67"/>
      <c r="T65" s="7"/>
      <c r="U65" s="7"/>
      <c r="V65" s="67" t="n">
        <f aca="false">K65*5.5017049523</f>
        <v>8962956.06993606</v>
      </c>
      <c r="W65" s="67" t="n">
        <f aca="false">M65*5.5017049523</f>
        <v>277204.82690525</v>
      </c>
      <c r="X65" s="67" t="n">
        <f aca="false">N65*5.1890047538+L65*5.5017049523</f>
        <v>21438603.2212858</v>
      </c>
      <c r="Y65" s="67" t="n">
        <f aca="false">N65*5.1890047538</f>
        <v>15895714.0596664</v>
      </c>
      <c r="Z65" s="67" t="n">
        <f aca="false">L65*5.5017049523</f>
        <v>5542889.16161944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65"/>
      <c r="B66" s="5"/>
      <c r="C66" s="65" t="n">
        <f aca="false">C62+1</f>
        <v>2028</v>
      </c>
      <c r="D66" s="65" t="n">
        <f aca="false">D62</f>
        <v>1</v>
      </c>
      <c r="E66" s="65" t="n">
        <v>213</v>
      </c>
      <c r="F66" s="151" t="n">
        <v>25327592.6356086</v>
      </c>
      <c r="G66" s="151" t="n">
        <v>24259271.9528318</v>
      </c>
      <c r="H66" s="8" t="n">
        <f aca="false">F66-J66</f>
        <v>23556418.760501</v>
      </c>
      <c r="I66" s="8" t="n">
        <f aca="false">G66-K66</f>
        <v>22541233.2939774</v>
      </c>
      <c r="J66" s="151" t="n">
        <v>1771173.87510762</v>
      </c>
      <c r="K66" s="151" t="n">
        <v>1718038.65885439</v>
      </c>
      <c r="L66" s="8" t="n">
        <f aca="false">H66-I66</f>
        <v>1015185.46652357</v>
      </c>
      <c r="M66" s="8" t="n">
        <f aca="false">J66-K66</f>
        <v>53135.2162532299</v>
      </c>
      <c r="N66" s="151" t="n">
        <v>3760201.27508349</v>
      </c>
      <c r="O66" s="5"/>
      <c r="P66" s="5"/>
      <c r="Q66" s="8" t="n">
        <f aca="false">I66*5.5017049523</f>
        <v>124015214.844425</v>
      </c>
      <c r="R66" s="8"/>
      <c r="S66" s="8"/>
      <c r="T66" s="5"/>
      <c r="U66" s="5"/>
      <c r="V66" s="8" t="n">
        <f aca="false">K66*5.5017049523</f>
        <v>9452141.79766205</v>
      </c>
      <c r="W66" s="8" t="n">
        <f aca="false">M66*5.5017049523</f>
        <v>292334.282401926</v>
      </c>
      <c r="X66" s="8" t="n">
        <f aca="false">N66*5.1890047538+L66*5.5017049523</f>
        <v>25096953.2003288</v>
      </c>
      <c r="Y66" s="8" t="n">
        <f aca="false">N66*5.1890047538</f>
        <v>19511702.2916531</v>
      </c>
      <c r="Z66" s="8" t="n">
        <f aca="false">L66*5.5017049523</f>
        <v>5585250.90867571</v>
      </c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3" t="n">
        <v>25522155.6081587</v>
      </c>
      <c r="G67" s="153" t="n">
        <v>24444361.2521258</v>
      </c>
      <c r="H67" s="67" t="n">
        <f aca="false">F67-J67</f>
        <v>23711495.4839715</v>
      </c>
      <c r="I67" s="67" t="n">
        <f aca="false">G67-K67</f>
        <v>22688020.9316642</v>
      </c>
      <c r="J67" s="153" t="n">
        <v>1810660.12418718</v>
      </c>
      <c r="K67" s="153" t="n">
        <v>1756340.32046157</v>
      </c>
      <c r="L67" s="67" t="n">
        <f aca="false">H67-I67</f>
        <v>1023474.55230729</v>
      </c>
      <c r="M67" s="67" t="n">
        <f aca="false">J67-K67</f>
        <v>54319.80372561</v>
      </c>
      <c r="N67" s="153" t="n">
        <v>3061960.99163811</v>
      </c>
      <c r="O67" s="7"/>
      <c r="P67" s="7"/>
      <c r="Q67" s="67" t="n">
        <f aca="false">I67*5.5017049523</f>
        <v>124822797.117623</v>
      </c>
      <c r="R67" s="67"/>
      <c r="S67" s="67"/>
      <c r="T67" s="7"/>
      <c r="U67" s="7"/>
      <c r="V67" s="67" t="n">
        <f aca="false">K67*5.5017049523</f>
        <v>9662866.23900759</v>
      </c>
      <c r="W67" s="67" t="n">
        <f aca="false">M67*5.5017049523</f>
        <v>298851.533165153</v>
      </c>
      <c r="X67" s="67" t="n">
        <f aca="false">N67*5.1890047538+L67*5.5017049523</f>
        <v>21519385.1545424</v>
      </c>
      <c r="Y67" s="67" t="n">
        <f aca="false">N67*5.1890047538</f>
        <v>15888530.1415603</v>
      </c>
      <c r="Z67" s="67" t="n">
        <f aca="false">L67*5.5017049523</f>
        <v>5630855.01298206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3" t="n">
        <v>25633903.2142227</v>
      </c>
      <c r="G68" s="153" t="n">
        <v>24550938.8970661</v>
      </c>
      <c r="H68" s="67" t="n">
        <f aca="false">F68-J68</f>
        <v>23766267.793096</v>
      </c>
      <c r="I68" s="67" t="n">
        <f aca="false">G68-K68</f>
        <v>22739332.5385732</v>
      </c>
      <c r="J68" s="153" t="n">
        <v>1867635.42112668</v>
      </c>
      <c r="K68" s="153" t="n">
        <v>1811606.35849288</v>
      </c>
      <c r="L68" s="67" t="n">
        <f aca="false">H68-I68</f>
        <v>1026935.2545228</v>
      </c>
      <c r="M68" s="67" t="n">
        <f aca="false">J68-K68</f>
        <v>56029.0626338001</v>
      </c>
      <c r="N68" s="153" t="n">
        <v>3018343.63084307</v>
      </c>
      <c r="O68" s="7"/>
      <c r="P68" s="7"/>
      <c r="Q68" s="67" t="n">
        <f aca="false">I68*5.5017049523</f>
        <v>125105098.439465</v>
      </c>
      <c r="R68" s="67"/>
      <c r="S68" s="67"/>
      <c r="T68" s="7"/>
      <c r="U68" s="7"/>
      <c r="V68" s="67" t="n">
        <f aca="false">K68*5.5017049523</f>
        <v>9966923.67413845</v>
      </c>
      <c r="W68" s="67" t="n">
        <f aca="false">M68*5.5017049523</f>
        <v>308255.371365105</v>
      </c>
      <c r="X68" s="67" t="n">
        <f aca="false">N68*5.1890047538+L68*5.5017049523</f>
        <v>21312094.2245462</v>
      </c>
      <c r="Y68" s="67" t="n">
        <f aca="false">N68*5.1890047538</f>
        <v>15662199.4490466</v>
      </c>
      <c r="Z68" s="67" t="n">
        <f aca="false">L68*5.5017049523</f>
        <v>5649894.77549955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3" t="n">
        <v>25736957.4157831</v>
      </c>
      <c r="G69" s="153" t="n">
        <v>24649050.7237316</v>
      </c>
      <c r="H69" s="67" t="n">
        <f aca="false">F69-J69</f>
        <v>23778451.6965388</v>
      </c>
      <c r="I69" s="67" t="n">
        <f aca="false">G69-K69</f>
        <v>22749300.1760646</v>
      </c>
      <c r="J69" s="153" t="n">
        <v>1958505.71924435</v>
      </c>
      <c r="K69" s="153" t="n">
        <v>1899750.54766702</v>
      </c>
      <c r="L69" s="67" t="n">
        <f aca="false">H69-I69</f>
        <v>1029151.52047417</v>
      </c>
      <c r="M69" s="67" t="n">
        <f aca="false">J69-K69</f>
        <v>58755.17157733</v>
      </c>
      <c r="N69" s="153" t="n">
        <v>2979588.93037921</v>
      </c>
      <c r="O69" s="7"/>
      <c r="P69" s="7"/>
      <c r="Q69" s="67" t="n">
        <f aca="false">I69*5.5017049523</f>
        <v>125159937.440014</v>
      </c>
      <c r="R69" s="67"/>
      <c r="S69" s="67"/>
      <c r="T69" s="7"/>
      <c r="U69" s="7"/>
      <c r="V69" s="67" t="n">
        <f aca="false">K69*5.5017049523</f>
        <v>10451866.9962343</v>
      </c>
      <c r="W69" s="67" t="n">
        <f aca="false">M69*5.5017049523</f>
        <v>323253.618440233</v>
      </c>
      <c r="X69" s="67" t="n">
        <f aca="false">N69*5.1890047538+L69*5.5017049523</f>
        <v>21123189.1409674</v>
      </c>
      <c r="Y69" s="67" t="n">
        <f aca="false">N69*5.1890047538</f>
        <v>15461101.1241076</v>
      </c>
      <c r="Z69" s="67" t="n">
        <f aca="false">L69*5.5017049523</f>
        <v>5662088.01685981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65"/>
      <c r="B70" s="5"/>
      <c r="C70" s="65" t="n">
        <f aca="false">C66+1</f>
        <v>2029</v>
      </c>
      <c r="D70" s="65" t="n">
        <f aca="false">D66</f>
        <v>1</v>
      </c>
      <c r="E70" s="65" t="n">
        <v>217</v>
      </c>
      <c r="F70" s="151" t="n">
        <v>25894372.2333393</v>
      </c>
      <c r="G70" s="151" t="n">
        <v>24799479.1468566</v>
      </c>
      <c r="H70" s="8" t="n">
        <f aca="false">F70-J70</f>
        <v>23872606.8071653</v>
      </c>
      <c r="I70" s="8" t="n">
        <f aca="false">G70-K70</f>
        <v>22838366.6834678</v>
      </c>
      <c r="J70" s="151" t="n">
        <v>2021765.42617399</v>
      </c>
      <c r="K70" s="151" t="n">
        <v>1961112.46338877</v>
      </c>
      <c r="L70" s="8" t="n">
        <f aca="false">H70-I70</f>
        <v>1034240.12369748</v>
      </c>
      <c r="M70" s="8" t="n">
        <f aca="false">J70-K70</f>
        <v>60652.96278522</v>
      </c>
      <c r="N70" s="151" t="n">
        <v>3653847.73556262</v>
      </c>
      <c r="O70" s="5"/>
      <c r="P70" s="5"/>
      <c r="Q70" s="8" t="n">
        <f aca="false">I70*5.5017049523</f>
        <v>125649955.084878</v>
      </c>
      <c r="R70" s="8"/>
      <c r="S70" s="8"/>
      <c r="T70" s="5"/>
      <c r="U70" s="5"/>
      <c r="V70" s="8" t="n">
        <f aca="false">K70*5.5017049523</f>
        <v>10789462.1518432</v>
      </c>
      <c r="W70" s="8" t="n">
        <f aca="false">M70*5.5017049523</f>
        <v>333694.705727112</v>
      </c>
      <c r="X70" s="8" t="n">
        <f aca="false">N70*5.1890047538+L70*5.5017049523</f>
        <v>24649917.2799096</v>
      </c>
      <c r="Y70" s="8" t="n">
        <f aca="false">N70*5.1890047538</f>
        <v>18959833.2694958</v>
      </c>
      <c r="Z70" s="8" t="n">
        <f aca="false">L70*5.5017049523</f>
        <v>5690084.0104138</v>
      </c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3" t="n">
        <v>25972936.0593493</v>
      </c>
      <c r="G71" s="153" t="n">
        <v>24874848.6302928</v>
      </c>
      <c r="H71" s="67" t="n">
        <f aca="false">F71-J71</f>
        <v>23893537.7977824</v>
      </c>
      <c r="I71" s="67" t="n">
        <f aca="false">G71-K71</f>
        <v>22857832.3165729</v>
      </c>
      <c r="J71" s="153" t="n">
        <v>2079398.26156694</v>
      </c>
      <c r="K71" s="153" t="n">
        <v>2017016.31371993</v>
      </c>
      <c r="L71" s="67" t="n">
        <f aca="false">H71-I71</f>
        <v>1035705.48120949</v>
      </c>
      <c r="M71" s="67" t="n">
        <f aca="false">J71-K71</f>
        <v>62381.9478470101</v>
      </c>
      <c r="N71" s="153" t="n">
        <v>2940631.70607587</v>
      </c>
      <c r="O71" s="7"/>
      <c r="P71" s="7"/>
      <c r="Q71" s="67" t="n">
        <f aca="false">I71*5.5017049523</f>
        <v>125757049.254932</v>
      </c>
      <c r="R71" s="67"/>
      <c r="S71" s="67"/>
      <c r="T71" s="7"/>
      <c r="U71" s="7"/>
      <c r="V71" s="67" t="n">
        <f aca="false">K71*5.5017049523</f>
        <v>11097028.6420628</v>
      </c>
      <c r="W71" s="67" t="n">
        <f aca="false">M71*5.5017049523</f>
        <v>343207.071404016</v>
      </c>
      <c r="X71" s="67" t="n">
        <f aca="false">N71*5.1890047538+L71*5.5017049523</f>
        <v>20957097.8770972</v>
      </c>
      <c r="Y71" s="67" t="n">
        <f aca="false">N71*5.1890047538</f>
        <v>15258951.9020027</v>
      </c>
      <c r="Z71" s="67" t="n">
        <f aca="false">L71*5.5017049523</f>
        <v>5698145.97509449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3" t="n">
        <v>26042008.1435922</v>
      </c>
      <c r="G72" s="153" t="n">
        <v>24940354.3605583</v>
      </c>
      <c r="H72" s="67" t="n">
        <f aca="false">F72-J72</f>
        <v>23923062.2321945</v>
      </c>
      <c r="I72" s="67" t="n">
        <f aca="false">G72-K72</f>
        <v>22884976.8265025</v>
      </c>
      <c r="J72" s="153" t="n">
        <v>2118945.91139775</v>
      </c>
      <c r="K72" s="153" t="n">
        <v>2055377.53405582</v>
      </c>
      <c r="L72" s="67" t="n">
        <f aca="false">H72-I72</f>
        <v>1038085.40569197</v>
      </c>
      <c r="M72" s="67" t="n">
        <f aca="false">J72-K72</f>
        <v>63568.3773419301</v>
      </c>
      <c r="N72" s="153" t="n">
        <v>2976354.17003947</v>
      </c>
      <c r="O72" s="7"/>
      <c r="P72" s="7"/>
      <c r="Q72" s="67" t="n">
        <f aca="false">I72*5.5017049523</f>
        <v>125906390.339639</v>
      </c>
      <c r="R72" s="67"/>
      <c r="S72" s="67"/>
      <c r="T72" s="7"/>
      <c r="U72" s="7"/>
      <c r="V72" s="67" t="n">
        <f aca="false">K72*5.5017049523</f>
        <v>11308080.7579611</v>
      </c>
      <c r="W72" s="67" t="n">
        <f aca="false">M72*5.5017049523</f>
        <v>349734.456431772</v>
      </c>
      <c r="X72" s="67" t="n">
        <f aca="false">N72*5.1890047538+L72*5.5017049523</f>
        <v>21155555.5547331</v>
      </c>
      <c r="Y72" s="67" t="n">
        <f aca="false">N72*5.1890047538</f>
        <v>15444315.9373273</v>
      </c>
      <c r="Z72" s="67" t="n">
        <f aca="false">L72*5.5017049523</f>
        <v>5711239.61740587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3" t="n">
        <v>26083650.2401421</v>
      </c>
      <c r="G73" s="153" t="n">
        <v>24980296.7548015</v>
      </c>
      <c r="H73" s="67" t="n">
        <f aca="false">F73-J73</f>
        <v>23887586.539087</v>
      </c>
      <c r="I73" s="67" t="n">
        <f aca="false">G73-K73</f>
        <v>22850114.964778</v>
      </c>
      <c r="J73" s="153" t="n">
        <v>2196063.70105513</v>
      </c>
      <c r="K73" s="153" t="n">
        <v>2130181.79002347</v>
      </c>
      <c r="L73" s="67" t="n">
        <f aca="false">H73-I73</f>
        <v>1037471.57430894</v>
      </c>
      <c r="M73" s="67" t="n">
        <f aca="false">J73-K73</f>
        <v>65881.9110316602</v>
      </c>
      <c r="N73" s="153" t="n">
        <v>2882441.13989432</v>
      </c>
      <c r="O73" s="7"/>
      <c r="P73" s="7"/>
      <c r="Q73" s="67" t="n">
        <f aca="false">I73*5.5017049523</f>
        <v>125714590.662344</v>
      </c>
      <c r="R73" s="67"/>
      <c r="S73" s="67"/>
      <c r="T73" s="7"/>
      <c r="U73" s="7"/>
      <c r="V73" s="67" t="n">
        <f aca="false">K73*5.5017049523</f>
        <v>11719631.7034714</v>
      </c>
      <c r="W73" s="67" t="n">
        <f aca="false">M73*5.5017049523</f>
        <v>362462.836189873</v>
      </c>
      <c r="X73" s="67" t="n">
        <f aca="false">N73*5.1890047538+L73*5.5017049523</f>
        <v>20664863.2757063</v>
      </c>
      <c r="Y73" s="67" t="n">
        <f aca="false">N73*5.1890047538</f>
        <v>14957000.7774603</v>
      </c>
      <c r="Z73" s="67" t="n">
        <f aca="false">L73*5.5017049523</f>
        <v>5707862.49824595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65"/>
      <c r="B74" s="5"/>
      <c r="C74" s="65" t="n">
        <f aca="false">C70+1</f>
        <v>2030</v>
      </c>
      <c r="D74" s="65" t="n">
        <f aca="false">D70</f>
        <v>1</v>
      </c>
      <c r="E74" s="65" t="n">
        <v>221</v>
      </c>
      <c r="F74" s="151" t="n">
        <v>26170784.8301358</v>
      </c>
      <c r="G74" s="151" t="n">
        <v>25063608.5219452</v>
      </c>
      <c r="H74" s="8" t="n">
        <f aca="false">F74-J74</f>
        <v>23906763.5781301</v>
      </c>
      <c r="I74" s="8" t="n">
        <f aca="false">G74-K74</f>
        <v>22867507.9074997</v>
      </c>
      <c r="J74" s="151" t="n">
        <v>2264021.25200571</v>
      </c>
      <c r="K74" s="151" t="n">
        <v>2196100.61444554</v>
      </c>
      <c r="L74" s="8" t="n">
        <f aca="false">H74-I74</f>
        <v>1039255.67063043</v>
      </c>
      <c r="M74" s="8" t="n">
        <f aca="false">J74-K74</f>
        <v>67920.6375601697</v>
      </c>
      <c r="N74" s="151" t="n">
        <v>3523974.24267706</v>
      </c>
      <c r="O74" s="5"/>
      <c r="P74" s="5"/>
      <c r="Q74" s="8" t="n">
        <f aca="false">I74*5.5017049523</f>
        <v>125810281.50145</v>
      </c>
      <c r="R74" s="8"/>
      <c r="S74" s="8"/>
      <c r="T74" s="5"/>
      <c r="U74" s="5"/>
      <c r="V74" s="8" t="n">
        <f aca="false">K74*5.5017049523</f>
        <v>12082297.6262441</v>
      </c>
      <c r="W74" s="8" t="n">
        <f aca="false">M74*5.5017049523</f>
        <v>373679.308028159</v>
      </c>
      <c r="X74" s="8" t="n">
        <f aca="false">N74*5.1890047538+L74*5.5017049523</f>
        <v>24003597.1673333</v>
      </c>
      <c r="Y74" s="8" t="n">
        <f aca="false">N74*5.1890047538</f>
        <v>18285919.09752</v>
      </c>
      <c r="Z74" s="8" t="n">
        <f aca="false">L74*5.5017049523</f>
        <v>5717678.06981329</v>
      </c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3" t="n">
        <v>26448039.0160408</v>
      </c>
      <c r="G75" s="153" t="n">
        <v>25326520.1431525</v>
      </c>
      <c r="H75" s="67" t="n">
        <f aca="false">F75-J75</f>
        <v>24147019.6335285</v>
      </c>
      <c r="I75" s="67" t="n">
        <f aca="false">G75-K75</f>
        <v>23094531.3421155</v>
      </c>
      <c r="J75" s="153" t="n">
        <v>2301019.38251233</v>
      </c>
      <c r="K75" s="153" t="n">
        <v>2231988.80103696</v>
      </c>
      <c r="L75" s="67" t="n">
        <f aca="false">H75-I75</f>
        <v>1052488.29141293</v>
      </c>
      <c r="M75" s="67" t="n">
        <f aca="false">J75-K75</f>
        <v>69030.5814753701</v>
      </c>
      <c r="N75" s="153" t="n">
        <v>2896959.7018655</v>
      </c>
      <c r="O75" s="7"/>
      <c r="P75" s="7"/>
      <c r="Q75" s="67" t="n">
        <f aca="false">I75*5.5017049523</f>
        <v>127059297.455965</v>
      </c>
      <c r="R75" s="67"/>
      <c r="S75" s="67"/>
      <c r="T75" s="7"/>
      <c r="U75" s="7"/>
      <c r="V75" s="67" t="n">
        <f aca="false">K75*5.5017049523</f>
        <v>12279743.8401432</v>
      </c>
      <c r="W75" s="67" t="n">
        <f aca="false">M75*5.5017049523</f>
        <v>379785.891963192</v>
      </c>
      <c r="X75" s="67" t="n">
        <f aca="false">N75*5.1890047538+L75*5.5017049523</f>
        <v>20822817.7096514</v>
      </c>
      <c r="Y75" s="67" t="n">
        <f aca="false">N75*5.1890047538</f>
        <v>15032337.6645471</v>
      </c>
      <c r="Z75" s="67" t="n">
        <f aca="false">L75*5.5017049523</f>
        <v>5790480.04510427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3" t="n">
        <v>26645060.1563969</v>
      </c>
      <c r="G76" s="153" t="n">
        <v>25513158.4629</v>
      </c>
      <c r="H76" s="67" t="n">
        <f aca="false">F76-J76</f>
        <v>24340959.3246497</v>
      </c>
      <c r="I76" s="67" t="n">
        <f aca="false">G76-K76</f>
        <v>23278180.6561052</v>
      </c>
      <c r="J76" s="153" t="n">
        <v>2304100.83174724</v>
      </c>
      <c r="K76" s="153" t="n">
        <v>2234977.80679482</v>
      </c>
      <c r="L76" s="67" t="n">
        <f aca="false">H76-I76</f>
        <v>1062778.66854447</v>
      </c>
      <c r="M76" s="67" t="n">
        <f aca="false">J76-K76</f>
        <v>69123.02495242</v>
      </c>
      <c r="N76" s="153" t="n">
        <v>2873611.43284303</v>
      </c>
      <c r="O76" s="7"/>
      <c r="P76" s="7"/>
      <c r="Q76" s="67" t="n">
        <f aca="false">I76*5.5017049523</f>
        <v>128069681.796228</v>
      </c>
      <c r="R76" s="67"/>
      <c r="S76" s="67"/>
      <c r="T76" s="7"/>
      <c r="U76" s="7"/>
      <c r="V76" s="67" t="n">
        <f aca="false">K76*5.5017049523</f>
        <v>12296188.4679237</v>
      </c>
      <c r="W76" s="67" t="n">
        <f aca="false">M76*5.5017049523</f>
        <v>380294.488698686</v>
      </c>
      <c r="X76" s="67" t="n">
        <f aca="false">N76*5.1890047538+L76*5.5017049523</f>
        <v>20758278.0495264</v>
      </c>
      <c r="Y76" s="67" t="n">
        <f aca="false">N76*5.1890047538</f>
        <v>14911183.3855965</v>
      </c>
      <c r="Z76" s="67" t="n">
        <f aca="false">L76*5.5017049523</f>
        <v>5847094.66392994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3" t="n">
        <v>26772776.0424448</v>
      </c>
      <c r="G77" s="153" t="n">
        <v>25634703.867157</v>
      </c>
      <c r="H77" s="67" t="n">
        <f aca="false">F77-J77</f>
        <v>24395614.9388919</v>
      </c>
      <c r="I77" s="67" t="n">
        <f aca="false">G77-K77</f>
        <v>23328857.5967107</v>
      </c>
      <c r="J77" s="153" t="n">
        <v>2377161.10355289</v>
      </c>
      <c r="K77" s="153" t="n">
        <v>2305846.2704463</v>
      </c>
      <c r="L77" s="67" t="n">
        <f aca="false">H77-I77</f>
        <v>1066757.34218121</v>
      </c>
      <c r="M77" s="67" t="n">
        <f aca="false">J77-K77</f>
        <v>71314.83310659</v>
      </c>
      <c r="N77" s="153" t="n">
        <v>2883851.82690642</v>
      </c>
      <c r="O77" s="7"/>
      <c r="P77" s="7"/>
      <c r="Q77" s="67" t="n">
        <f aca="false">I77*5.5017049523</f>
        <v>128348491.371325</v>
      </c>
      <c r="R77" s="67"/>
      <c r="S77" s="67"/>
      <c r="T77" s="7"/>
      <c r="U77" s="7"/>
      <c r="V77" s="67" t="n">
        <f aca="false">K77*5.5017049523</f>
        <v>12686085.8453569</v>
      </c>
      <c r="W77" s="67" t="n">
        <f aca="false">M77*5.5017049523</f>
        <v>392353.170474974</v>
      </c>
      <c r="X77" s="67" t="n">
        <f aca="false">N77*5.1890047538+L77*5.5017049523</f>
        <v>20833304.991453</v>
      </c>
      <c r="Y77" s="67" t="n">
        <f aca="false">N77*5.1890047538</f>
        <v>14964320.8390722</v>
      </c>
      <c r="Z77" s="67" t="n">
        <f aca="false">L77*5.5017049523</f>
        <v>5868984.15238075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65"/>
      <c r="B78" s="5"/>
      <c r="C78" s="65" t="n">
        <f aca="false">C74+1</f>
        <v>2031</v>
      </c>
      <c r="D78" s="65" t="n">
        <f aca="false">D74</f>
        <v>1</v>
      </c>
      <c r="E78" s="65" t="n">
        <v>225</v>
      </c>
      <c r="F78" s="151" t="n">
        <v>27014022.7364326</v>
      </c>
      <c r="G78" s="151" t="n">
        <v>25864633.3769559</v>
      </c>
      <c r="H78" s="8" t="n">
        <f aca="false">F78-J78</f>
        <v>24576948.0851987</v>
      </c>
      <c r="I78" s="8" t="n">
        <f aca="false">G78-K78</f>
        <v>23500670.965259</v>
      </c>
      <c r="J78" s="151" t="n">
        <v>2437074.65123393</v>
      </c>
      <c r="K78" s="151" t="n">
        <v>2363962.41169691</v>
      </c>
      <c r="L78" s="8" t="n">
        <f aca="false">H78-I78</f>
        <v>1076277.11993968</v>
      </c>
      <c r="M78" s="8" t="n">
        <f aca="false">J78-K78</f>
        <v>73112.2395370202</v>
      </c>
      <c r="N78" s="151" t="n">
        <v>3502784.00921207</v>
      </c>
      <c r="O78" s="5"/>
      <c r="P78" s="5"/>
      <c r="Q78" s="8" t="n">
        <f aca="false">I78*5.5017049523</f>
        <v>129293757.831938</v>
      </c>
      <c r="R78" s="8"/>
      <c r="S78" s="8"/>
      <c r="T78" s="5"/>
      <c r="U78" s="5"/>
      <c r="V78" s="8" t="n">
        <f aca="false">K78*5.5017049523</f>
        <v>13005823.7074839</v>
      </c>
      <c r="W78" s="8" t="n">
        <f aca="false">M78*5.5017049523</f>
        <v>402241.970334568</v>
      </c>
      <c r="X78" s="8" t="n">
        <f aca="false">N78*5.1890047538+L78*5.5017049523</f>
        <v>24097322.0361554</v>
      </c>
      <c r="Y78" s="8" t="n">
        <f aca="false">N78*5.1890047538</f>
        <v>18175962.8753361</v>
      </c>
      <c r="Z78" s="8" t="n">
        <f aca="false">L78*5.5017049523</f>
        <v>5921359.16081933</v>
      </c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3" t="n">
        <v>27070651.486771</v>
      </c>
      <c r="G79" s="153" t="n">
        <v>25917911.3345478</v>
      </c>
      <c r="H79" s="67" t="n">
        <f aca="false">F79-J79</f>
        <v>24577696.6654458</v>
      </c>
      <c r="I79" s="67" t="n">
        <f aca="false">G79-K79</f>
        <v>23499745.1578623</v>
      </c>
      <c r="J79" s="153" t="n">
        <v>2492954.82132523</v>
      </c>
      <c r="K79" s="153" t="n">
        <v>2418166.17668548</v>
      </c>
      <c r="L79" s="67" t="n">
        <f aca="false">H79-I79</f>
        <v>1077951.50758345</v>
      </c>
      <c r="M79" s="67" t="n">
        <f aca="false">J79-K79</f>
        <v>74788.64463975</v>
      </c>
      <c r="N79" s="153" t="n">
        <v>2789919.47763503</v>
      </c>
      <c r="O79" s="7"/>
      <c r="P79" s="7"/>
      <c r="Q79" s="67" t="n">
        <f aca="false">I79*5.5017049523</f>
        <v>129288664.312799</v>
      </c>
      <c r="R79" s="67"/>
      <c r="S79" s="67"/>
      <c r="T79" s="7"/>
      <c r="U79" s="7"/>
      <c r="V79" s="67" t="n">
        <f aca="false">K79*5.5017049523</f>
        <v>13304036.8297549</v>
      </c>
      <c r="W79" s="67" t="n">
        <f aca="false">M79*5.5017049523</f>
        <v>411465.056590317</v>
      </c>
      <c r="X79" s="67" t="n">
        <f aca="false">N79*5.1890047538+L79*5.5017049523</f>
        <v>20407476.5797785</v>
      </c>
      <c r="Y79" s="67" t="n">
        <f aca="false">N79*5.1890047538</f>
        <v>14476905.4321674</v>
      </c>
      <c r="Z79" s="67" t="n">
        <f aca="false">L79*5.5017049523</f>
        <v>5930571.1476111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3" t="n">
        <v>27172624.6205275</v>
      </c>
      <c r="G80" s="153" t="n">
        <v>26015339.1666269</v>
      </c>
      <c r="H80" s="67" t="n">
        <f aca="false">F80-J80</f>
        <v>24619935.1632127</v>
      </c>
      <c r="I80" s="67" t="n">
        <f aca="false">G80-K80</f>
        <v>23539230.3930315</v>
      </c>
      <c r="J80" s="153" t="n">
        <v>2552689.45731481</v>
      </c>
      <c r="K80" s="153" t="n">
        <v>2476108.77359536</v>
      </c>
      <c r="L80" s="67" t="n">
        <f aca="false">H80-I80</f>
        <v>1080704.77018115</v>
      </c>
      <c r="M80" s="67" t="n">
        <f aca="false">J80-K80</f>
        <v>76580.6837194497</v>
      </c>
      <c r="N80" s="153" t="n">
        <v>2758085.67864906</v>
      </c>
      <c r="O80" s="7"/>
      <c r="P80" s="7"/>
      <c r="Q80" s="67" t="n">
        <f aca="false">I80*5.5017049523</f>
        <v>129505900.426672</v>
      </c>
      <c r="R80" s="67"/>
      <c r="S80" s="67"/>
      <c r="T80" s="7"/>
      <c r="U80" s="7"/>
      <c r="V80" s="67" t="n">
        <f aca="false">K80*5.5017049523</f>
        <v>13622819.9021231</v>
      </c>
      <c r="W80" s="67" t="n">
        <f aca="false">M80*5.5017049523</f>
        <v>421324.326869816</v>
      </c>
      <c r="X80" s="67" t="n">
        <f aca="false">N80*5.1890047538+L80*5.5017049523</f>
        <v>20257438.4839775</v>
      </c>
      <c r="Y80" s="67" t="n">
        <f aca="false">N80*5.1890047538</f>
        <v>14311719.6978977</v>
      </c>
      <c r="Z80" s="67" t="n">
        <f aca="false">L80*5.5017049523</f>
        <v>5945718.78607984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3" t="n">
        <v>27255585.1085488</v>
      </c>
      <c r="G81" s="153" t="n">
        <v>26094853.1148472</v>
      </c>
      <c r="H81" s="67" t="n">
        <f aca="false">F81-J81</f>
        <v>24631526.0754291</v>
      </c>
      <c r="I81" s="67" t="n">
        <f aca="false">G81-K81</f>
        <v>23549515.8527211</v>
      </c>
      <c r="J81" s="153" t="n">
        <v>2624059.03311966</v>
      </c>
      <c r="K81" s="153" t="n">
        <v>2545337.26212607</v>
      </c>
      <c r="L81" s="67" t="n">
        <f aca="false">H81-I81</f>
        <v>1082010.22270801</v>
      </c>
      <c r="M81" s="67" t="n">
        <f aca="false">J81-K81</f>
        <v>78721.7709935899</v>
      </c>
      <c r="N81" s="153" t="n">
        <v>2714126.23443437</v>
      </c>
      <c r="O81" s="7"/>
      <c r="P81" s="7"/>
      <c r="Q81" s="67" t="n">
        <f aca="false">I81*5.5017049523</f>
        <v>129562487.991183</v>
      </c>
      <c r="R81" s="67"/>
      <c r="S81" s="67"/>
      <c r="T81" s="7"/>
      <c r="U81" s="7"/>
      <c r="V81" s="67" t="n">
        <f aca="false">K81*5.5017049523</f>
        <v>14003694.6203127</v>
      </c>
      <c r="W81" s="67" t="n">
        <f aca="false">M81*5.5017049523</f>
        <v>433103.95732926</v>
      </c>
      <c r="X81" s="67" t="n">
        <f aca="false">N81*5.1890047538+L81*5.5017049523</f>
        <v>20036514.9336051</v>
      </c>
      <c r="Y81" s="67" t="n">
        <f aca="false">N81*5.1890047538</f>
        <v>14083613.9328932</v>
      </c>
      <c r="Z81" s="67" t="n">
        <f aca="false">L81*5.5017049523</f>
        <v>5952901.00071188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65"/>
      <c r="B82" s="5"/>
      <c r="C82" s="65" t="n">
        <f aca="false">C78+1</f>
        <v>2032</v>
      </c>
      <c r="D82" s="65" t="n">
        <f aca="false">D78</f>
        <v>1</v>
      </c>
      <c r="E82" s="65" t="n">
        <v>229</v>
      </c>
      <c r="F82" s="151" t="n">
        <v>27333181.5100924</v>
      </c>
      <c r="G82" s="151" t="n">
        <v>26168235.3092167</v>
      </c>
      <c r="H82" s="8" t="n">
        <f aca="false">F82-J82</f>
        <v>24634900.1715085</v>
      </c>
      <c r="I82" s="8" t="n">
        <f aca="false">G82-K82</f>
        <v>23550902.4107903</v>
      </c>
      <c r="J82" s="151" t="n">
        <v>2698281.33858394</v>
      </c>
      <c r="K82" s="151" t="n">
        <v>2617332.89842642</v>
      </c>
      <c r="L82" s="8" t="n">
        <f aca="false">H82-I82</f>
        <v>1083997.76071818</v>
      </c>
      <c r="M82" s="8" t="n">
        <f aca="false">J82-K82</f>
        <v>80948.4401575201</v>
      </c>
      <c r="N82" s="151" t="n">
        <v>3462286.05700289</v>
      </c>
      <c r="O82" s="5"/>
      <c r="P82" s="5"/>
      <c r="Q82" s="8" t="n">
        <f aca="false">I82*5.5017049523</f>
        <v>129570116.424579</v>
      </c>
      <c r="R82" s="8"/>
      <c r="S82" s="8"/>
      <c r="T82" s="5"/>
      <c r="U82" s="5"/>
      <c r="V82" s="8" t="n">
        <f aca="false">K82*5.5017049523</f>
        <v>14399793.3690903</v>
      </c>
      <c r="W82" s="8" t="n">
        <f aca="false">M82*5.5017049523</f>
        <v>445354.434095589</v>
      </c>
      <c r="X82" s="8" t="n">
        <f aca="false">N82*5.1890047538+L82*5.5017049523</f>
        <v>23929654.6572288</v>
      </c>
      <c r="Y82" s="8" t="n">
        <f aca="false">N82*5.1890047538</f>
        <v>17965818.8088035</v>
      </c>
      <c r="Z82" s="8" t="n">
        <f aca="false">L82*5.5017049523</f>
        <v>5963835.84842533</v>
      </c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3" t="n">
        <v>27436139.4575105</v>
      </c>
      <c r="G83" s="153" t="n">
        <v>26265772.7504858</v>
      </c>
      <c r="H83" s="67" t="n">
        <f aca="false">F83-J83</f>
        <v>24671329.6569124</v>
      </c>
      <c r="I83" s="67" t="n">
        <f aca="false">G83-K83</f>
        <v>23583907.2439056</v>
      </c>
      <c r="J83" s="153" t="n">
        <v>2764809.80059814</v>
      </c>
      <c r="K83" s="153" t="n">
        <v>2681865.50658019</v>
      </c>
      <c r="L83" s="67" t="n">
        <f aca="false">H83-I83</f>
        <v>1087422.41300675</v>
      </c>
      <c r="M83" s="67" t="n">
        <f aca="false">J83-K83</f>
        <v>82944.2940179501</v>
      </c>
      <c r="N83" s="153" t="n">
        <v>2797649.97614505</v>
      </c>
      <c r="O83" s="7"/>
      <c r="P83" s="7"/>
      <c r="Q83" s="67" t="n">
        <f aca="false">I83*5.5017049523</f>
        <v>129751699.278379</v>
      </c>
      <c r="R83" s="67"/>
      <c r="S83" s="67"/>
      <c r="T83" s="7"/>
      <c r="U83" s="7"/>
      <c r="V83" s="67" t="n">
        <f aca="false">K83*5.5017049523</f>
        <v>14754832.7389548</v>
      </c>
      <c r="W83" s="67" t="n">
        <f aca="false">M83*5.5017049523</f>
        <v>456335.033163583</v>
      </c>
      <c r="X83" s="67" t="n">
        <f aca="false">N83*5.1890047538+L83*5.5017049523</f>
        <v>20499696.3005664</v>
      </c>
      <c r="Y83" s="67" t="n">
        <f aca="false">N83*5.1890047538</f>
        <v>14517019.0256851</v>
      </c>
      <c r="Z83" s="67" t="n">
        <f aca="false">L83*5.5017049523</f>
        <v>5982677.27488125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3" t="n">
        <v>27595178.9914759</v>
      </c>
      <c r="G84" s="153" t="n">
        <v>26417466.642773</v>
      </c>
      <c r="H84" s="67" t="n">
        <f aca="false">F84-J84</f>
        <v>24720692.9823125</v>
      </c>
      <c r="I84" s="67" t="n">
        <f aca="false">G84-K84</f>
        <v>23629215.2138845</v>
      </c>
      <c r="J84" s="153" t="n">
        <v>2874486.00916336</v>
      </c>
      <c r="K84" s="153" t="n">
        <v>2788251.42888846</v>
      </c>
      <c r="L84" s="67" t="n">
        <f aca="false">H84-I84</f>
        <v>1091477.768428</v>
      </c>
      <c r="M84" s="67" t="n">
        <f aca="false">J84-K84</f>
        <v>86234.5802749</v>
      </c>
      <c r="N84" s="153" t="n">
        <v>2750842.7184645</v>
      </c>
      <c r="O84" s="7"/>
      <c r="P84" s="7"/>
      <c r="Q84" s="67" t="n">
        <f aca="false">I84*5.5017049523</f>
        <v>130000970.361191</v>
      </c>
      <c r="R84" s="67"/>
      <c r="S84" s="67"/>
      <c r="T84" s="7"/>
      <c r="U84" s="7"/>
      <c r="V84" s="67" t="n">
        <f aca="false">K84*5.5017049523</f>
        <v>15340136.6945732</v>
      </c>
      <c r="W84" s="67" t="n">
        <f aca="false">M84*5.5017049523</f>
        <v>474437.217357929</v>
      </c>
      <c r="X84" s="67" t="n">
        <f aca="false">N84*5.1890047538+L84*5.5017049523</f>
        <v>20279124.5869541</v>
      </c>
      <c r="Y84" s="67" t="n">
        <f aca="false">N84*5.1890047538</f>
        <v>14274135.9430684</v>
      </c>
      <c r="Z84" s="67" t="n">
        <f aca="false">L84*5.5017049523</f>
        <v>6004988.64388567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3" t="n">
        <v>27781464.5941623</v>
      </c>
      <c r="G85" s="153" t="n">
        <v>26593971.3250583</v>
      </c>
      <c r="H85" s="67" t="n">
        <f aca="false">F85-J85</f>
        <v>24852889.8432716</v>
      </c>
      <c r="I85" s="67" t="n">
        <f aca="false">G85-K85</f>
        <v>23753253.8166943</v>
      </c>
      <c r="J85" s="153" t="n">
        <v>2928574.75089074</v>
      </c>
      <c r="K85" s="153" t="n">
        <v>2840717.50836402</v>
      </c>
      <c r="L85" s="67" t="n">
        <f aca="false">H85-I85</f>
        <v>1099636.02657728</v>
      </c>
      <c r="M85" s="67" t="n">
        <f aca="false">J85-K85</f>
        <v>87857.2425267203</v>
      </c>
      <c r="N85" s="153" t="n">
        <v>2719369.8868709</v>
      </c>
      <c r="O85" s="7"/>
      <c r="P85" s="7"/>
      <c r="Q85" s="67" t="n">
        <f aca="false">I85*5.5017049523</f>
        <v>130683394.156546</v>
      </c>
      <c r="R85" s="67"/>
      <c r="S85" s="67"/>
      <c r="T85" s="7"/>
      <c r="U85" s="7"/>
      <c r="V85" s="67" t="n">
        <f aca="false">K85*5.5017049523</f>
        <v>15628789.5838516</v>
      </c>
      <c r="W85" s="67" t="n">
        <f aca="false">M85*5.5017049523</f>
        <v>483364.626304679</v>
      </c>
      <c r="X85" s="67" t="n">
        <f aca="false">N85*5.1890047538+L85*5.5017049523</f>
        <v>20160696.2434614</v>
      </c>
      <c r="Y85" s="67" t="n">
        <f aca="false">N85*5.1890047538</f>
        <v>14110823.2703137</v>
      </c>
      <c r="Z85" s="67" t="n">
        <f aca="false">L85*5.5017049523</f>
        <v>6049872.97314771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65"/>
      <c r="B86" s="5"/>
      <c r="C86" s="65" t="n">
        <f aca="false">C82+1</f>
        <v>2033</v>
      </c>
      <c r="D86" s="65" t="n">
        <f aca="false">D82</f>
        <v>1</v>
      </c>
      <c r="E86" s="65" t="n">
        <v>233</v>
      </c>
      <c r="F86" s="151" t="n">
        <v>27923842.2711935</v>
      </c>
      <c r="G86" s="151" t="n">
        <v>26729799.408566</v>
      </c>
      <c r="H86" s="8" t="n">
        <f aca="false">F86-J86</f>
        <v>24891002.8586551</v>
      </c>
      <c r="I86" s="8" t="n">
        <f aca="false">G86-K86</f>
        <v>23787945.1784038</v>
      </c>
      <c r="J86" s="151" t="n">
        <v>3032839.41253835</v>
      </c>
      <c r="K86" s="151" t="n">
        <v>2941854.2301622</v>
      </c>
      <c r="L86" s="8" t="n">
        <f aca="false">H86-I86</f>
        <v>1103057.68025135</v>
      </c>
      <c r="M86" s="8" t="n">
        <f aca="false">J86-K86</f>
        <v>90985.18237615</v>
      </c>
      <c r="N86" s="151" t="n">
        <v>3234026.68262454</v>
      </c>
      <c r="O86" s="5"/>
      <c r="P86" s="5"/>
      <c r="Q86" s="8" t="n">
        <f aca="false">I86*5.5017049523</f>
        <v>130874255.793065</v>
      </c>
      <c r="R86" s="8"/>
      <c r="S86" s="8"/>
      <c r="T86" s="5"/>
      <c r="U86" s="5"/>
      <c r="V86" s="8" t="n">
        <f aca="false">K86*5.5017049523</f>
        <v>16185213.9870281</v>
      </c>
      <c r="W86" s="8" t="n">
        <f aca="false">M86*5.5017049523</f>
        <v>500573.628464783</v>
      </c>
      <c r="X86" s="8" t="n">
        <f aca="false">N86*5.1890047538+L86*5.5017049523</f>
        <v>22850077.7321662</v>
      </c>
      <c r="Y86" s="8" t="n">
        <f aca="false">N86*5.1890047538</f>
        <v>16781379.8300548</v>
      </c>
      <c r="Z86" s="8" t="n">
        <f aca="false">L86*5.5017049523</f>
        <v>6068697.9021114</v>
      </c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3" t="n">
        <v>28030746.2344685</v>
      </c>
      <c r="G87" s="153" t="n">
        <v>26831261.6834057</v>
      </c>
      <c r="H87" s="67" t="n">
        <f aca="false">F87-J87</f>
        <v>24936879.6280681</v>
      </c>
      <c r="I87" s="67" t="n">
        <f aca="false">G87-K87</f>
        <v>23830211.0751973</v>
      </c>
      <c r="J87" s="153" t="n">
        <v>3093866.60640038</v>
      </c>
      <c r="K87" s="153" t="n">
        <v>3001050.60820837</v>
      </c>
      <c r="L87" s="67" t="n">
        <f aca="false">H87-I87</f>
        <v>1106668.55287079</v>
      </c>
      <c r="M87" s="67" t="n">
        <f aca="false">J87-K87</f>
        <v>92815.99819201</v>
      </c>
      <c r="N87" s="153" t="n">
        <v>2636833.75743916</v>
      </c>
      <c r="O87" s="7"/>
      <c r="P87" s="7"/>
      <c r="Q87" s="67" t="n">
        <f aca="false">I87*5.5017049523</f>
        <v>131106790.286767</v>
      </c>
      <c r="R87" s="67"/>
      <c r="S87" s="67"/>
      <c r="T87" s="7"/>
      <c r="U87" s="7"/>
      <c r="V87" s="67" t="n">
        <f aca="false">K87*5.5017049523</f>
        <v>16510894.9932829</v>
      </c>
      <c r="W87" s="67" t="n">
        <f aca="false">M87*5.5017049523</f>
        <v>510646.236905649</v>
      </c>
      <c r="X87" s="67" t="n">
        <f aca="false">N87*5.1890047538+L87*5.5017049523</f>
        <v>19771106.760216</v>
      </c>
      <c r="Y87" s="67" t="n">
        <f aca="false">N87*5.1890047538</f>
        <v>13682542.9023321</v>
      </c>
      <c r="Z87" s="67" t="n">
        <f aca="false">L87*5.5017049523</f>
        <v>6088563.85788389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3" t="n">
        <v>28110994.7725984</v>
      </c>
      <c r="G88" s="153" t="n">
        <v>26908130.1359921</v>
      </c>
      <c r="H88" s="67" t="n">
        <f aca="false">F88-J88</f>
        <v>24934633.4425035</v>
      </c>
      <c r="I88" s="67" t="n">
        <f aca="false">G88-K88</f>
        <v>23827059.6458001</v>
      </c>
      <c r="J88" s="153" t="n">
        <v>3176361.33009487</v>
      </c>
      <c r="K88" s="153" t="n">
        <v>3081070.49019202</v>
      </c>
      <c r="L88" s="67" t="n">
        <f aca="false">H88-I88</f>
        <v>1107573.79670345</v>
      </c>
      <c r="M88" s="67" t="n">
        <f aca="false">J88-K88</f>
        <v>95290.8399028503</v>
      </c>
      <c r="N88" s="153" t="n">
        <v>2680366.03426836</v>
      </c>
      <c r="O88" s="7"/>
      <c r="P88" s="7"/>
      <c r="Q88" s="67" t="n">
        <f aca="false">I88*5.5017049523</f>
        <v>131089452.052046</v>
      </c>
      <c r="R88" s="67"/>
      <c r="S88" s="67"/>
      <c r="T88" s="7"/>
      <c r="U88" s="7"/>
      <c r="V88" s="67" t="n">
        <f aca="false">K88*5.5017049523</f>
        <v>16951140.7742748</v>
      </c>
      <c r="W88" s="67" t="n">
        <f aca="false">M88*5.5017049523</f>
        <v>524262.085802338</v>
      </c>
      <c r="X88" s="67" t="n">
        <f aca="false">N88*5.1890047538+L88*5.5017049523</f>
        <v>20001976.3361037</v>
      </c>
      <c r="Y88" s="67" t="n">
        <f aca="false">N88*5.1890047538</f>
        <v>13908432.0937426</v>
      </c>
      <c r="Z88" s="67" t="n">
        <f aca="false">L88*5.5017049523</f>
        <v>6093544.24236109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3" t="n">
        <v>28207791.0322993</v>
      </c>
      <c r="G89" s="153" t="n">
        <v>27000931.8891112</v>
      </c>
      <c r="H89" s="67" t="n">
        <f aca="false">F89-J89</f>
        <v>24964922.1187542</v>
      </c>
      <c r="I89" s="67" t="n">
        <f aca="false">G89-K89</f>
        <v>23855349.0429724</v>
      </c>
      <c r="J89" s="153" t="n">
        <v>3242868.91354514</v>
      </c>
      <c r="K89" s="153" t="n">
        <v>3145582.84613879</v>
      </c>
      <c r="L89" s="67" t="n">
        <f aca="false">H89-I89</f>
        <v>1109573.07578175</v>
      </c>
      <c r="M89" s="67" t="n">
        <f aca="false">J89-K89</f>
        <v>97286.0674063503</v>
      </c>
      <c r="N89" s="153" t="n">
        <v>2599906.63490237</v>
      </c>
      <c r="O89" s="7"/>
      <c r="P89" s="7"/>
      <c r="Q89" s="67" t="n">
        <f aca="false">I89*5.5017049523</f>
        <v>131245091.968566</v>
      </c>
      <c r="R89" s="67"/>
      <c r="S89" s="67"/>
      <c r="T89" s="7"/>
      <c r="U89" s="7"/>
      <c r="V89" s="67" t="n">
        <f aca="false">K89*5.5017049523</f>
        <v>17306068.7224717</v>
      </c>
      <c r="W89" s="67" t="n">
        <f aca="false">M89*5.5017049523</f>
        <v>535239.238839309</v>
      </c>
      <c r="X89" s="67" t="n">
        <f aca="false">N89*5.1890047538+L89*5.5017049523</f>
        <v>19595471.5739118</v>
      </c>
      <c r="Y89" s="67" t="n">
        <f aca="false">N89*5.1890047538</f>
        <v>13490927.8879446</v>
      </c>
      <c r="Z89" s="67" t="n">
        <f aca="false">L89*5.5017049523</f>
        <v>6104543.68596721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65"/>
      <c r="B90" s="5"/>
      <c r="C90" s="65" t="n">
        <f aca="false">C86+1</f>
        <v>2034</v>
      </c>
      <c r="D90" s="65" t="n">
        <f aca="false">D86</f>
        <v>1</v>
      </c>
      <c r="E90" s="65" t="n">
        <v>237</v>
      </c>
      <c r="F90" s="151" t="n">
        <v>28259154.7118023</v>
      </c>
      <c r="G90" s="151" t="n">
        <v>27050181.5411593</v>
      </c>
      <c r="H90" s="8" t="n">
        <f aca="false">F90-J90</f>
        <v>24952996.937863</v>
      </c>
      <c r="I90" s="8" t="n">
        <f aca="false">G90-K90</f>
        <v>23843208.5004382</v>
      </c>
      <c r="J90" s="151" t="n">
        <v>3306157.77393926</v>
      </c>
      <c r="K90" s="151" t="n">
        <v>3206973.04072109</v>
      </c>
      <c r="L90" s="8" t="n">
        <f aca="false">H90-I90</f>
        <v>1109788.43742483</v>
      </c>
      <c r="M90" s="8" t="n">
        <f aca="false">J90-K90</f>
        <v>99184.7332181698</v>
      </c>
      <c r="N90" s="151" t="n">
        <v>3288489.93693699</v>
      </c>
      <c r="O90" s="5"/>
      <c r="P90" s="5"/>
      <c r="Q90" s="8" t="n">
        <f aca="false">I90*5.5017049523</f>
        <v>131178298.285582</v>
      </c>
      <c r="R90" s="8"/>
      <c r="S90" s="8"/>
      <c r="T90" s="5"/>
      <c r="U90" s="5"/>
      <c r="V90" s="8" t="n">
        <f aca="false">K90*5.5017049523</f>
        <v>17643819.4600278</v>
      </c>
      <c r="W90" s="8" t="n">
        <f aca="false">M90*5.5017049523</f>
        <v>545685.137938959</v>
      </c>
      <c r="X90" s="8" t="n">
        <f aca="false">N90*5.1890047538+L90*5.5017049523</f>
        <v>23169718.457775</v>
      </c>
      <c r="Y90" s="8" t="n">
        <f aca="false">N90*5.1890047538</f>
        <v>17063989.9155895</v>
      </c>
      <c r="Z90" s="8" t="n">
        <f aca="false">L90*5.5017049523</f>
        <v>6105728.54218547</v>
      </c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3" t="n">
        <v>28492029.7053484</v>
      </c>
      <c r="G91" s="153" t="n">
        <v>27271714.7709746</v>
      </c>
      <c r="H91" s="67" t="n">
        <f aca="false">F91-J91</f>
        <v>25091499.3721759</v>
      </c>
      <c r="I91" s="67" t="n">
        <f aca="false">G91-K91</f>
        <v>23973200.3477973</v>
      </c>
      <c r="J91" s="153" t="n">
        <v>3400530.33317245</v>
      </c>
      <c r="K91" s="153" t="n">
        <v>3298514.42317728</v>
      </c>
      <c r="L91" s="67" t="n">
        <f aca="false">H91-I91</f>
        <v>1118299.02437863</v>
      </c>
      <c r="M91" s="67" t="n">
        <f aca="false">J91-K91</f>
        <v>102015.90999517</v>
      </c>
      <c r="N91" s="153" t="n">
        <v>2601061.26552671</v>
      </c>
      <c r="O91" s="7"/>
      <c r="P91" s="7"/>
      <c r="Q91" s="67" t="n">
        <f aca="false">I91*5.5017049523</f>
        <v>131893475.075957</v>
      </c>
      <c r="R91" s="67"/>
      <c r="S91" s="67"/>
      <c r="T91" s="7"/>
      <c r="U91" s="7"/>
      <c r="V91" s="67" t="n">
        <f aca="false">K91*5.5017049523</f>
        <v>18147453.1372274</v>
      </c>
      <c r="W91" s="67" t="n">
        <f aca="false">M91*5.5017049523</f>
        <v>561261.437233817</v>
      </c>
      <c r="X91" s="67" t="n">
        <f aca="false">N91*5.1890047538+L91*5.5017049523</f>
        <v>19649470.5523193</v>
      </c>
      <c r="Y91" s="67" t="n">
        <f aca="false">N91*5.1890047538</f>
        <v>13496919.2717431</v>
      </c>
      <c r="Z91" s="67" t="n">
        <f aca="false">L91*5.5017049523</f>
        <v>6152551.28057615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3" t="n">
        <v>28615053.6764758</v>
      </c>
      <c r="G92" s="153" t="n">
        <v>27388783.5001786</v>
      </c>
      <c r="H92" s="67" t="n">
        <f aca="false">F92-J92</f>
        <v>25157371.3448068</v>
      </c>
      <c r="I92" s="67" t="n">
        <f aca="false">G92-K92</f>
        <v>24034831.6384597</v>
      </c>
      <c r="J92" s="153" t="n">
        <v>3457682.33166895</v>
      </c>
      <c r="K92" s="153" t="n">
        <v>3353951.86171889</v>
      </c>
      <c r="L92" s="67" t="n">
        <f aca="false">H92-I92</f>
        <v>1122539.70634714</v>
      </c>
      <c r="M92" s="67" t="n">
        <f aca="false">J92-K92</f>
        <v>103730.46995006</v>
      </c>
      <c r="N92" s="153" t="n">
        <v>2673361.73782776</v>
      </c>
      <c r="O92" s="7"/>
      <c r="P92" s="7"/>
      <c r="Q92" s="67" t="n">
        <f aca="false">I92*5.5017049523</f>
        <v>132232552.253011</v>
      </c>
      <c r="R92" s="67"/>
      <c r="S92" s="67"/>
      <c r="T92" s="7"/>
      <c r="U92" s="7"/>
      <c r="V92" s="67" t="n">
        <f aca="false">K92*5.5017049523</f>
        <v>18452453.5673946</v>
      </c>
      <c r="W92" s="67" t="n">
        <f aca="false">M92*5.5017049523</f>
        <v>570694.440228653</v>
      </c>
      <c r="X92" s="67" t="n">
        <f aca="false">N92*5.1890047538+L92*5.5017049523</f>
        <v>20047969.0277787</v>
      </c>
      <c r="Y92" s="67" t="n">
        <f aca="false">N92*5.1890047538</f>
        <v>13872086.7662153</v>
      </c>
      <c r="Z92" s="67" t="n">
        <f aca="false">L92*5.5017049523</f>
        <v>6175882.26156344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3" t="n">
        <v>28772828.4046125</v>
      </c>
      <c r="G93" s="153" t="n">
        <v>27539153.3391202</v>
      </c>
      <c r="H93" s="67" t="n">
        <f aca="false">F93-J93</f>
        <v>25314364.5251374</v>
      </c>
      <c r="I93" s="67" t="n">
        <f aca="false">G93-K93</f>
        <v>24184443.3760293</v>
      </c>
      <c r="J93" s="153" t="n">
        <v>3458463.87947512</v>
      </c>
      <c r="K93" s="153" t="n">
        <v>3354709.96309087</v>
      </c>
      <c r="L93" s="67" t="n">
        <f aca="false">H93-I93</f>
        <v>1129921.14910805</v>
      </c>
      <c r="M93" s="67" t="n">
        <f aca="false">J93-K93</f>
        <v>103753.91638425</v>
      </c>
      <c r="N93" s="153" t="n">
        <v>2595037.81362482</v>
      </c>
      <c r="O93" s="7"/>
      <c r="P93" s="7"/>
      <c r="Q93" s="67" t="n">
        <f aca="false">I93*5.5017049523</f>
        <v>133055671.89052</v>
      </c>
      <c r="R93" s="67"/>
      <c r="S93" s="67"/>
      <c r="T93" s="7"/>
      <c r="U93" s="7"/>
      <c r="V93" s="67" t="n">
        <f aca="false">K93*5.5017049523</f>
        <v>18456624.4174672</v>
      </c>
      <c r="W93" s="67" t="n">
        <f aca="false">M93*5.5017049523</f>
        <v>570823.435591748</v>
      </c>
      <c r="X93" s="67" t="n">
        <f aca="false">N93*5.1890047538+L93*5.5017049523</f>
        <v>19682156.3329462</v>
      </c>
      <c r="Y93" s="67" t="n">
        <f aca="false">N93*5.1890047538</f>
        <v>13465663.55119</v>
      </c>
      <c r="Z93" s="67" t="n">
        <f aca="false">L93*5.5017049523</f>
        <v>6216492.78175626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65"/>
      <c r="B94" s="5"/>
      <c r="C94" s="65" t="n">
        <f aca="false">C90+1</f>
        <v>2035</v>
      </c>
      <c r="D94" s="65" t="n">
        <f aca="false">D90</f>
        <v>1</v>
      </c>
      <c r="E94" s="65" t="n">
        <v>241</v>
      </c>
      <c r="F94" s="151" t="n">
        <v>28918297.3197468</v>
      </c>
      <c r="G94" s="151" t="n">
        <v>27678143.1277496</v>
      </c>
      <c r="H94" s="8" t="n">
        <f aca="false">F94-J94</f>
        <v>25410106.947092</v>
      </c>
      <c r="I94" s="8" t="n">
        <f aca="false">G94-K94</f>
        <v>24275198.4662744</v>
      </c>
      <c r="J94" s="151" t="n">
        <v>3508190.37265481</v>
      </c>
      <c r="K94" s="151" t="n">
        <v>3402944.66147517</v>
      </c>
      <c r="L94" s="8" t="n">
        <f aca="false">H94-I94</f>
        <v>1134908.48081756</v>
      </c>
      <c r="M94" s="8" t="n">
        <f aca="false">J94-K94</f>
        <v>105245.71117964</v>
      </c>
      <c r="N94" s="151" t="n">
        <v>3081104.89272989</v>
      </c>
      <c r="O94" s="5"/>
      <c r="P94" s="5"/>
      <c r="Q94" s="8" t="n">
        <f aca="false">I94*5.5017049523</f>
        <v>133554979.619967</v>
      </c>
      <c r="R94" s="8"/>
      <c r="S94" s="8"/>
      <c r="T94" s="5"/>
      <c r="U94" s="5"/>
      <c r="V94" s="8" t="n">
        <f aca="false">K94*5.5017049523</f>
        <v>18721997.4964408</v>
      </c>
      <c r="W94" s="8" t="n">
        <f aca="false">M94*5.5017049523</f>
        <v>579030.850405362</v>
      </c>
      <c r="X94" s="8" t="n">
        <f aca="false">N94*5.1890047538+L94*5.5017049523</f>
        <v>22231799.5446531</v>
      </c>
      <c r="Y94" s="8" t="n">
        <f aca="false">N94*5.1890047538</f>
        <v>15987867.9353318</v>
      </c>
      <c r="Z94" s="8" t="n">
        <f aca="false">L94*5.5017049523</f>
        <v>6243931.60932124</v>
      </c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3" t="n">
        <v>29089422.3405293</v>
      </c>
      <c r="G95" s="153" t="n">
        <v>27842175.4697751</v>
      </c>
      <c r="H95" s="67" t="n">
        <f aca="false">F95-J95</f>
        <v>25492133.6518072</v>
      </c>
      <c r="I95" s="67" t="n">
        <f aca="false">G95-K95</f>
        <v>24352805.4417147</v>
      </c>
      <c r="J95" s="153" t="n">
        <v>3597288.68872208</v>
      </c>
      <c r="K95" s="153" t="n">
        <v>3489370.02806042</v>
      </c>
      <c r="L95" s="67" t="n">
        <f aca="false">H95-I95</f>
        <v>1139328.21009254</v>
      </c>
      <c r="M95" s="67" t="n">
        <f aca="false">J95-K95</f>
        <v>107918.66066166</v>
      </c>
      <c r="N95" s="153" t="n">
        <v>2514293.4608443</v>
      </c>
      <c r="O95" s="7"/>
      <c r="P95" s="7"/>
      <c r="Q95" s="67" t="n">
        <f aca="false">I95*5.5017049523</f>
        <v>133981950.30108</v>
      </c>
      <c r="R95" s="67"/>
      <c r="S95" s="67"/>
      <c r="T95" s="7"/>
      <c r="U95" s="7"/>
      <c r="V95" s="67" t="n">
        <f aca="false">K95*5.5017049523</f>
        <v>19197484.3637872</v>
      </c>
      <c r="W95" s="67" t="n">
        <f aca="false">M95*5.5017049523</f>
        <v>593736.629807839</v>
      </c>
      <c r="X95" s="67" t="n">
        <f aca="false">N95*5.1890047538+L95*5.5017049523</f>
        <v>19314928.3765306</v>
      </c>
      <c r="Y95" s="67" t="n">
        <f aca="false">N95*5.1890047538</f>
        <v>13046680.7207693</v>
      </c>
      <c r="Z95" s="67" t="n">
        <f aca="false">L95*5.5017049523</f>
        <v>6268247.65576123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3" t="n">
        <v>29205395.0789261</v>
      </c>
      <c r="G96" s="153" t="n">
        <v>27952918.8920496</v>
      </c>
      <c r="H96" s="67" t="n">
        <f aca="false">F96-J96</f>
        <v>25530592.2181119</v>
      </c>
      <c r="I96" s="67" t="n">
        <f aca="false">G96-K96</f>
        <v>24388360.1170598</v>
      </c>
      <c r="J96" s="153" t="n">
        <v>3674802.86081418</v>
      </c>
      <c r="K96" s="153" t="n">
        <v>3564558.77498975</v>
      </c>
      <c r="L96" s="67" t="n">
        <f aca="false">H96-I96</f>
        <v>1142232.10105207</v>
      </c>
      <c r="M96" s="67" t="n">
        <f aca="false">J96-K96</f>
        <v>110244.08582443</v>
      </c>
      <c r="N96" s="153" t="n">
        <v>2548436.50024892</v>
      </c>
      <c r="O96" s="7"/>
      <c r="P96" s="7"/>
      <c r="Q96" s="67" t="n">
        <f aca="false">I96*5.5017049523</f>
        <v>134177561.634504</v>
      </c>
      <c r="R96" s="67"/>
      <c r="S96" s="67"/>
      <c r="T96" s="7"/>
      <c r="U96" s="7"/>
      <c r="V96" s="67" t="n">
        <f aca="false">K96*5.5017049523</f>
        <v>19611150.6651255</v>
      </c>
      <c r="W96" s="67" t="n">
        <f aca="false">M96*5.5017049523</f>
        <v>606530.432942055</v>
      </c>
      <c r="X96" s="67" t="n">
        <f aca="false">N96*5.1890047538+L96*5.5017049523</f>
        <v>19508073.1215833</v>
      </c>
      <c r="Y96" s="67" t="n">
        <f aca="false">N96*5.1890047538</f>
        <v>13223849.1145491</v>
      </c>
      <c r="Z96" s="67" t="n">
        <f aca="false">L96*5.5017049523</f>
        <v>6284224.00703422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3" t="n">
        <v>29249796.3709386</v>
      </c>
      <c r="G97" s="153" t="n">
        <v>27995360.5146187</v>
      </c>
      <c r="H97" s="67" t="n">
        <f aca="false">F97-J97</f>
        <v>25506412.4627312</v>
      </c>
      <c r="I97" s="67" t="n">
        <f aca="false">G97-K97</f>
        <v>24364278.1236575</v>
      </c>
      <c r="J97" s="153" t="n">
        <v>3743383.9082074</v>
      </c>
      <c r="K97" s="153" t="n">
        <v>3631082.39096117</v>
      </c>
      <c r="L97" s="67" t="n">
        <f aca="false">H97-I97</f>
        <v>1142134.33907367</v>
      </c>
      <c r="M97" s="67" t="n">
        <f aca="false">J97-K97</f>
        <v>112301.51724623</v>
      </c>
      <c r="N97" s="153" t="n">
        <v>2526395.79344662</v>
      </c>
      <c r="O97" s="7"/>
      <c r="P97" s="7"/>
      <c r="Q97" s="67" t="n">
        <f aca="false">I97*5.5017049523</f>
        <v>134045069.612141</v>
      </c>
      <c r="R97" s="67"/>
      <c r="S97" s="67"/>
      <c r="T97" s="7"/>
      <c r="U97" s="7"/>
      <c r="V97" s="67" t="n">
        <f aca="false">K97*5.5017049523</f>
        <v>19977143.9725604</v>
      </c>
      <c r="W97" s="67" t="n">
        <f aca="false">M97*5.5017049523</f>
        <v>617849.813584385</v>
      </c>
      <c r="X97" s="67" t="n">
        <f aca="false">N97*5.1890047538+L97*5.5017049523</f>
        <v>19393165.9316483</v>
      </c>
      <c r="Y97" s="67" t="n">
        <f aca="false">N97*5.1890047538</f>
        <v>13109479.7821748</v>
      </c>
      <c r="Z97" s="67" t="n">
        <f aca="false">L97*5.5017049523</f>
        <v>6283686.14947349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65"/>
      <c r="B98" s="5"/>
      <c r="C98" s="65" t="n">
        <f aca="false">C94+1</f>
        <v>2036</v>
      </c>
      <c r="D98" s="65" t="n">
        <f aca="false">D94</f>
        <v>1</v>
      </c>
      <c r="E98" s="65" t="n">
        <v>245</v>
      </c>
      <c r="F98" s="151" t="n">
        <v>29462586.1167965</v>
      </c>
      <c r="G98" s="151" t="n">
        <v>28199333.6268088</v>
      </c>
      <c r="H98" s="8" t="n">
        <f aca="false">F98-J98</f>
        <v>25632194.9424791</v>
      </c>
      <c r="I98" s="8" t="n">
        <f aca="false">G98-K98</f>
        <v>24483854.1877209</v>
      </c>
      <c r="J98" s="151" t="n">
        <v>3830391.17431742</v>
      </c>
      <c r="K98" s="151" t="n">
        <v>3715479.4390879</v>
      </c>
      <c r="L98" s="8" t="n">
        <f aca="false">H98-I98</f>
        <v>1148340.75475818</v>
      </c>
      <c r="M98" s="8" t="n">
        <f aca="false">J98-K98</f>
        <v>114911.73522952</v>
      </c>
      <c r="N98" s="151" t="n">
        <v>3153242.27640487</v>
      </c>
      <c r="O98" s="5"/>
      <c r="P98" s="5"/>
      <c r="Q98" s="8" t="n">
        <f aca="false">I98*5.5017049523</f>
        <v>134702941.835975</v>
      </c>
      <c r="R98" s="8"/>
      <c r="S98" s="8"/>
      <c r="T98" s="5"/>
      <c r="U98" s="5"/>
      <c r="V98" s="8" t="n">
        <f aca="false">K98*5.5017049523</f>
        <v>20441471.6301987</v>
      </c>
      <c r="W98" s="8" t="n">
        <f aca="false">M98*5.5017049523</f>
        <v>632210.462789637</v>
      </c>
      <c r="X98" s="8" t="n">
        <f aca="false">N98*5.1890047538+L98*5.5017049523</f>
        <v>22680021.179529</v>
      </c>
      <c r="Y98" s="8" t="n">
        <f aca="false">N98*5.1890047538</f>
        <v>16362189.162148</v>
      </c>
      <c r="Z98" s="8" t="n">
        <f aca="false">L98*5.5017049523</f>
        <v>6317832.01738101</v>
      </c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3" t="n">
        <v>29587041.2496454</v>
      </c>
      <c r="G99" s="153" t="n">
        <v>28318716.1595285</v>
      </c>
      <c r="H99" s="67" t="n">
        <f aca="false">F99-J99</f>
        <v>25707343.2045133</v>
      </c>
      <c r="I99" s="67" t="n">
        <f aca="false">G99-K99</f>
        <v>24555409.0557503</v>
      </c>
      <c r="J99" s="153" t="n">
        <v>3879698.04513211</v>
      </c>
      <c r="K99" s="153" t="n">
        <v>3763307.10377815</v>
      </c>
      <c r="L99" s="67" t="n">
        <f aca="false">H99-I99</f>
        <v>1151934.14876294</v>
      </c>
      <c r="M99" s="67" t="n">
        <f aca="false">J99-K99</f>
        <v>116390.94135396</v>
      </c>
      <c r="N99" s="153" t="n">
        <v>2501358.37608575</v>
      </c>
      <c r="O99" s="7"/>
      <c r="P99" s="7"/>
      <c r="Q99" s="67" t="n">
        <f aca="false">I99*5.5017049523</f>
        <v>135096615.607774</v>
      </c>
      <c r="R99" s="67"/>
      <c r="S99" s="67"/>
      <c r="T99" s="7"/>
      <c r="U99" s="7"/>
      <c r="V99" s="67" t="n">
        <f aca="false">K99*5.5017049523</f>
        <v>20704605.329882</v>
      </c>
      <c r="W99" s="67" t="n">
        <f aca="false">M99*5.5017049523</f>
        <v>640348.61844994</v>
      </c>
      <c r="X99" s="67" t="n">
        <f aca="false">N99*5.1890047538+L99*5.5017049523</f>
        <v>19317162.3154389</v>
      </c>
      <c r="Y99" s="67" t="n">
        <f aca="false">N99*5.1890047538</f>
        <v>12979560.5044664</v>
      </c>
      <c r="Z99" s="67" t="n">
        <f aca="false">L99*5.5017049523</f>
        <v>6337601.81097254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3" t="n">
        <v>29689137.2159441</v>
      </c>
      <c r="G100" s="153" t="n">
        <v>28416165.4321474</v>
      </c>
      <c r="H100" s="67" t="n">
        <f aca="false">F100-J100</f>
        <v>25745135.6672851</v>
      </c>
      <c r="I100" s="67" t="n">
        <f aca="false">G100-K100</f>
        <v>24590483.9299482</v>
      </c>
      <c r="J100" s="153" t="n">
        <v>3944001.54865898</v>
      </c>
      <c r="K100" s="153" t="n">
        <v>3825681.50219921</v>
      </c>
      <c r="L100" s="67" t="n">
        <f aca="false">H100-I100</f>
        <v>1154651.73733693</v>
      </c>
      <c r="M100" s="67" t="n">
        <f aca="false">J100-K100</f>
        <v>118320.04645977</v>
      </c>
      <c r="N100" s="153" t="n">
        <v>2417622.11260417</v>
      </c>
      <c r="O100" s="7"/>
      <c r="P100" s="7"/>
      <c r="Q100" s="67" t="n">
        <f aca="false">I100*5.5017049523</f>
        <v>135289587.21685</v>
      </c>
      <c r="R100" s="67"/>
      <c r="S100" s="67"/>
      <c r="T100" s="7"/>
      <c r="U100" s="7"/>
      <c r="V100" s="67" t="n">
        <f aca="false">K100*5.5017049523</f>
        <v>21047770.8665719</v>
      </c>
      <c r="W100" s="67" t="n">
        <f aca="false">M100*5.5017049523</f>
        <v>650961.985564082</v>
      </c>
      <c r="X100" s="67" t="n">
        <f aca="false">N100*5.1890047538+L100*5.5017049523</f>
        <v>18897605.8166834</v>
      </c>
      <c r="Y100" s="67" t="n">
        <f aca="false">N100*5.1890047538</f>
        <v>12545052.635195</v>
      </c>
      <c r="Z100" s="67" t="n">
        <f aca="false">L100*5.5017049523</f>
        <v>6352553.18148841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3" t="n">
        <v>29920863.791903</v>
      </c>
      <c r="G101" s="153" t="n">
        <v>28637637.2916897</v>
      </c>
      <c r="H101" s="67" t="n">
        <f aca="false">F101-J101</f>
        <v>25894578.7480228</v>
      </c>
      <c r="I101" s="67" t="n">
        <f aca="false">G101-K101</f>
        <v>24732140.7991259</v>
      </c>
      <c r="J101" s="153" t="n">
        <v>4026285.04388021</v>
      </c>
      <c r="K101" s="153" t="n">
        <v>3905496.4925638</v>
      </c>
      <c r="L101" s="67" t="n">
        <f aca="false">H101-I101</f>
        <v>1162437.94889689</v>
      </c>
      <c r="M101" s="67" t="n">
        <f aca="false">J101-K101</f>
        <v>120788.55131641</v>
      </c>
      <c r="N101" s="153" t="n">
        <v>2450498.70540263</v>
      </c>
      <c r="O101" s="7"/>
      <c r="P101" s="7"/>
      <c r="Q101" s="67" t="n">
        <f aca="false">I101*5.5017049523</f>
        <v>136068941.515532</v>
      </c>
      <c r="R101" s="67"/>
      <c r="S101" s="67"/>
      <c r="T101" s="7"/>
      <c r="U101" s="7"/>
      <c r="V101" s="67" t="n">
        <f aca="false">K101*5.5017049523</f>
        <v>21486889.3943285</v>
      </c>
      <c r="W101" s="67" t="n">
        <f aca="false">M101*5.5017049523</f>
        <v>664542.970958635</v>
      </c>
      <c r="X101" s="67" t="n">
        <f aca="false">N101*5.1890047538+L101*5.5017049523</f>
        <v>19111040.0517025</v>
      </c>
      <c r="Y101" s="67" t="n">
        <f aca="false">N101*5.1890047538</f>
        <v>12715649.431515</v>
      </c>
      <c r="Z101" s="67" t="n">
        <f aca="false">L101*5.5017049523</f>
        <v>6395390.62018747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65"/>
      <c r="B102" s="5"/>
      <c r="C102" s="65" t="n">
        <f aca="false">C98+1</f>
        <v>2037</v>
      </c>
      <c r="D102" s="65" t="n">
        <f aca="false">D98</f>
        <v>1</v>
      </c>
      <c r="E102" s="65" t="n">
        <v>249</v>
      </c>
      <c r="F102" s="151" t="n">
        <v>30043684.1971557</v>
      </c>
      <c r="G102" s="151" t="n">
        <v>28754192.9770255</v>
      </c>
      <c r="H102" s="8" t="n">
        <f aca="false">F102-J102</f>
        <v>25966088.564714</v>
      </c>
      <c r="I102" s="8" t="n">
        <f aca="false">G102-K102</f>
        <v>24798925.213557</v>
      </c>
      <c r="J102" s="151" t="n">
        <v>4077595.63244173</v>
      </c>
      <c r="K102" s="151" t="n">
        <v>3955267.76346848</v>
      </c>
      <c r="L102" s="8" t="n">
        <f aca="false">H102-I102</f>
        <v>1167163.35115695</v>
      </c>
      <c r="M102" s="8" t="n">
        <f aca="false">J102-K102</f>
        <v>122327.86897325</v>
      </c>
      <c r="N102" s="151" t="n">
        <v>3033292.86742759</v>
      </c>
      <c r="O102" s="5"/>
      <c r="P102" s="5"/>
      <c r="Q102" s="8" t="n">
        <f aca="false">I102*5.5017049523</f>
        <v>136436369.659144</v>
      </c>
      <c r="R102" s="8"/>
      <c r="S102" s="8"/>
      <c r="T102" s="5"/>
      <c r="U102" s="5"/>
      <c r="V102" s="8" t="n">
        <f aca="false">K102*5.5017049523</f>
        <v>21760716.2419471</v>
      </c>
      <c r="W102" s="8" t="n">
        <f aca="false">M102*5.5017049523</f>
        <v>673011.842534433</v>
      </c>
      <c r="X102" s="8" t="n">
        <f aca="false">N102*5.1890047538+L102*5.5017049523</f>
        <v>22161159.4979527</v>
      </c>
      <c r="Y102" s="8" t="n">
        <f aca="false">N102*5.1890047538</f>
        <v>15739771.1087494</v>
      </c>
      <c r="Z102" s="8" t="n">
        <f aca="false">L102*5.5017049523</f>
        <v>6421388.38920326</v>
      </c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3" t="n">
        <v>30182729.1490829</v>
      </c>
      <c r="G103" s="153" t="n">
        <v>28886810.5585959</v>
      </c>
      <c r="H103" s="67" t="n">
        <f aca="false">F103-J103</f>
        <v>26025500.4622119</v>
      </c>
      <c r="I103" s="67" t="n">
        <f aca="false">G103-K103</f>
        <v>24854298.732331</v>
      </c>
      <c r="J103" s="153" t="n">
        <v>4157228.68687103</v>
      </c>
      <c r="K103" s="153" t="n">
        <v>4032511.82626489</v>
      </c>
      <c r="L103" s="67" t="n">
        <f aca="false">H103-I103</f>
        <v>1171201.72988086</v>
      </c>
      <c r="M103" s="67" t="n">
        <f aca="false">J103-K103</f>
        <v>124716.86060614</v>
      </c>
      <c r="N103" s="153" t="n">
        <v>2474062.37057169</v>
      </c>
      <c r="O103" s="7"/>
      <c r="P103" s="7"/>
      <c r="Q103" s="67" t="n">
        <f aca="false">I103*5.5017049523</f>
        <v>136741018.421609</v>
      </c>
      <c r="R103" s="67"/>
      <c r="S103" s="67"/>
      <c r="T103" s="7"/>
      <c r="U103" s="7"/>
      <c r="V103" s="67" t="n">
        <f aca="false">K103*5.5017049523</f>
        <v>22185690.2847699</v>
      </c>
      <c r="W103" s="67" t="n">
        <f aca="false">M103*5.5017049523</f>
        <v>686155.369632109</v>
      </c>
      <c r="X103" s="67" t="n">
        <f aca="false">N103*5.1890047538+L103*5.5017049523</f>
        <v>19281527.7595221</v>
      </c>
      <c r="Y103" s="67" t="n">
        <f aca="false">N103*5.1890047538</f>
        <v>12837921.4020942</v>
      </c>
      <c r="Z103" s="67" t="n">
        <f aca="false">L103*5.5017049523</f>
        <v>6443606.35742787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3" t="n">
        <v>30409649.1931252</v>
      </c>
      <c r="G104" s="153" t="n">
        <v>29103881.92446</v>
      </c>
      <c r="H104" s="67" t="n">
        <f aca="false">F104-J104</f>
        <v>26149000.4829981</v>
      </c>
      <c r="I104" s="67" t="n">
        <f aca="false">G104-K104</f>
        <v>24971052.6756367</v>
      </c>
      <c r="J104" s="153" t="n">
        <v>4260648.71012713</v>
      </c>
      <c r="K104" s="153" t="n">
        <v>4132829.24882331</v>
      </c>
      <c r="L104" s="67" t="n">
        <f aca="false">H104-I104</f>
        <v>1177947.80736138</v>
      </c>
      <c r="M104" s="67" t="n">
        <f aca="false">J104-K104</f>
        <v>127819.46130382</v>
      </c>
      <c r="N104" s="153" t="n">
        <v>2502186.17551433</v>
      </c>
      <c r="O104" s="7"/>
      <c r="P104" s="7"/>
      <c r="Q104" s="67" t="n">
        <f aca="false">I104*5.5017049523</f>
        <v>137383364.169695</v>
      </c>
      <c r="R104" s="67"/>
      <c r="S104" s="67"/>
      <c r="T104" s="7"/>
      <c r="U104" s="7"/>
      <c r="V104" s="67" t="n">
        <f aca="false">K104*5.5017049523</f>
        <v>22737607.1452615</v>
      </c>
      <c r="W104" s="67" t="n">
        <f aca="false">M104*5.5017049523</f>
        <v>703224.963255547</v>
      </c>
      <c r="X104" s="67" t="n">
        <f aca="false">N104*5.1890047538+L104*5.5017049523</f>
        <v>19464577.2449475</v>
      </c>
      <c r="Y104" s="67" t="n">
        <f aca="false">N104*5.1890047538</f>
        <v>12983855.9596365</v>
      </c>
      <c r="Z104" s="67" t="n">
        <f aca="false">L104*5.5017049523</f>
        <v>6480721.28531103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3" t="n">
        <v>30709561.9847705</v>
      </c>
      <c r="G105" s="153" t="n">
        <v>29390571.3400496</v>
      </c>
      <c r="H105" s="67" t="n">
        <f aca="false">F105-J105</f>
        <v>26321660.9339389</v>
      </c>
      <c r="I105" s="67" t="n">
        <f aca="false">G105-K105</f>
        <v>25134307.320743</v>
      </c>
      <c r="J105" s="153" t="n">
        <v>4387901.05083158</v>
      </c>
      <c r="K105" s="153" t="n">
        <v>4256264.01930664</v>
      </c>
      <c r="L105" s="67" t="n">
        <f aca="false">H105-I105</f>
        <v>1187353.61319596</v>
      </c>
      <c r="M105" s="67" t="n">
        <f aca="false">J105-K105</f>
        <v>131637.031524939</v>
      </c>
      <c r="N105" s="153" t="n">
        <v>2417312.61312608</v>
      </c>
      <c r="O105" s="7"/>
      <c r="P105" s="7"/>
      <c r="Q105" s="67" t="n">
        <f aca="false">I105*5.5017049523</f>
        <v>138281543.059162</v>
      </c>
      <c r="R105" s="67"/>
      <c r="S105" s="67"/>
      <c r="T105" s="7"/>
      <c r="U105" s="7"/>
      <c r="V105" s="67" t="n">
        <f aca="false">K105*5.5017049523</f>
        <v>23416708.8333156</v>
      </c>
      <c r="W105" s="67" t="n">
        <f aca="false">M105*5.5017049523</f>
        <v>724228.108246831</v>
      </c>
      <c r="X105" s="67" t="n">
        <f aca="false">N105*5.1890047538+L105*5.5017049523</f>
        <v>19075915.8947835</v>
      </c>
      <c r="Y105" s="67" t="n">
        <f aca="false">N105*5.1890047538</f>
        <v>12543446.6409319</v>
      </c>
      <c r="Z105" s="67" t="n">
        <f aca="false">L105*5.5017049523</f>
        <v>6532469.25385153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65"/>
      <c r="B106" s="5"/>
      <c r="C106" s="65" t="n">
        <f aca="false">C102+1</f>
        <v>2038</v>
      </c>
      <c r="D106" s="65" t="n">
        <f aca="false">D102</f>
        <v>1</v>
      </c>
      <c r="E106" s="65" t="n">
        <v>253</v>
      </c>
      <c r="F106" s="151" t="n">
        <v>30950328.4626656</v>
      </c>
      <c r="G106" s="151" t="n">
        <v>29620624.2563561</v>
      </c>
      <c r="H106" s="8" t="n">
        <f aca="false">F106-J106</f>
        <v>26512614.0620038</v>
      </c>
      <c r="I106" s="8" t="n">
        <f aca="false">G106-K106</f>
        <v>25316041.2877142</v>
      </c>
      <c r="J106" s="151" t="n">
        <v>4437714.40066177</v>
      </c>
      <c r="K106" s="151" t="n">
        <v>4304582.96864192</v>
      </c>
      <c r="L106" s="8" t="n">
        <f aca="false">H106-I106</f>
        <v>1196572.77428965</v>
      </c>
      <c r="M106" s="8" t="n">
        <f aca="false">J106-K106</f>
        <v>133131.43201985</v>
      </c>
      <c r="N106" s="151" t="n">
        <v>3022027.98036681</v>
      </c>
      <c r="O106" s="5"/>
      <c r="P106" s="5"/>
      <c r="Q106" s="8" t="n">
        <f aca="false">I106*5.5017049523</f>
        <v>139281389.725248</v>
      </c>
      <c r="R106" s="8"/>
      <c r="S106" s="8"/>
      <c r="T106" s="5"/>
      <c r="U106" s="5"/>
      <c r="V106" s="8" t="n">
        <f aca="false">K106*5.5017049523</f>
        <v>23682545.4361635</v>
      </c>
      <c r="W106" s="8" t="n">
        <f aca="false">M106*5.5017049523</f>
        <v>732449.858850401</v>
      </c>
      <c r="X106" s="8" t="n">
        <f aca="false">N106*5.1890047538+L106*5.5017049523</f>
        <v>22264507.9143367</v>
      </c>
      <c r="Y106" s="8" t="n">
        <f aca="false">N106*5.1890047538</f>
        <v>15681317.55624</v>
      </c>
      <c r="Z106" s="8" t="n">
        <f aca="false">L106*5.5017049523</f>
        <v>6583190.35809669</v>
      </c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3" t="n">
        <v>31204544.9708335</v>
      </c>
      <c r="G107" s="153" t="n">
        <v>29863272.139154</v>
      </c>
      <c r="H107" s="67" t="n">
        <f aca="false">F107-J107</f>
        <v>26715098.2500726</v>
      </c>
      <c r="I107" s="67" t="n">
        <f aca="false">G107-K107</f>
        <v>25508508.8200159</v>
      </c>
      <c r="J107" s="153" t="n">
        <v>4489446.72076091</v>
      </c>
      <c r="K107" s="153" t="n">
        <v>4354763.31913809</v>
      </c>
      <c r="L107" s="67" t="n">
        <f aca="false">H107-I107</f>
        <v>1206589.43005668</v>
      </c>
      <c r="M107" s="67" t="n">
        <f aca="false">J107-K107</f>
        <v>134683.40162282</v>
      </c>
      <c r="N107" s="153" t="n">
        <v>2449982.87655541</v>
      </c>
      <c r="O107" s="7"/>
      <c r="P107" s="7"/>
      <c r="Q107" s="67" t="n">
        <f aca="false">I107*5.5017049523</f>
        <v>140340289.30087</v>
      </c>
      <c r="R107" s="67"/>
      <c r="S107" s="67"/>
      <c r="T107" s="7"/>
      <c r="U107" s="7"/>
      <c r="V107" s="67" t="n">
        <f aca="false">K107*5.5017049523</f>
        <v>23958622.9189964</v>
      </c>
      <c r="W107" s="67" t="n">
        <f aca="false">M107*5.5017049523</f>
        <v>740988.337700877</v>
      </c>
      <c r="X107" s="67" t="n">
        <f aca="false">N107*5.1890047538+L107*5.5017049523</f>
        <v>19351271.8359103</v>
      </c>
      <c r="Y107" s="67" t="n">
        <f aca="false">N107*5.1890047538</f>
        <v>12712972.7931746</v>
      </c>
      <c r="Z107" s="67" t="n">
        <f aca="false">L107*5.5017049523</f>
        <v>6638299.04273569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3" t="n">
        <v>31346778.6107834</v>
      </c>
      <c r="G108" s="153" t="n">
        <v>29998687.8634746</v>
      </c>
      <c r="H108" s="67" t="n">
        <f aca="false">F108-J108</f>
        <v>26787169.2053415</v>
      </c>
      <c r="I108" s="67" t="n">
        <f aca="false">G108-K108</f>
        <v>25575866.740196</v>
      </c>
      <c r="J108" s="153" t="n">
        <v>4559609.40544185</v>
      </c>
      <c r="K108" s="153" t="n">
        <v>4422821.12327859</v>
      </c>
      <c r="L108" s="67" t="n">
        <f aca="false">H108-I108</f>
        <v>1211302.46514554</v>
      </c>
      <c r="M108" s="67" t="n">
        <f aca="false">J108-K108</f>
        <v>136788.282163261</v>
      </c>
      <c r="N108" s="153" t="n">
        <v>2465436.16424105</v>
      </c>
      <c r="O108" s="7"/>
      <c r="P108" s="7"/>
      <c r="Q108" s="67" t="n">
        <f aca="false">I108*5.5017049523</f>
        <v>140710872.703901</v>
      </c>
      <c r="R108" s="67"/>
      <c r="S108" s="67"/>
      <c r="T108" s="7"/>
      <c r="U108" s="7"/>
      <c r="V108" s="67" t="n">
        <f aca="false">K108*5.5017049523</f>
        <v>24333056.8770789</v>
      </c>
      <c r="W108" s="67" t="n">
        <f aca="false">M108*5.5017049523</f>
        <v>752568.76939422</v>
      </c>
      <c r="X108" s="67" t="n">
        <f aca="false">N108*5.1890047538+L108*5.5017049523</f>
        <v>19457388.7476616</v>
      </c>
      <c r="Y108" s="67" t="n">
        <f aca="false">N108*5.1890047538</f>
        <v>12793159.9764372</v>
      </c>
      <c r="Z108" s="67" t="n">
        <f aca="false">L108*5.5017049523</f>
        <v>6664228.77122439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3" t="n">
        <v>31440357.1401939</v>
      </c>
      <c r="G109" s="153" t="n">
        <v>30087859.5136198</v>
      </c>
      <c r="H109" s="67" t="n">
        <f aca="false">F109-J109</f>
        <v>26859958.0279242</v>
      </c>
      <c r="I109" s="67" t="n">
        <f aca="false">G109-K109</f>
        <v>25644872.3747182</v>
      </c>
      <c r="J109" s="153" t="n">
        <v>4580399.1122697</v>
      </c>
      <c r="K109" s="153" t="n">
        <v>4442987.1389016</v>
      </c>
      <c r="L109" s="67" t="n">
        <f aca="false">H109-I109</f>
        <v>1215085.653206</v>
      </c>
      <c r="M109" s="67" t="n">
        <f aca="false">J109-K109</f>
        <v>137411.9733681</v>
      </c>
      <c r="N109" s="153" t="n">
        <v>2401078.76763506</v>
      </c>
      <c r="O109" s="7"/>
      <c r="P109" s="7"/>
      <c r="Q109" s="67" t="n">
        <f aca="false">I109*5.5017049523</f>
        <v>141090521.345089</v>
      </c>
      <c r="R109" s="67"/>
      <c r="S109" s="67"/>
      <c r="T109" s="7"/>
      <c r="U109" s="7"/>
      <c r="V109" s="67" t="n">
        <f aca="false">K109*5.5017049523</f>
        <v>24444004.3451001</v>
      </c>
      <c r="W109" s="67" t="n">
        <f aca="false">M109*5.5017049523</f>
        <v>756000.134384591</v>
      </c>
      <c r="X109" s="67" t="n">
        <f aca="false">N109*5.1890047538+L109*5.5017049523</f>
        <v>19144251.8952187</v>
      </c>
      <c r="Y109" s="67" t="n">
        <f aca="false">N109*5.1890047538</f>
        <v>12459209.1395066</v>
      </c>
      <c r="Z109" s="67" t="n">
        <f aca="false">L109*5.5017049523</f>
        <v>6685042.75571212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65"/>
      <c r="B110" s="5"/>
      <c r="C110" s="65" t="n">
        <f aca="false">C106+1</f>
        <v>2039</v>
      </c>
      <c r="D110" s="65" t="n">
        <f aca="false">D106</f>
        <v>1</v>
      </c>
      <c r="E110" s="65" t="n">
        <v>257</v>
      </c>
      <c r="F110" s="151" t="n">
        <v>31638154.296175</v>
      </c>
      <c r="G110" s="151" t="n">
        <v>30277082.4582704</v>
      </c>
      <c r="H110" s="8" t="n">
        <f aca="false">F110-J110</f>
        <v>26944070.9945626</v>
      </c>
      <c r="I110" s="8" t="n">
        <f aca="false">G110-K110</f>
        <v>25723821.6557063</v>
      </c>
      <c r="J110" s="151" t="n">
        <v>4694083.30161244</v>
      </c>
      <c r="K110" s="151" t="n">
        <v>4553260.80256407</v>
      </c>
      <c r="L110" s="8" t="n">
        <f aca="false">H110-I110</f>
        <v>1220249.33885623</v>
      </c>
      <c r="M110" s="8" t="n">
        <f aca="false">J110-K110</f>
        <v>140822.49904837</v>
      </c>
      <c r="N110" s="151" t="n">
        <v>3029219.44233788</v>
      </c>
      <c r="O110" s="5"/>
      <c r="P110" s="5"/>
      <c r="Q110" s="8" t="n">
        <f aca="false">I110*5.5017049523</f>
        <v>141524876.995282</v>
      </c>
      <c r="R110" s="8"/>
      <c r="S110" s="8"/>
      <c r="T110" s="5"/>
      <c r="U110" s="5"/>
      <c r="V110" s="8" t="n">
        <f aca="false">K110*5.5017049523</f>
        <v>25050697.5065802</v>
      </c>
      <c r="W110" s="8" t="n">
        <f aca="false">M110*5.5017049523</f>
        <v>774763.840409679</v>
      </c>
      <c r="X110" s="8" t="n">
        <f aca="false">N110*5.1890047538+L110*5.5017049523</f>
        <v>22432085.9172208</v>
      </c>
      <c r="Y110" s="8" t="n">
        <f aca="false">N110*5.1890047538</f>
        <v>15718634.0865946</v>
      </c>
      <c r="Z110" s="8" t="n">
        <f aca="false">L110*5.5017049523</f>
        <v>6713451.83062611</v>
      </c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3" t="n">
        <v>31800541.2699913</v>
      </c>
      <c r="G111" s="153" t="n">
        <v>30432442.9106354</v>
      </c>
      <c r="H111" s="67" t="n">
        <f aca="false">F111-J111</f>
        <v>27033033.7917382</v>
      </c>
      <c r="I111" s="67" t="n">
        <f aca="false">G111-K111</f>
        <v>25807960.6567299</v>
      </c>
      <c r="J111" s="153" t="n">
        <v>4767507.47825311</v>
      </c>
      <c r="K111" s="153" t="n">
        <v>4624482.25390552</v>
      </c>
      <c r="L111" s="67" t="n">
        <f aca="false">H111-I111</f>
        <v>1225073.13500831</v>
      </c>
      <c r="M111" s="67" t="n">
        <f aca="false">J111-K111</f>
        <v>143025.22434759</v>
      </c>
      <c r="N111" s="153" t="n">
        <v>2403963.93919447</v>
      </c>
      <c r="O111" s="7"/>
      <c r="P111" s="7"/>
      <c r="Q111" s="67" t="n">
        <f aca="false">I111*5.5017049523</f>
        <v>141987784.953894</v>
      </c>
      <c r="R111" s="67"/>
      <c r="S111" s="67"/>
      <c r="T111" s="7"/>
      <c r="U111" s="7"/>
      <c r="V111" s="67" t="n">
        <f aca="false">K111*5.5017049523</f>
        <v>25442536.9181355</v>
      </c>
      <c r="W111" s="67" t="n">
        <f aca="false">M111*5.5017049523</f>
        <v>786882.585096957</v>
      </c>
      <c r="X111" s="67" t="n">
        <f aca="false">N111*5.1890047538+L111*5.5017049523</f>
        <v>19214171.2422488</v>
      </c>
      <c r="Y111" s="67" t="n">
        <f aca="false">N111*5.1890047538</f>
        <v>12474180.3084439</v>
      </c>
      <c r="Z111" s="67" t="n">
        <f aca="false">L111*5.5017049523</f>
        <v>6739990.9338049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3" t="n">
        <v>31873194.8282138</v>
      </c>
      <c r="G112" s="153" t="n">
        <v>30501358.7224556</v>
      </c>
      <c r="H112" s="67" t="n">
        <f aca="false">F112-J112</f>
        <v>27023695.0479984</v>
      </c>
      <c r="I112" s="67" t="n">
        <f aca="false">G112-K112</f>
        <v>25797343.9356467</v>
      </c>
      <c r="J112" s="153" t="n">
        <v>4849499.7802154</v>
      </c>
      <c r="K112" s="153" t="n">
        <v>4704014.78680894</v>
      </c>
      <c r="L112" s="67" t="n">
        <f aca="false">H112-I112</f>
        <v>1226351.11235174</v>
      </c>
      <c r="M112" s="67" t="n">
        <f aca="false">J112-K112</f>
        <v>145484.993406461</v>
      </c>
      <c r="N112" s="153" t="n">
        <v>2357606.76893198</v>
      </c>
      <c r="O112" s="7"/>
      <c r="P112" s="7"/>
      <c r="Q112" s="67" t="n">
        <f aca="false">I112*5.5017049523</f>
        <v>141929374.886934</v>
      </c>
      <c r="R112" s="67"/>
      <c r="S112" s="67"/>
      <c r="T112" s="7"/>
      <c r="U112" s="7"/>
      <c r="V112" s="67" t="n">
        <f aca="false">K112*5.5017049523</f>
        <v>25880101.4482792</v>
      </c>
      <c r="W112" s="67" t="n">
        <f aca="false">M112*5.5017049523</f>
        <v>800415.508709657</v>
      </c>
      <c r="X112" s="67" t="n">
        <f aca="false">N112*5.1890047538+L112*5.5017049523</f>
        <v>18980654.7196633</v>
      </c>
      <c r="Y112" s="67" t="n">
        <f aca="false">N112*5.1890047538</f>
        <v>12233632.7315791</v>
      </c>
      <c r="Z112" s="67" t="n">
        <f aca="false">L112*5.5017049523</f>
        <v>6747021.98808417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3" t="n">
        <v>31959645.7793435</v>
      </c>
      <c r="G113" s="153" t="n">
        <v>30584239.2598798</v>
      </c>
      <c r="H113" s="67" t="n">
        <f aca="false">F113-J113</f>
        <v>27016490.1291773</v>
      </c>
      <c r="I113" s="67" t="n">
        <f aca="false">G113-K113</f>
        <v>25789378.2792186</v>
      </c>
      <c r="J113" s="153" t="n">
        <v>4943155.65016622</v>
      </c>
      <c r="K113" s="153" t="n">
        <v>4794860.98066123</v>
      </c>
      <c r="L113" s="67" t="n">
        <f aca="false">H113-I113</f>
        <v>1227111.84995871</v>
      </c>
      <c r="M113" s="67" t="n">
        <f aca="false">J113-K113</f>
        <v>148294.66950499</v>
      </c>
      <c r="N113" s="153" t="n">
        <v>2364243.24492185</v>
      </c>
      <c r="O113" s="7"/>
      <c r="P113" s="7"/>
      <c r="Q113" s="67" t="n">
        <f aca="false">I113*5.5017049523</f>
        <v>141885550.195515</v>
      </c>
      <c r="R113" s="67"/>
      <c r="S113" s="67"/>
      <c r="T113" s="7"/>
      <c r="U113" s="7"/>
      <c r="V113" s="67" t="n">
        <f aca="false">K113*5.5017049523</f>
        <v>26379910.4028939</v>
      </c>
      <c r="W113" s="67" t="n">
        <f aca="false">M113*5.5017049523</f>
        <v>815873.517615295</v>
      </c>
      <c r="X113" s="67" t="n">
        <f aca="false">N113*5.1890047538+L113*5.5017049523</f>
        <v>19019276.7789829</v>
      </c>
      <c r="Y113" s="67" t="n">
        <f aca="false">N113*5.1890047538</f>
        <v>12268069.437039</v>
      </c>
      <c r="Z113" s="67" t="n">
        <f aca="false">L113*5.5017049523</f>
        <v>6751207.34194385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65"/>
      <c r="B114" s="5"/>
      <c r="C114" s="65" t="n">
        <f aca="false">C110+1</f>
        <v>2040</v>
      </c>
      <c r="D114" s="65" t="n">
        <f aca="false">D110</f>
        <v>1</v>
      </c>
      <c r="E114" s="65" t="n">
        <v>261</v>
      </c>
      <c r="F114" s="151" t="n">
        <v>32111565.9096708</v>
      </c>
      <c r="G114" s="151" t="n">
        <v>30729692.1977547</v>
      </c>
      <c r="H114" s="8" t="n">
        <f aca="false">F114-J114</f>
        <v>27095987.5406985</v>
      </c>
      <c r="I114" s="8" t="n">
        <f aca="false">G114-K114</f>
        <v>25864581.1798516</v>
      </c>
      <c r="J114" s="151" t="n">
        <v>5015578.36897228</v>
      </c>
      <c r="K114" s="151" t="n">
        <v>4865111.01790311</v>
      </c>
      <c r="L114" s="8" t="n">
        <f aca="false">H114-I114</f>
        <v>1231406.36084693</v>
      </c>
      <c r="M114" s="8" t="n">
        <f aca="false">J114-K114</f>
        <v>150467.35106917</v>
      </c>
      <c r="N114" s="151" t="n">
        <v>2859295.13482989</v>
      </c>
      <c r="O114" s="5"/>
      <c r="P114" s="5"/>
      <c r="Q114" s="8" t="n">
        <f aca="false">I114*5.5017049523</f>
        <v>142299294.366355</v>
      </c>
      <c r="R114" s="8"/>
      <c r="S114" s="8"/>
      <c r="T114" s="5"/>
      <c r="U114" s="5"/>
      <c r="V114" s="8" t="n">
        <f aca="false">K114*5.5017049523</f>
        <v>26766405.3806868</v>
      </c>
      <c r="W114" s="8" t="n">
        <f aca="false">M114*5.5017049523</f>
        <v>827826.970536716</v>
      </c>
      <c r="X114" s="8" t="n">
        <f aca="false">N114*5.1890047538+L114*5.5017049523</f>
        <v>21611730.5209148</v>
      </c>
      <c r="Y114" s="8" t="n">
        <f aca="false">N114*5.1890047538</f>
        <v>14836896.0471495</v>
      </c>
      <c r="Z114" s="8" t="n">
        <f aca="false">L114*5.5017049523</f>
        <v>6774834.47376527</v>
      </c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3" t="n">
        <v>32214224.012778</v>
      </c>
      <c r="G115" s="153" t="n">
        <v>30827763.5334009</v>
      </c>
      <c r="H115" s="67" t="n">
        <f aca="false">F115-J115</f>
        <v>27152959.604402</v>
      </c>
      <c r="I115" s="67" t="n">
        <f aca="false">G115-K115</f>
        <v>25918337.0572762</v>
      </c>
      <c r="J115" s="153" t="n">
        <v>5061264.40837601</v>
      </c>
      <c r="K115" s="153" t="n">
        <v>4909426.47612473</v>
      </c>
      <c r="L115" s="67" t="n">
        <f aca="false">H115-I115</f>
        <v>1234622.54712582</v>
      </c>
      <c r="M115" s="67" t="n">
        <f aca="false">J115-K115</f>
        <v>151837.93225128</v>
      </c>
      <c r="N115" s="153" t="n">
        <v>2253103.9762777</v>
      </c>
      <c r="O115" s="7"/>
      <c r="P115" s="7"/>
      <c r="Q115" s="67" t="n">
        <f aca="false">I115*5.5017049523</f>
        <v>142595043.343397</v>
      </c>
      <c r="R115" s="67"/>
      <c r="S115" s="67"/>
      <c r="T115" s="7"/>
      <c r="U115" s="7"/>
      <c r="V115" s="67" t="n">
        <f aca="false">K115*5.5017049523</f>
        <v>27010215.9566482</v>
      </c>
      <c r="W115" s="67" t="n">
        <f aca="false">M115*5.5017049523</f>
        <v>835367.50381386</v>
      </c>
      <c r="X115" s="67" t="n">
        <f aca="false">N115*5.1890047538+L115*5.5017049523</f>
        <v>18483896.225454</v>
      </c>
      <c r="Y115" s="67" t="n">
        <f aca="false">N115*5.1890047538</f>
        <v>11691367.2437107</v>
      </c>
      <c r="Z115" s="67" t="n">
        <f aca="false">L115*5.5017049523</f>
        <v>6792528.98174337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3" t="n">
        <v>32403080.8176555</v>
      </c>
      <c r="G116" s="153" t="n">
        <v>31007860.0489823</v>
      </c>
      <c r="H116" s="67" t="n">
        <f aca="false">F116-J116</f>
        <v>27286360.7225864</v>
      </c>
      <c r="I116" s="67" t="n">
        <f aca="false">G116-K116</f>
        <v>26044641.5567653</v>
      </c>
      <c r="J116" s="153" t="n">
        <v>5116720.09506908</v>
      </c>
      <c r="K116" s="153" t="n">
        <v>4963218.492217</v>
      </c>
      <c r="L116" s="67" t="n">
        <f aca="false">H116-I116</f>
        <v>1241719.16582112</v>
      </c>
      <c r="M116" s="67" t="n">
        <f aca="false">J116-K116</f>
        <v>153501.60285208</v>
      </c>
      <c r="N116" s="153" t="n">
        <v>2221941.49637242</v>
      </c>
      <c r="O116" s="7"/>
      <c r="P116" s="7"/>
      <c r="Q116" s="67" t="n">
        <f aca="false">I116*5.5017049523</f>
        <v>143289933.433734</v>
      </c>
      <c r="R116" s="67"/>
      <c r="S116" s="67"/>
      <c r="T116" s="7"/>
      <c r="U116" s="7"/>
      <c r="V116" s="67" t="n">
        <f aca="false">K116*5.5017049523</f>
        <v>27306163.7579772</v>
      </c>
      <c r="W116" s="67" t="n">
        <f aca="false">M116*5.5017049523</f>
        <v>844520.528597277</v>
      </c>
      <c r="X116" s="67" t="n">
        <f aca="false">N116*5.1890047538+L116*5.5017049523</f>
        <v>18361237.4713059</v>
      </c>
      <c r="Y116" s="67" t="n">
        <f aca="false">N116*5.1890047538</f>
        <v>11529664.987342</v>
      </c>
      <c r="Z116" s="67" t="n">
        <f aca="false">L116*5.5017049523</f>
        <v>6831572.48396388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3" t="n">
        <v>32752246.3877814</v>
      </c>
      <c r="G117" s="153" t="n">
        <v>31340733.7417408</v>
      </c>
      <c r="H117" s="67" t="n">
        <f aca="false">F117-J117</f>
        <v>27526214.8833559</v>
      </c>
      <c r="I117" s="67" t="n">
        <f aca="false">G117-K117</f>
        <v>26271483.182448</v>
      </c>
      <c r="J117" s="153" t="n">
        <v>5226031.50442553</v>
      </c>
      <c r="K117" s="153" t="n">
        <v>5069250.55929276</v>
      </c>
      <c r="L117" s="67" t="n">
        <f aca="false">H117-I117</f>
        <v>1254731.70090783</v>
      </c>
      <c r="M117" s="67" t="n">
        <f aca="false">J117-K117</f>
        <v>156780.945132771</v>
      </c>
      <c r="N117" s="153" t="n">
        <v>2229333.40878407</v>
      </c>
      <c r="O117" s="7"/>
      <c r="P117" s="7"/>
      <c r="Q117" s="67" t="n">
        <f aca="false">I117*5.5017049523</f>
        <v>144537949.129141</v>
      </c>
      <c r="R117" s="67"/>
      <c r="S117" s="67"/>
      <c r="T117" s="7"/>
      <c r="U117" s="7"/>
      <c r="V117" s="67" t="n">
        <f aca="false">K117*5.5017049523</f>
        <v>27889520.9065105</v>
      </c>
      <c r="W117" s="67" t="n">
        <f aca="false">M117*5.5017049523</f>
        <v>862562.502263238</v>
      </c>
      <c r="X117" s="67" t="n">
        <f aca="false">N117*5.1890047538+L117*5.5017049523</f>
        <v>18471185.2686781</v>
      </c>
      <c r="Y117" s="67" t="n">
        <f aca="false">N117*5.1890047538</f>
        <v>11568021.6559857</v>
      </c>
      <c r="Z117" s="67" t="n">
        <f aca="false">L117*5.5017049523</f>
        <v>6903163.61269241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1" activeCellId="0" sqref="J21"/>
    </sheetView>
  </sheetViews>
  <sheetFormatPr defaultColWidth="9.019531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2"/>
      <c r="B1" s="133"/>
      <c r="C1" s="132"/>
      <c r="D1" s="132"/>
      <c r="E1" s="132"/>
      <c r="F1" s="134" t="s">
        <v>159</v>
      </c>
      <c r="G1" s="134" t="s">
        <v>160</v>
      </c>
      <c r="H1" s="132"/>
      <c r="I1" s="132"/>
      <c r="J1" s="135" t="s">
        <v>161</v>
      </c>
      <c r="K1" s="135" t="s">
        <v>162</v>
      </c>
      <c r="L1" s="132"/>
      <c r="M1" s="136"/>
      <c r="N1" s="137" t="s">
        <v>163</v>
      </c>
      <c r="O1" s="132"/>
      <c r="P1" s="133"/>
      <c r="Q1" s="132"/>
      <c r="R1" s="132"/>
      <c r="S1" s="132"/>
      <c r="T1" s="132"/>
      <c r="U1" s="133"/>
      <c r="V1" s="132"/>
      <c r="W1" s="132"/>
      <c r="X1" s="132"/>
      <c r="Y1" s="132"/>
      <c r="Z1" s="132"/>
      <c r="AA1" s="132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</row>
    <row r="2" customFormat="false" ht="12.8" hidden="false" customHeight="true" outlineLevel="0" collapsed="false">
      <c r="A2" s="132"/>
      <c r="B2" s="133"/>
      <c r="C2" s="132"/>
      <c r="D2" s="132"/>
      <c r="E2" s="132"/>
      <c r="F2" s="135" t="s">
        <v>164</v>
      </c>
      <c r="G2" s="135" t="s">
        <v>165</v>
      </c>
      <c r="H2" s="132"/>
      <c r="I2" s="132"/>
      <c r="J2" s="137"/>
      <c r="K2" s="137"/>
      <c r="L2" s="132"/>
      <c r="M2" s="136"/>
      <c r="N2" s="137" t="s">
        <v>166</v>
      </c>
      <c r="O2" s="132"/>
      <c r="P2" s="133"/>
      <c r="Q2" s="132"/>
      <c r="R2" s="132"/>
      <c r="S2" s="132"/>
      <c r="T2" s="132"/>
      <c r="U2" s="133"/>
      <c r="V2" s="132"/>
      <c r="W2" s="132"/>
      <c r="X2" s="132"/>
      <c r="Y2" s="132"/>
      <c r="Z2" s="132"/>
      <c r="AA2" s="132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71.75" hidden="false" customHeight="true" outlineLevel="0" collapsed="false">
      <c r="A3" s="139" t="s">
        <v>167</v>
      </c>
      <c r="B3" s="140"/>
      <c r="C3" s="139" t="s">
        <v>168</v>
      </c>
      <c r="D3" s="139" t="s">
        <v>169</v>
      </c>
      <c r="E3" s="139" t="s">
        <v>170</v>
      </c>
      <c r="F3" s="141" t="s">
        <v>171</v>
      </c>
      <c r="G3" s="141" t="s">
        <v>172</v>
      </c>
      <c r="H3" s="139" t="s">
        <v>173</v>
      </c>
      <c r="I3" s="139" t="s">
        <v>174</v>
      </c>
      <c r="J3" s="141" t="s">
        <v>175</v>
      </c>
      <c r="K3" s="141" t="s">
        <v>176</v>
      </c>
      <c r="L3" s="139" t="s">
        <v>177</v>
      </c>
      <c r="M3" s="142" t="s">
        <v>178</v>
      </c>
      <c r="N3" s="141" t="s">
        <v>179</v>
      </c>
      <c r="O3" s="139" t="s">
        <v>180</v>
      </c>
      <c r="P3" s="140" t="s">
        <v>181</v>
      </c>
      <c r="Q3" s="139" t="s">
        <v>182</v>
      </c>
      <c r="R3" s="139" t="s">
        <v>183</v>
      </c>
      <c r="S3" s="139" t="s">
        <v>184</v>
      </c>
      <c r="T3" s="139" t="s">
        <v>185</v>
      </c>
      <c r="U3" s="140" t="s">
        <v>186</v>
      </c>
      <c r="V3" s="139" t="s">
        <v>187</v>
      </c>
      <c r="W3" s="139" t="s">
        <v>188</v>
      </c>
      <c r="X3" s="139" t="s">
        <v>189</v>
      </c>
      <c r="Y3" s="139" t="s">
        <v>190</v>
      </c>
      <c r="Z3" s="139" t="s">
        <v>191</v>
      </c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</row>
    <row r="4" customFormat="false" ht="12.8" hidden="false" customHeight="false" outlineLevel="0" collapsed="false">
      <c r="A4" s="144" t="s">
        <v>192</v>
      </c>
      <c r="B4" s="145"/>
      <c r="C4" s="144" t="n">
        <v>2014</v>
      </c>
      <c r="D4" s="144" t="n">
        <v>1</v>
      </c>
      <c r="E4" s="144" t="n">
        <v>1005</v>
      </c>
      <c r="F4" s="146" t="n">
        <v>13919743</v>
      </c>
      <c r="G4" s="146" t="n">
        <v>13367098</v>
      </c>
      <c r="H4" s="147" t="n">
        <f aca="false">F4-J4</f>
        <v>13919743</v>
      </c>
      <c r="I4" s="147" t="n">
        <f aca="false">G4-K4</f>
        <v>13367098</v>
      </c>
      <c r="J4" s="148"/>
      <c r="K4" s="148"/>
      <c r="L4" s="147" t="n">
        <f aca="false">H4-I4</f>
        <v>552645</v>
      </c>
      <c r="M4" s="147" t="n">
        <f aca="false">J4-K4</f>
        <v>0</v>
      </c>
      <c r="N4" s="146" t="n">
        <v>2431521</v>
      </c>
      <c r="O4" s="149" t="n">
        <v>68064666.1181856</v>
      </c>
      <c r="P4" s="144" t="n">
        <f aca="false">O4/I4</f>
        <v>5.09195534574412</v>
      </c>
      <c r="Q4" s="147" t="n">
        <f aca="false">I4*5.5017049523</f>
        <v>73541829.2644794</v>
      </c>
      <c r="R4" s="147" t="n">
        <v>11018747.8054275</v>
      </c>
      <c r="S4" s="147" t="n">
        <v>2463940.91347832</v>
      </c>
      <c r="T4" s="149" t="n">
        <v>13733232.3112091</v>
      </c>
      <c r="U4" s="144" t="n">
        <f aca="false">R4/N4</f>
        <v>4.53162765422445</v>
      </c>
      <c r="V4" s="145"/>
      <c r="W4" s="145"/>
      <c r="X4" s="147" t="n">
        <f aca="false">N4*U12+L4*P13</f>
        <v>15657663.7612308</v>
      </c>
      <c r="Y4" s="147" t="n">
        <f aca="false">N4*5.1890047538</f>
        <v>12617174.0279645</v>
      </c>
      <c r="Z4" s="147" t="n">
        <f aca="false">L4*5.5017049523</f>
        <v>3040489.73336383</v>
      </c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</row>
    <row r="5" customFormat="false" ht="12.8" hidden="false" customHeight="false" outlineLevel="0" collapsed="false">
      <c r="B5" s="145"/>
      <c r="C5" s="144" t="n">
        <v>2014</v>
      </c>
      <c r="D5" s="144" t="n">
        <v>2</v>
      </c>
      <c r="E5" s="144" t="n">
        <v>1004</v>
      </c>
      <c r="F5" s="146" t="n">
        <v>14482790</v>
      </c>
      <c r="G5" s="146" t="n">
        <v>13911325</v>
      </c>
      <c r="H5" s="147" t="n">
        <f aca="false">F5-J5</f>
        <v>14482790</v>
      </c>
      <c r="I5" s="147" t="n">
        <f aca="false">G5-K5</f>
        <v>13911325</v>
      </c>
      <c r="J5" s="148"/>
      <c r="K5" s="148"/>
      <c r="L5" s="147" t="n">
        <f aca="false">H5-I5</f>
        <v>571465</v>
      </c>
      <c r="M5" s="147" t="n">
        <f aca="false">J5-K5</f>
        <v>0</v>
      </c>
      <c r="N5" s="146" t="n">
        <v>2156056</v>
      </c>
      <c r="O5" s="149" t="n">
        <v>80470827.8892677</v>
      </c>
      <c r="P5" s="144" t="n">
        <f aca="false">O5/I5</f>
        <v>5.78455523749662</v>
      </c>
      <c r="Q5" s="147" t="n">
        <f aca="false">I5*5.5017049523</f>
        <v>76536005.6455548</v>
      </c>
      <c r="R5" s="147" t="n">
        <v>13090128.797517</v>
      </c>
      <c r="S5" s="147" t="n">
        <v>2913043.96959149</v>
      </c>
      <c r="T5" s="149" t="n">
        <v>16270046.9661959</v>
      </c>
      <c r="U5" s="144" t="n">
        <f aca="false">R5/N5</f>
        <v>6.07133061363759</v>
      </c>
      <c r="V5" s="145"/>
      <c r="W5" s="145"/>
      <c r="X5" s="147" t="n">
        <f aca="false">N5*5.1890047538+L5*5.5017049523</f>
        <v>14331816.6540251</v>
      </c>
      <c r="Y5" s="147" t="n">
        <f aca="false">N5*5.1890047538</f>
        <v>11187784.833459</v>
      </c>
      <c r="Z5" s="147" t="n">
        <f aca="false">L5*5.5017049523</f>
        <v>3144031.82056612</v>
      </c>
    </row>
    <row r="6" customFormat="false" ht="12.8" hidden="false" customHeight="false" outlineLevel="0" collapsed="false">
      <c r="B6" s="145"/>
      <c r="C6" s="144" t="n">
        <v>2014</v>
      </c>
      <c r="D6" s="144" t="n">
        <v>3</v>
      </c>
      <c r="E6" s="144" t="n">
        <v>1003</v>
      </c>
      <c r="F6" s="146" t="n">
        <v>15149966</v>
      </c>
      <c r="G6" s="146" t="n">
        <v>14531608</v>
      </c>
      <c r="H6" s="147" t="n">
        <f aca="false">F6-J6</f>
        <v>15149966</v>
      </c>
      <c r="I6" s="147" t="n">
        <f aca="false">G6-K6</f>
        <v>14531608</v>
      </c>
      <c r="J6" s="148"/>
      <c r="K6" s="148"/>
      <c r="L6" s="147" t="n">
        <f aca="false">H6-I6</f>
        <v>618358</v>
      </c>
      <c r="M6" s="147" t="n">
        <f aca="false">J6-K6</f>
        <v>0</v>
      </c>
      <c r="N6" s="146" t="n">
        <v>2697106</v>
      </c>
      <c r="O6" s="149" t="n">
        <v>71025009.1540406</v>
      </c>
      <c r="P6" s="144" t="n">
        <f aca="false">O6/I6</f>
        <v>4.88762215124717</v>
      </c>
      <c r="Q6" s="147" t="n">
        <f aca="false">I6*5.5017049523</f>
        <v>79948619.6984823</v>
      </c>
      <c r="R6" s="147" t="n">
        <v>13303482.9648562</v>
      </c>
      <c r="S6" s="147" t="n">
        <v>2571105.33137627</v>
      </c>
      <c r="T6" s="149" t="n">
        <v>17670963.688597</v>
      </c>
      <c r="U6" s="144" t="n">
        <f aca="false">R6/N6</f>
        <v>4.93250282519716</v>
      </c>
      <c r="V6" s="145"/>
      <c r="W6" s="145"/>
      <c r="X6" s="147" t="n">
        <f aca="false">N6*5.1890047538+L6*5.5017049523</f>
        <v>17397319.1263968</v>
      </c>
      <c r="Y6" s="147" t="n">
        <f aca="false">N6*5.1890047538</f>
        <v>13995295.8555025</v>
      </c>
      <c r="Z6" s="147" t="n">
        <f aca="false">L6*5.5017049523</f>
        <v>3402023.27089432</v>
      </c>
    </row>
    <row r="7" customFormat="false" ht="12.8" hidden="false" customHeight="false" outlineLevel="0" collapsed="false">
      <c r="B7" s="145"/>
      <c r="C7" s="144" t="n">
        <v>2014</v>
      </c>
      <c r="D7" s="144" t="n">
        <v>4</v>
      </c>
      <c r="E7" s="144" t="n">
        <v>160</v>
      </c>
      <c r="F7" s="146" t="n">
        <v>15745971</v>
      </c>
      <c r="G7" s="146" t="n">
        <v>15148486</v>
      </c>
      <c r="H7" s="147" t="n">
        <f aca="false">F7-J7</f>
        <v>15745971</v>
      </c>
      <c r="I7" s="147" t="n">
        <f aca="false">G7-K7</f>
        <v>15148486</v>
      </c>
      <c r="J7" s="148"/>
      <c r="K7" s="148"/>
      <c r="L7" s="147" t="n">
        <f aca="false">H7-I7</f>
        <v>597485</v>
      </c>
      <c r="M7" s="147" t="n">
        <f aca="false">J7-K7</f>
        <v>0</v>
      </c>
      <c r="N7" s="146" t="n">
        <v>2598761</v>
      </c>
      <c r="O7" s="149" t="n">
        <v>90838150.786</v>
      </c>
      <c r="P7" s="144" t="n">
        <f aca="false">O7/I7</f>
        <v>5.99651679950062</v>
      </c>
      <c r="Q7" s="147" t="n">
        <f aca="false">I7*5.5017049523</f>
        <v>83342500.4460472</v>
      </c>
      <c r="R7" s="147" t="n">
        <v>12713686.068</v>
      </c>
      <c r="S7" s="147" t="n">
        <v>3288341.0584532</v>
      </c>
      <c r="T7" s="149" t="n">
        <v>17161490.7544532</v>
      </c>
      <c r="U7" s="144" t="n">
        <f aca="false">R7/N7</f>
        <v>4.89221058342803</v>
      </c>
      <c r="V7" s="145"/>
      <c r="W7" s="145"/>
      <c r="X7" s="147" t="n">
        <f aca="false">N7*5.1890047538+L7*5.5017049523</f>
        <v>16772169.366415</v>
      </c>
      <c r="Y7" s="147" t="n">
        <f aca="false">N7*5.1890047538</f>
        <v>13484983.18299</v>
      </c>
      <c r="Z7" s="147" t="n">
        <f aca="false">L7*5.5017049523</f>
        <v>3287186.18342497</v>
      </c>
    </row>
    <row r="8" customFormat="false" ht="12.8" hidden="false" customHeight="false" outlineLevel="0" collapsed="false">
      <c r="B8" s="145"/>
      <c r="C8" s="144" t="n">
        <f aca="false">C4+1</f>
        <v>2015</v>
      </c>
      <c r="D8" s="144" t="n">
        <f aca="false">D4</f>
        <v>1</v>
      </c>
      <c r="E8" s="144" t="n">
        <v>1001</v>
      </c>
      <c r="F8" s="146" t="n">
        <v>16507879</v>
      </c>
      <c r="G8" s="146" t="n">
        <v>15853349</v>
      </c>
      <c r="H8" s="147" t="n">
        <f aca="false">F8-J8</f>
        <v>16507879</v>
      </c>
      <c r="I8" s="147" t="n">
        <f aca="false">G8-K8</f>
        <v>15853349</v>
      </c>
      <c r="J8" s="148"/>
      <c r="K8" s="148"/>
      <c r="L8" s="147" t="n">
        <f aca="false">H8-I8</f>
        <v>654530</v>
      </c>
      <c r="M8" s="147" t="n">
        <f aca="false">J8-K8</f>
        <v>0</v>
      </c>
      <c r="N8" s="146" t="n">
        <v>3002195</v>
      </c>
      <c r="O8" s="149" t="n">
        <v>81897043.9675653</v>
      </c>
      <c r="P8" s="144" t="n">
        <f aca="false">O8/I8</f>
        <v>5.16591440506137</v>
      </c>
      <c r="Q8" s="147" t="n">
        <f aca="false">I8*5.5017049523</f>
        <v>87220448.7038403</v>
      </c>
      <c r="R8" s="147" t="n">
        <v>13986686.083894</v>
      </c>
      <c r="S8" s="147" t="n">
        <v>2964672.99162586</v>
      </c>
      <c r="T8" s="149" t="n">
        <v>18231627.4986104</v>
      </c>
      <c r="U8" s="144" t="n">
        <f aca="false">R8/N8</f>
        <v>4.65881999133767</v>
      </c>
      <c r="V8" s="145"/>
      <c r="W8" s="145"/>
      <c r="X8" s="147" t="n">
        <f aca="false">N8*5.1890047538+L8*5.5017049523</f>
        <v>19179435.0692635</v>
      </c>
      <c r="Y8" s="147" t="n">
        <f aca="false">N8*5.1890047538</f>
        <v>15578404.1268346</v>
      </c>
      <c r="Z8" s="147" t="n">
        <f aca="false">L8*5.5017049523</f>
        <v>3601030.94242892</v>
      </c>
    </row>
    <row r="9" customFormat="false" ht="12.8" hidden="false" customHeight="false" outlineLevel="0" collapsed="false">
      <c r="B9" s="145"/>
      <c r="C9" s="144" t="n">
        <f aca="false">C5+1</f>
        <v>2015</v>
      </c>
      <c r="D9" s="144" t="n">
        <f aca="false">D5</f>
        <v>2</v>
      </c>
      <c r="E9" s="144" t="n">
        <v>1000</v>
      </c>
      <c r="F9" s="146" t="n">
        <v>17877475</v>
      </c>
      <c r="G9" s="146" t="n">
        <v>17180984</v>
      </c>
      <c r="H9" s="147" t="n">
        <f aca="false">F9-J9</f>
        <v>17877475</v>
      </c>
      <c r="I9" s="147" t="n">
        <f aca="false">G9-K9</f>
        <v>17180984</v>
      </c>
      <c r="J9" s="148"/>
      <c r="K9" s="148"/>
      <c r="L9" s="147" t="n">
        <f aca="false">H9-I9</f>
        <v>696491</v>
      </c>
      <c r="M9" s="147" t="n">
        <f aca="false">J9-K9</f>
        <v>0</v>
      </c>
      <c r="N9" s="146" t="n">
        <v>2371185</v>
      </c>
      <c r="O9" s="149" t="n">
        <v>104523364.336654</v>
      </c>
      <c r="P9" s="144" t="n">
        <f aca="false">O9/I9</f>
        <v>6.08366577471081</v>
      </c>
      <c r="Q9" s="147" t="n">
        <f aca="false">I9*5.5017049523</f>
        <v>94524704.7581871</v>
      </c>
      <c r="R9" s="147" t="n">
        <v>14339828.6769147</v>
      </c>
      <c r="S9" s="147" t="n">
        <v>3783745.78898687</v>
      </c>
      <c r="T9" s="149" t="n">
        <v>19687951.5296409</v>
      </c>
      <c r="U9" s="144" t="n">
        <f aca="false">R9/N9</f>
        <v>6.04753685474339</v>
      </c>
      <c r="V9" s="145"/>
      <c r="W9" s="145"/>
      <c r="X9" s="147" t="n">
        <f aca="false">N9*5.1890047538+L9*5.5017049523</f>
        <v>16135978.2210716</v>
      </c>
      <c r="Y9" s="147" t="n">
        <f aca="false">N9*5.1890047538</f>
        <v>12304090.2371393</v>
      </c>
      <c r="Z9" s="147" t="n">
        <f aca="false">L9*5.5017049523</f>
        <v>3831887.98393238</v>
      </c>
    </row>
    <row r="10" customFormat="false" ht="12.8" hidden="false" customHeight="false" outlineLevel="0" collapsed="false">
      <c r="B10" s="145"/>
      <c r="C10" s="144" t="n">
        <v>2016</v>
      </c>
      <c r="D10" s="144" t="n">
        <v>2</v>
      </c>
      <c r="E10" s="144" t="n">
        <v>996</v>
      </c>
      <c r="F10" s="146" t="n">
        <v>18529945</v>
      </c>
      <c r="G10" s="146" t="n">
        <v>17797215</v>
      </c>
      <c r="H10" s="147" t="n">
        <f aca="false">F10-J10</f>
        <v>18529945</v>
      </c>
      <c r="I10" s="147" t="n">
        <f aca="false">G10-K10</f>
        <v>17797215</v>
      </c>
      <c r="J10" s="148"/>
      <c r="K10" s="148"/>
      <c r="L10" s="147" t="n">
        <f aca="false">H10-I10</f>
        <v>732730</v>
      </c>
      <c r="M10" s="147" t="n">
        <f aca="false">J10-K10</f>
        <v>0</v>
      </c>
      <c r="N10" s="148"/>
      <c r="O10" s="145"/>
      <c r="P10" s="145"/>
      <c r="Q10" s="147" t="n">
        <f aca="false">I10*5.5017049523</f>
        <v>97915025.9026478</v>
      </c>
      <c r="R10" s="147"/>
      <c r="S10" s="147"/>
      <c r="T10" s="145"/>
      <c r="U10" s="145"/>
      <c r="V10" s="145"/>
      <c r="W10" s="145"/>
      <c r="X10" s="147"/>
      <c r="Y10" s="147"/>
      <c r="Z10" s="147"/>
    </row>
    <row r="11" customFormat="false" ht="12.8" hidden="false" customHeight="false" outlineLevel="0" collapsed="false">
      <c r="B11" s="145"/>
      <c r="C11" s="144" t="n">
        <v>2016</v>
      </c>
      <c r="D11" s="144" t="n">
        <v>3</v>
      </c>
      <c r="E11" s="144" t="n">
        <v>995</v>
      </c>
      <c r="F11" s="146" t="n">
        <v>19118239</v>
      </c>
      <c r="G11" s="146" t="n">
        <v>18342944</v>
      </c>
      <c r="H11" s="147" t="n">
        <f aca="false">F11-J11</f>
        <v>19118239</v>
      </c>
      <c r="I11" s="147" t="n">
        <f aca="false">G11-K11</f>
        <v>18342944</v>
      </c>
      <c r="J11" s="148"/>
      <c r="K11" s="148"/>
      <c r="L11" s="147" t="n">
        <f aca="false">H11-I11</f>
        <v>775295</v>
      </c>
      <c r="M11" s="147" t="n">
        <f aca="false">J11-K11</f>
        <v>0</v>
      </c>
      <c r="N11" s="148"/>
      <c r="O11" s="145"/>
      <c r="P11" s="145"/>
      <c r="Q11" s="147" t="n">
        <f aca="false">I11*5.5017049523</f>
        <v>100917465.844562</v>
      </c>
      <c r="R11" s="147"/>
      <c r="S11" s="147"/>
      <c r="T11" s="145"/>
      <c r="U11" s="145"/>
      <c r="V11" s="145"/>
      <c r="W11" s="145"/>
      <c r="X11" s="147"/>
      <c r="Y11" s="147"/>
      <c r="Z11" s="147"/>
    </row>
    <row r="12" customFormat="false" ht="12.8" hidden="false" customHeight="false" outlineLevel="0" collapsed="false">
      <c r="B12" s="145"/>
      <c r="C12" s="144" t="n">
        <v>2016</v>
      </c>
      <c r="D12" s="144" t="n">
        <v>4</v>
      </c>
      <c r="E12" s="144" t="n">
        <v>994</v>
      </c>
      <c r="F12" s="146" t="n">
        <v>20592277</v>
      </c>
      <c r="G12" s="146" t="n">
        <v>19759371</v>
      </c>
      <c r="H12" s="147" t="n">
        <f aca="false">F12-J12</f>
        <v>20592277</v>
      </c>
      <c r="I12" s="147" t="n">
        <f aca="false">G12-K12</f>
        <v>19759371</v>
      </c>
      <c r="J12" s="148"/>
      <c r="K12" s="148"/>
      <c r="L12" s="147" t="n">
        <f aca="false">H12-I12</f>
        <v>832906</v>
      </c>
      <c r="M12" s="147" t="n">
        <f aca="false">J12-K12</f>
        <v>0</v>
      </c>
      <c r="N12" s="148"/>
      <c r="O12" s="145"/>
      <c r="P12" s="145" t="s">
        <v>193</v>
      </c>
      <c r="Q12" s="147" t="n">
        <f aca="false">I12*5.5017049523</f>
        <v>108710229.285033</v>
      </c>
      <c r="R12" s="147"/>
      <c r="S12" s="147"/>
      <c r="T12" s="145"/>
      <c r="U12" s="144" t="n">
        <f aca="false">AVERAGE(U4:U9)</f>
        <v>5.18900475376138</v>
      </c>
      <c r="V12" s="145"/>
      <c r="W12" s="145"/>
      <c r="X12" s="147"/>
      <c r="Y12" s="147"/>
      <c r="Z12" s="147"/>
    </row>
    <row r="13" customFormat="false" ht="12.8" hidden="false" customHeight="false" outlineLevel="0" collapsed="false">
      <c r="B13" s="145"/>
      <c r="C13" s="144" t="n">
        <v>2017</v>
      </c>
      <c r="D13" s="144" t="n">
        <v>1</v>
      </c>
      <c r="E13" s="144" t="n">
        <v>993</v>
      </c>
      <c r="F13" s="146" t="n">
        <v>20242858</v>
      </c>
      <c r="G13" s="146" t="n">
        <v>19409870</v>
      </c>
      <c r="H13" s="147" t="n">
        <f aca="false">F13-J13</f>
        <v>20242858</v>
      </c>
      <c r="I13" s="147" t="n">
        <f aca="false">G13-K13</f>
        <v>19409870</v>
      </c>
      <c r="J13" s="148"/>
      <c r="K13" s="148"/>
      <c r="L13" s="147" t="n">
        <f aca="false">H13-I13</f>
        <v>832988</v>
      </c>
      <c r="M13" s="147" t="n">
        <f aca="false">J13-K13</f>
        <v>0</v>
      </c>
      <c r="N13" s="148"/>
      <c r="O13" s="145"/>
      <c r="P13" s="144" t="n">
        <f aca="false">AVERAGE(P4:P9)</f>
        <v>5.50170495229345</v>
      </c>
      <c r="Q13" s="147" t="n">
        <f aca="false">I13*5.5017049523</f>
        <v>106787377.902499</v>
      </c>
      <c r="R13" s="147"/>
      <c r="S13" s="147"/>
      <c r="T13" s="145"/>
      <c r="U13" s="145"/>
      <c r="V13" s="145"/>
      <c r="W13" s="145"/>
      <c r="X13" s="147"/>
      <c r="Y13" s="147"/>
      <c r="Z13" s="147"/>
    </row>
    <row r="14" customFormat="false" ht="12.8" hidden="false" customHeight="false" outlineLevel="0" collapsed="false">
      <c r="A14" s="65" t="s">
        <v>194</v>
      </c>
      <c r="B14" s="5"/>
      <c r="C14" s="65" t="n">
        <v>2015</v>
      </c>
      <c r="D14" s="65" t="n">
        <v>1</v>
      </c>
      <c r="E14" s="65" t="n">
        <v>161</v>
      </c>
      <c r="F14" s="150" t="n">
        <v>17715091.2971215</v>
      </c>
      <c r="G14" s="150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1" t="n">
        <v>0</v>
      </c>
      <c r="K14" s="151" t="n">
        <v>0</v>
      </c>
      <c r="L14" s="8" t="n">
        <f aca="false">H14-I14</f>
        <v>691939.443819597</v>
      </c>
      <c r="M14" s="8" t="n">
        <f aca="false">J14-K14</f>
        <v>0</v>
      </c>
      <c r="N14" s="151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2" t="n">
        <v>20422747.1350974</v>
      </c>
      <c r="G15" s="152" t="n"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3" t="n">
        <v>0</v>
      </c>
      <c r="K15" s="153" t="n">
        <v>0</v>
      </c>
      <c r="L15" s="67" t="n">
        <f aca="false">H15-I15</f>
        <v>799976.431236599</v>
      </c>
      <c r="M15" s="67" t="n">
        <f aca="false">J15-K15</f>
        <v>0</v>
      </c>
      <c r="N15" s="153" t="n"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17260864.0964791</v>
      </c>
      <c r="Y15" s="67" t="n">
        <f aca="false">N15*5.1890047538</f>
        <v>12859629.8030215</v>
      </c>
      <c r="Z15" s="67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2" t="n">
        <v>19803746.8364793</v>
      </c>
      <c r="G16" s="152" t="n"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3" t="n">
        <v>0</v>
      </c>
      <c r="K16" s="153" t="n">
        <v>0</v>
      </c>
      <c r="L16" s="67" t="n">
        <f aca="false">H16-I16</f>
        <v>777485.531692199</v>
      </c>
      <c r="M16" s="67" t="n">
        <f aca="false">J16-K16</f>
        <v>0</v>
      </c>
      <c r="N16" s="153" t="n">
        <v>2919136.76234831</v>
      </c>
      <c r="O16" s="154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4" t="n">
        <v>22190060.6351791</v>
      </c>
      <c r="U16" s="7" t="n">
        <f aca="false">R22/N16</f>
        <v>7.11783128484033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19424910.5368703</v>
      </c>
      <c r="Y16" s="67" t="n">
        <f aca="false">N16*5.1890047538</f>
        <v>15147414.5368177</v>
      </c>
      <c r="Z16" s="67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2" t="n">
        <v>21421804.3950487</v>
      </c>
      <c r="G17" s="152" t="n"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3" t="n">
        <v>0</v>
      </c>
      <c r="K17" s="153" t="n">
        <v>0</v>
      </c>
      <c r="L17" s="67" t="n">
        <f aca="false">H17-I17</f>
        <v>842157.0006628</v>
      </c>
      <c r="M17" s="67" t="n">
        <f aca="false">J17-K17</f>
        <v>0</v>
      </c>
      <c r="N17" s="153" t="n">
        <v>2757062.56989139</v>
      </c>
      <c r="O17" s="154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4633299.34116064</v>
      </c>
    </row>
    <row r="18" customFormat="false" ht="12.8" hidden="false" customHeight="false" outlineLevel="0" collapsed="false">
      <c r="A18" s="65"/>
      <c r="B18" s="5"/>
      <c r="C18" s="65" t="n">
        <f aca="false">C14+1</f>
        <v>2016</v>
      </c>
      <c r="D18" s="65" t="n">
        <f aca="false">D14</f>
        <v>1</v>
      </c>
      <c r="E18" s="65" t="n">
        <v>165</v>
      </c>
      <c r="F18" s="150" t="n">
        <v>18798652.8327858</v>
      </c>
      <c r="G18" s="150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1" t="n">
        <v>0</v>
      </c>
      <c r="K18" s="151" t="n">
        <v>0</v>
      </c>
      <c r="L18" s="8" t="n">
        <f aca="false">H18-I18</f>
        <v>737510.400040299</v>
      </c>
      <c r="M18" s="8" t="n">
        <f aca="false">J18-K18</f>
        <v>0</v>
      </c>
      <c r="N18" s="151" t="n">
        <v>2795658.97722293</v>
      </c>
      <c r="O18" s="15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5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2" t="n">
        <v>19381974.1868191</v>
      </c>
      <c r="G19" s="152" t="n"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3" t="n">
        <v>0</v>
      </c>
      <c r="K19" s="153" t="n">
        <v>0</v>
      </c>
      <c r="L19" s="67" t="n">
        <f aca="false">H19-I19</f>
        <v>762298.459394898</v>
      </c>
      <c r="M19" s="67" t="n">
        <f aca="false">J19-K19</f>
        <v>0</v>
      </c>
      <c r="N19" s="153" t="n">
        <v>2828183.68633319</v>
      </c>
      <c r="O19" s="154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4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14675458.5930025</v>
      </c>
      <c r="Z19" s="67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3" t="n">
        <v>18503713.2101988</v>
      </c>
      <c r="G20" s="153" t="n"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3" t="n">
        <v>0</v>
      </c>
      <c r="K20" s="153" t="n">
        <v>0</v>
      </c>
      <c r="L20" s="67" t="n">
        <f aca="false">H20-I20</f>
        <v>730249.346840899</v>
      </c>
      <c r="M20" s="67" t="n">
        <f aca="false">J20-K20</f>
        <v>0</v>
      </c>
      <c r="N20" s="153" t="n">
        <v>2477813.00409058</v>
      </c>
      <c r="O20" s="154" t="n">
        <v>90764685.8571572</v>
      </c>
      <c r="P20" s="7"/>
      <c r="Q20" s="67" t="n">
        <f aca="false">I20*5.5017049523</f>
        <v>97784354.1565613</v>
      </c>
      <c r="R20" s="67" t="n">
        <v>16989362.3248539</v>
      </c>
      <c r="S20" s="67" t="n">
        <v>3285681.62802909</v>
      </c>
      <c r="T20" s="154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16874999.9051819</v>
      </c>
      <c r="Y20" s="67" t="n">
        <f aca="false">N20*5.1890047538</f>
        <v>12857383.4572535</v>
      </c>
      <c r="Z20" s="67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3" t="n">
        <v>20254615.8512826</v>
      </c>
      <c r="G21" s="153" t="n">
        <v>19452949.3858272</v>
      </c>
      <c r="H21" s="67" t="n">
        <f aca="false">F21-J21</f>
        <v>20217167.5584862</v>
      </c>
      <c r="I21" s="67" t="n">
        <f aca="false">G21-K21</f>
        <v>19416624.5418147</v>
      </c>
      <c r="J21" s="153" t="n">
        <v>37448.2927964077</v>
      </c>
      <c r="K21" s="153" t="n">
        <v>36324.8440125154</v>
      </c>
      <c r="L21" s="67" t="n">
        <f aca="false">H21-I21</f>
        <v>800543.016671509</v>
      </c>
      <c r="M21" s="67" t="n">
        <f aca="false">J21-K21</f>
        <v>1123.4487838923</v>
      </c>
      <c r="N21" s="153" t="n">
        <v>3910348.4398605</v>
      </c>
      <c r="O21" s="154" t="n">
        <v>112083822.294624</v>
      </c>
      <c r="P21" s="7"/>
      <c r="Q21" s="67" t="n">
        <f aca="false">I21*5.5017049523</f>
        <v>106824539.398652</v>
      </c>
      <c r="R21" s="67" t="n">
        <v>21412355.8556138</v>
      </c>
      <c r="S21" s="67" t="n">
        <v>4057434.36706539</v>
      </c>
      <c r="T21" s="154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6180.88373799569</v>
      </c>
      <c r="X21" s="67" t="n">
        <f aca="false">N21*5.1890047538+L21*5.5017049523</f>
        <v>24695168.1228014</v>
      </c>
      <c r="Y21" s="67" t="n">
        <f aca="false">N21*5.1890047538</f>
        <v>20290816.6434505</v>
      </c>
      <c r="Z21" s="67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65"/>
      <c r="B22" s="5"/>
      <c r="C22" s="65" t="n">
        <f aca="false">C18+1</f>
        <v>2017</v>
      </c>
      <c r="D22" s="65" t="n">
        <f aca="false">D18</f>
        <v>1</v>
      </c>
      <c r="E22" s="65" t="n">
        <v>169</v>
      </c>
      <c r="F22" s="151" t="n">
        <v>19377172.7510706</v>
      </c>
      <c r="G22" s="151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51" t="n">
        <v>68744.4841315014</v>
      </c>
      <c r="K22" s="151" t="n"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51" t="n">
        <v>4299591.36744104</v>
      </c>
      <c r="O22" s="155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5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3" t="n">
        <v>20709754.3962264</v>
      </c>
      <c r="G23" s="153" t="n">
        <v>19888095.1774069</v>
      </c>
      <c r="H23" s="67" t="n">
        <f aca="false">F23-J23</f>
        <v>20604347.9858498</v>
      </c>
      <c r="I23" s="67" t="n">
        <f aca="false">G23-K23</f>
        <v>19785850.9593416</v>
      </c>
      <c r="J23" s="153" t="n">
        <v>105406.410376622</v>
      </c>
      <c r="K23" s="153" t="n">
        <v>102244.218065323</v>
      </c>
      <c r="L23" s="67" t="n">
        <f aca="false">H23-I23</f>
        <v>818497.026508197</v>
      </c>
      <c r="M23" s="67" t="n">
        <f aca="false">J23-K23</f>
        <v>3162.192311299</v>
      </c>
      <c r="N23" s="153" t="n">
        <v>3939404.98436416</v>
      </c>
      <c r="O23" s="154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4" t="n">
        <v>24020927.7863425</v>
      </c>
      <c r="U23" s="7" t="n">
        <f aca="false">R23/N23</f>
        <v>4.70511486754731</v>
      </c>
      <c r="V23" s="67" t="n">
        <f aca="false">K23*5.5017049523</f>
        <v>562517.520874029</v>
      </c>
      <c r="W23" s="67" t="n">
        <f aca="false">M23*5.5017049523</f>
        <v>17397.4490991987</v>
      </c>
      <c r="X23" s="67" t="n">
        <f aca="false">N23*5.1890047538+L23*5.5017049523</f>
        <v>24944720.335192</v>
      </c>
      <c r="Y23" s="67" t="n">
        <f aca="false">N23*5.1890047538</f>
        <v>20441591.191009</v>
      </c>
      <c r="Z23" s="67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3" t="n">
        <v>19896829.3534218</v>
      </c>
      <c r="G24" s="153" t="n">
        <v>19106774.747813</v>
      </c>
      <c r="H24" s="67" t="n">
        <f aca="false">F24-J24</f>
        <v>19743761.0822812</v>
      </c>
      <c r="I24" s="67" t="n">
        <f aca="false">G24-K24</f>
        <v>18958298.5248067</v>
      </c>
      <c r="J24" s="153" t="n">
        <v>153068.271140567</v>
      </c>
      <c r="K24" s="153" t="n">
        <v>148476.22300635</v>
      </c>
      <c r="L24" s="67" t="n">
        <f aca="false">H24-I24</f>
        <v>785462.55747458</v>
      </c>
      <c r="M24" s="67" t="n">
        <f aca="false">J24-K24</f>
        <v>4592.04813421701</v>
      </c>
      <c r="N24" s="153" t="n">
        <v>3599614.55233288</v>
      </c>
      <c r="O24" s="154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4" t="n">
        <v>24278813.7103198</v>
      </c>
      <c r="U24" s="7" t="n">
        <f aca="false">R24/N24</f>
        <v>5.14409971985079</v>
      </c>
      <c r="V24" s="67" t="n">
        <f aca="false">K24*5.5017049523</f>
        <v>816872.371412835</v>
      </c>
      <c r="W24" s="67" t="n">
        <f aca="false">M24*5.5017049523</f>
        <v>25264.0939612217</v>
      </c>
      <c r="X24" s="67" t="n">
        <f aca="false">N24*5.1890047538+L24*5.5017049523</f>
        <v>22999800.2662071</v>
      </c>
      <c r="Y24" s="67" t="n">
        <f aca="false">N24*5.1890047538</f>
        <v>18678417.023903</v>
      </c>
      <c r="Z24" s="67" t="n">
        <f aca="false">L24*5.5017049523</f>
        <v>4321383.24230412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3" t="n">
        <v>21657648.3940755</v>
      </c>
      <c r="G25" s="153" t="n"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53" t="n">
        <v>195716.984291222</v>
      </c>
      <c r="K25" s="153" t="n">
        <v>189845.474762486</v>
      </c>
      <c r="L25" s="67" t="n">
        <f aca="false">H25-I25</f>
        <v>856425.707030363</v>
      </c>
      <c r="M25" s="67" t="n">
        <f aca="false">J25-K25</f>
        <v>5871.509528736</v>
      </c>
      <c r="N25" s="153" t="n">
        <v>4012507.36812272</v>
      </c>
      <c r="O25" s="76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76" t="n">
        <v>24785174.0476736</v>
      </c>
      <c r="V25" s="67" t="n">
        <f aca="false">K25*5.5017049523</f>
        <v>1044473.78867251</v>
      </c>
      <c r="W25" s="67" t="n">
        <f aca="false">M25*5.5017049523</f>
        <v>32303.3130517235</v>
      </c>
      <c r="X25" s="67" t="n">
        <f aca="false">N25*5.1890047538+L25*5.5017049523</f>
        <v>25532721.3614923</v>
      </c>
      <c r="Y25" s="67" t="n">
        <f aca="false">N25*5.1890047538</f>
        <v>20820919.8078463</v>
      </c>
      <c r="Z25" s="67" t="n">
        <f aca="false">L25*5.5017049523</f>
        <v>4711801.55364598</v>
      </c>
    </row>
    <row r="26" customFormat="false" ht="12.8" hidden="false" customHeight="false" outlineLevel="0" collapsed="false">
      <c r="A26" s="65"/>
      <c r="B26" s="5"/>
      <c r="C26" s="65" t="n">
        <f aca="false">C22+1</f>
        <v>2018</v>
      </c>
      <c r="D26" s="65" t="n">
        <f aca="false">D22</f>
        <v>1</v>
      </c>
      <c r="E26" s="65" t="n">
        <v>173</v>
      </c>
      <c r="F26" s="151" t="n">
        <v>20172881.22473</v>
      </c>
      <c r="G26" s="151" t="n"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51" t="n">
        <v>199621.10106806</v>
      </c>
      <c r="K26" s="151" t="n">
        <v>193632.468036018</v>
      </c>
      <c r="L26" s="8" t="n">
        <f aca="false">H26-I26</f>
        <v>797212.366434757</v>
      </c>
      <c r="M26" s="8" t="n">
        <f aca="false">J26-K26</f>
        <v>5988.63303204201</v>
      </c>
      <c r="N26" s="151" t="n"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26523509.7841771</v>
      </c>
      <c r="Y26" s="8" t="n">
        <f aca="false">N26*5.1890047538</f>
        <v>22137482.5597282</v>
      </c>
      <c r="Z26" s="8" t="n">
        <f aca="false">L26*5.5017049523</f>
        <v>4386027.2244489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3" t="n">
        <v>20013236.9648825</v>
      </c>
      <c r="G27" s="153" t="n">
        <v>19215792.833044</v>
      </c>
      <c r="H27" s="67" t="n">
        <f aca="false">F27-J27</f>
        <v>19795475.0663016</v>
      </c>
      <c r="I27" s="67" t="n">
        <f aca="false">G27-K27</f>
        <v>19004563.7914205</v>
      </c>
      <c r="J27" s="153" t="n">
        <v>217761.898580891</v>
      </c>
      <c r="K27" s="153" t="n">
        <v>211229.041623464</v>
      </c>
      <c r="L27" s="67" t="n">
        <f aca="false">H27-I27</f>
        <v>790911.274881076</v>
      </c>
      <c r="M27" s="67" t="n">
        <f aca="false">J27-K27</f>
        <v>6532.85695742699</v>
      </c>
      <c r="N27" s="153" t="n">
        <v>3669736.53404985</v>
      </c>
      <c r="O27" s="7"/>
      <c r="P27" s="7"/>
      <c r="Q27" s="67" t="n">
        <f aca="false">I27*5.5017049523</f>
        <v>104557502.72756</v>
      </c>
      <c r="R27" s="67"/>
      <c r="S27" s="67"/>
      <c r="T27" s="7"/>
      <c r="U27" s="7"/>
      <c r="V27" s="67" t="n">
        <f aca="false">K27*5.5017049523</f>
        <v>1162119.86436939</v>
      </c>
      <c r="W27" s="67" t="n">
        <f aca="false">M27*5.5017049523</f>
        <v>35941.8514753436</v>
      </c>
      <c r="X27" s="67" t="n">
        <f aca="false">N27*5.1890047538+L27*5.5017049523</f>
        <v>23393640.7982213</v>
      </c>
      <c r="Y27" s="67" t="n">
        <f aca="false">N27*5.1890047538</f>
        <v>19042280.3203782</v>
      </c>
      <c r="Z27" s="67" t="n">
        <f aca="false">L27*5.5017049523</f>
        <v>4351360.47784312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3" t="n">
        <v>19049763.4221667</v>
      </c>
      <c r="G28" s="153" t="n">
        <v>18291807.8709222</v>
      </c>
      <c r="H28" s="67" t="n">
        <f aca="false">F28-J28</f>
        <v>18814716.2989425</v>
      </c>
      <c r="I28" s="67" t="n">
        <f aca="false">G28-K28</f>
        <v>18063812.1613948</v>
      </c>
      <c r="J28" s="153" t="n">
        <v>235047.123224172</v>
      </c>
      <c r="K28" s="153" t="n">
        <v>227995.709527446</v>
      </c>
      <c r="L28" s="67" t="n">
        <f aca="false">H28-I28</f>
        <v>750904.137547776</v>
      </c>
      <c r="M28" s="67" t="n">
        <f aca="false">J28-K28</f>
        <v>7051.41369672603</v>
      </c>
      <c r="N28" s="153" t="n">
        <v>3308279.04526512</v>
      </c>
      <c r="O28" s="7"/>
      <c r="P28" s="7"/>
      <c r="Q28" s="67" t="n">
        <f aca="false">I28*5.5017049523</f>
        <v>99381764.8257625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38794.7976559936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3" t="n">
        <v>17489467.6471069</v>
      </c>
      <c r="G29" s="153" t="n"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53" t="n">
        <v>240391.322037069</v>
      </c>
      <c r="K29" s="153" t="n">
        <v>233179.582375956</v>
      </c>
      <c r="L29" s="67" t="n">
        <f aca="false">H29-I29</f>
        <v>686795.876935089</v>
      </c>
      <c r="M29" s="67" t="n">
        <f aca="false">J29-K29</f>
        <v>7211.73966111301</v>
      </c>
      <c r="N29" s="153" t="n">
        <v>3051396.7057971</v>
      </c>
      <c r="O29" s="7"/>
      <c r="P29" s="7"/>
      <c r="Q29" s="67" t="n">
        <f aca="false">I29*5.5017049523</f>
        <v>91120780.3628844</v>
      </c>
      <c r="R29" s="67"/>
      <c r="S29" s="67"/>
      <c r="T29" s="7"/>
      <c r="U29" s="7"/>
      <c r="V29" s="67" t="n">
        <f aca="false">K29*5.5017049523</f>
        <v>1282885.26313304</v>
      </c>
      <c r="W29" s="67" t="n">
        <f aca="false">M29*5.5017049523</f>
        <v>39676.8638082438</v>
      </c>
      <c r="X29" s="67" t="n">
        <f aca="false">N29*5.1890047538+L29*5.5017049523</f>
        <v>19612260.2894638</v>
      </c>
      <c r="Y29" s="67" t="n">
        <f aca="false">N29*5.1890047538</f>
        <v>15833712.0121108</v>
      </c>
      <c r="Z29" s="67" t="n">
        <f aca="false">L29*5.5017049523</f>
        <v>3778548.277353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65"/>
      <c r="B30" s="5"/>
      <c r="C30" s="65" t="n">
        <f aca="false">C26+1</f>
        <v>2019</v>
      </c>
      <c r="D30" s="65" t="n">
        <f aca="false">D26</f>
        <v>1</v>
      </c>
      <c r="E30" s="65" t="n">
        <v>177</v>
      </c>
      <c r="F30" s="151" t="n">
        <v>17348358.6939188</v>
      </c>
      <c r="G30" s="151" t="n"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51" t="n">
        <v>195752.530770185</v>
      </c>
      <c r="K30" s="151" t="n">
        <v>189879.95484708</v>
      </c>
      <c r="L30" s="8" t="n">
        <f aca="false">H30-I30</f>
        <v>683418.499914097</v>
      </c>
      <c r="M30" s="8" t="n">
        <f aca="false">J30-K30</f>
        <v>5872.575923105</v>
      </c>
      <c r="N30" s="151" t="n">
        <v>3574517.52676076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3759966.94547082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3" t="n">
        <v>17520043.8736998</v>
      </c>
      <c r="G31" s="153" t="n">
        <v>16822942.8296048</v>
      </c>
      <c r="H31" s="67" t="n">
        <f aca="false">F31-J31</f>
        <v>17319185.8791942</v>
      </c>
      <c r="I31" s="67" t="n">
        <f aca="false">G31-K31</f>
        <v>16628110.5749344</v>
      </c>
      <c r="J31" s="153" t="n">
        <v>200857.994505559</v>
      </c>
      <c r="K31" s="153" t="n">
        <v>194832.254670393</v>
      </c>
      <c r="L31" s="67" t="n">
        <f aca="false">H31-I31</f>
        <v>691075.304259833</v>
      </c>
      <c r="M31" s="67" t="n">
        <f aca="false">J31-K31</f>
        <v>6025.73983516599</v>
      </c>
      <c r="N31" s="153" t="n">
        <v>3250287.77850783</v>
      </c>
      <c r="O31" s="7"/>
      <c r="P31" s="7"/>
      <c r="Q31" s="67" t="n">
        <f aca="false">I31*5.5017049523</f>
        <v>91482958.2975086</v>
      </c>
      <c r="R31" s="67"/>
      <c r="S31" s="67"/>
      <c r="T31" s="7"/>
      <c r="U31" s="7"/>
      <c r="V31" s="67" t="n">
        <f aca="false">K31*5.5017049523</f>
        <v>1071909.58038788</v>
      </c>
      <c r="W31" s="67" t="n">
        <f aca="false">M31*5.5017049523</f>
        <v>33151.8426924041</v>
      </c>
      <c r="X31" s="67" t="n">
        <f aca="false">N31*5.1890047538+L31*5.5017049523</f>
        <v>20667851.1577537</v>
      </c>
      <c r="Y31" s="67" t="n">
        <f aca="false">N31*5.1890047538</f>
        <v>16865758.7338952</v>
      </c>
      <c r="Z31" s="67" t="n">
        <f aca="false">L31*5.5017049523</f>
        <v>3802092.42385855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3" t="n">
        <v>17903247.7001871</v>
      </c>
      <c r="G32" s="153" t="n">
        <v>17189346.4116604</v>
      </c>
      <c r="H32" s="67" t="n">
        <f aca="false">F32-J32</f>
        <v>17711390.7054521</v>
      </c>
      <c r="I32" s="67" t="n">
        <f aca="false">G32-K32</f>
        <v>17003245.1267674</v>
      </c>
      <c r="J32" s="153" t="n">
        <v>191856.994735014</v>
      </c>
      <c r="K32" s="153" t="n">
        <v>186101.284892964</v>
      </c>
      <c r="L32" s="67" t="n">
        <f aca="false">H32-I32</f>
        <v>708145.57868465</v>
      </c>
      <c r="M32" s="67" t="n">
        <f aca="false">J32-K32</f>
        <v>5755.70984205001</v>
      </c>
      <c r="N32" s="153" t="n">
        <v>3177620.63583763</v>
      </c>
      <c r="O32" s="7"/>
      <c r="P32" s="7"/>
      <c r="Q32" s="67" t="n">
        <f aca="false">I32*5.5017049523</f>
        <v>93546837.9191072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31666.2173420084</v>
      </c>
      <c r="X32" s="67" t="n">
        <f aca="false">N32*5.1890047538+L32*5.5017049523</f>
        <v>20384696.6223331</v>
      </c>
      <c r="Y32" s="67" t="n">
        <f aca="false">N32*5.1890047538</f>
        <v>16488688.5851344</v>
      </c>
      <c r="Z32" s="67" t="n">
        <f aca="false">L32*5.5017049523</f>
        <v>3896008.03719869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3" t="n">
        <v>17687122.2988291</v>
      </c>
      <c r="G33" s="153" t="n">
        <v>16980982.5692416</v>
      </c>
      <c r="H33" s="67" t="n">
        <f aca="false">F33-J33</f>
        <v>17480457.4766776</v>
      </c>
      <c r="I33" s="67" t="n">
        <f aca="false">G33-K33</f>
        <v>16780517.6917546</v>
      </c>
      <c r="J33" s="153" t="n">
        <v>206664.82215155</v>
      </c>
      <c r="K33" s="153" t="n">
        <v>200464.877487003</v>
      </c>
      <c r="L33" s="67" t="n">
        <f aca="false">H33-I33</f>
        <v>699939.784922957</v>
      </c>
      <c r="M33" s="67" t="n">
        <f aca="false">J33-K33</f>
        <v>6199.94466454702</v>
      </c>
      <c r="N33" s="153" t="n">
        <v>3280777.27976349</v>
      </c>
      <c r="O33" s="7"/>
      <c r="P33" s="7"/>
      <c r="Q33" s="67" t="n">
        <f aca="false">I33*5.5017049523</f>
        <v>92321457.286884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34110.2662649243</v>
      </c>
      <c r="X33" s="67" t="n">
        <f aca="false">N33*5.1890047538+L33*5.5017049523</f>
        <v>20874831.0818742</v>
      </c>
      <c r="Y33" s="67" t="n">
        <f aca="false">N33*5.1890047538</f>
        <v>17023968.9008518</v>
      </c>
      <c r="Z33" s="67" t="n">
        <f aca="false">L33*5.5017049523</f>
        <v>3850862.18102243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65"/>
      <c r="B34" s="5"/>
      <c r="C34" s="65" t="n">
        <f aca="false">C30+1</f>
        <v>2020</v>
      </c>
      <c r="D34" s="65" t="n">
        <f aca="false">D30</f>
        <v>1</v>
      </c>
      <c r="E34" s="65" t="n">
        <v>181</v>
      </c>
      <c r="F34" s="151" t="n">
        <v>18114602.8234134</v>
      </c>
      <c r="G34" s="151" t="n">
        <v>17391113.1965385</v>
      </c>
      <c r="H34" s="8" t="n">
        <f aca="false">F34-J34</f>
        <v>17880974.713997</v>
      </c>
      <c r="I34" s="8" t="n">
        <f aca="false">G34-K34</f>
        <v>17164493.9304046</v>
      </c>
      <c r="J34" s="151" t="n">
        <v>233628.109416373</v>
      </c>
      <c r="K34" s="151" t="n">
        <v>226619.266133882</v>
      </c>
      <c r="L34" s="8" t="n">
        <f aca="false">H34-I34</f>
        <v>716480.78359241</v>
      </c>
      <c r="M34" s="8" t="n">
        <f aca="false">J34-K34</f>
        <v>7008.843282491</v>
      </c>
      <c r="N34" s="151" t="n">
        <v>3554860.42429641</v>
      </c>
      <c r="O34" s="5"/>
      <c r="P34" s="5"/>
      <c r="Q34" s="8" t="n">
        <f aca="false">I34*5.5017049523</f>
        <v>94433981.2606304</v>
      </c>
      <c r="R34" s="8"/>
      <c r="S34" s="8"/>
      <c r="T34" s="5"/>
      <c r="U34" s="5"/>
      <c r="V34" s="8" t="n">
        <f aca="false">K34*5.5017049523</f>
        <v>1246792.33877537</v>
      </c>
      <c r="W34" s="8" t="n">
        <f aca="false">M34*5.5017049523</f>
        <v>38560.5877971753</v>
      </c>
      <c r="X34" s="8" t="n">
        <f aca="false">N34*5.1890047538+L34*5.5017049523</f>
        <v>22388053.5160877</v>
      </c>
      <c r="Y34" s="8" t="n">
        <f aca="false">N34*5.1890047538</f>
        <v>18446187.6407696</v>
      </c>
      <c r="Z34" s="8" t="n">
        <f aca="false">L34*5.5017049523</f>
        <v>3941865.87531815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3" t="n">
        <v>18551164.2895877</v>
      </c>
      <c r="G35" s="153" t="n">
        <v>17809077.8851478</v>
      </c>
      <c r="H35" s="67" t="n">
        <f aca="false">F35-J35</f>
        <v>18279705.1288286</v>
      </c>
      <c r="I35" s="67" t="n">
        <f aca="false">G35-K35</f>
        <v>17545762.4992114</v>
      </c>
      <c r="J35" s="153" t="n">
        <v>271459.160759129</v>
      </c>
      <c r="K35" s="153" t="n">
        <v>263315.385936355</v>
      </c>
      <c r="L35" s="67" t="n">
        <f aca="false">H35-I35</f>
        <v>733942.629617125</v>
      </c>
      <c r="M35" s="67" t="n">
        <f aca="false">J35-K35</f>
        <v>8143.77482277399</v>
      </c>
      <c r="N35" s="153" t="n">
        <v>3100866.18553922</v>
      </c>
      <c r="O35" s="7"/>
      <c r="P35" s="7"/>
      <c r="Q35" s="67" t="n">
        <f aca="false">I35*5.5017049523</f>
        <v>96531608.4337912</v>
      </c>
      <c r="R35" s="67"/>
      <c r="S35" s="67"/>
      <c r="T35" s="7"/>
      <c r="U35" s="7"/>
      <c r="V35" s="67" t="n">
        <f aca="false">K35*5.5017049523</f>
        <v>1448683.56282283</v>
      </c>
      <c r="W35" s="67" t="n">
        <f aca="false">M35*5.5017049523</f>
        <v>44804.6462728717</v>
      </c>
      <c r="X35" s="67" t="n">
        <f aca="false">N35*5.1890047538+L35*5.5017049523</f>
        <v>20128345.1777293</v>
      </c>
      <c r="Y35" s="67" t="n">
        <f aca="false">N35*5.1890047538</f>
        <v>16090409.3776607</v>
      </c>
      <c r="Z35" s="67" t="n">
        <f aca="false">L35*5.5017049523</f>
        <v>4037935.80006862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3" t="n">
        <v>19570446.0078021</v>
      </c>
      <c r="G36" s="153" t="n">
        <v>18785368.7759663</v>
      </c>
      <c r="H36" s="67" t="n">
        <f aca="false">F36-J36</f>
        <v>19275406.354669</v>
      </c>
      <c r="I36" s="67" t="n">
        <f aca="false">G36-K36</f>
        <v>18499180.3124272</v>
      </c>
      <c r="J36" s="153" t="n">
        <v>295039.653133062</v>
      </c>
      <c r="K36" s="153" t="n">
        <v>286188.46353907</v>
      </c>
      <c r="L36" s="67" t="n">
        <f aca="false">H36-I36</f>
        <v>776226.042241808</v>
      </c>
      <c r="M36" s="67" t="n">
        <f aca="false">J36-K36</f>
        <v>8851.18959399202</v>
      </c>
      <c r="N36" s="153" t="n">
        <v>3353615.65956386</v>
      </c>
      <c r="O36" s="7"/>
      <c r="P36" s="7"/>
      <c r="Q36" s="67" t="n">
        <f aca="false">I36*5.5017049523</f>
        <v>101777031.938372</v>
      </c>
      <c r="R36" s="67"/>
      <c r="S36" s="67"/>
      <c r="T36" s="7"/>
      <c r="U36" s="7"/>
      <c r="V36" s="67" t="n">
        <f aca="false">K36*5.5017049523</f>
        <v>1574524.48714403</v>
      </c>
      <c r="W36" s="67" t="n">
        <f aca="false">M36*5.5017049523</f>
        <v>48696.6336230121</v>
      </c>
      <c r="X36" s="67" t="n">
        <f aca="false">N36*5.1890047538+L36*5.5017049523</f>
        <v>21672494.260601</v>
      </c>
      <c r="Y36" s="67" t="n">
        <f aca="false">N36*5.1890047538</f>
        <v>17401927.599895</v>
      </c>
      <c r="Z36" s="67" t="n">
        <f aca="false">L36*5.5017049523</f>
        <v>4270566.66070599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3" t="n">
        <v>19242809.0035337</v>
      </c>
      <c r="G37" s="153" t="n">
        <v>18469966.6274608</v>
      </c>
      <c r="H37" s="67" t="n">
        <f aca="false">F37-J37</f>
        <v>18923673.4726995</v>
      </c>
      <c r="I37" s="67" t="n">
        <f aca="false">G37-K37</f>
        <v>18160405.1625516</v>
      </c>
      <c r="J37" s="153" t="n">
        <v>319135.53083418</v>
      </c>
      <c r="K37" s="153" t="n">
        <v>309561.464909155</v>
      </c>
      <c r="L37" s="67" t="n">
        <f aca="false">H37-I37</f>
        <v>763268.310147874</v>
      </c>
      <c r="M37" s="67" t="n">
        <f aca="false">J37-K37</f>
        <v>9574.06592502503</v>
      </c>
      <c r="N37" s="153" t="n">
        <v>3328430.3278972</v>
      </c>
      <c r="O37" s="7"/>
      <c r="P37" s="7"/>
      <c r="Q37" s="67" t="n">
        <f aca="false">I37*5.5017049523</f>
        <v>99913191.0185849</v>
      </c>
      <c r="R37" s="67"/>
      <c r="S37" s="67"/>
      <c r="T37" s="7"/>
      <c r="U37" s="7"/>
      <c r="V37" s="67" t="n">
        <f aca="false">K37*5.5017049523</f>
        <v>1703115.84453194</v>
      </c>
      <c r="W37" s="67" t="n">
        <f aca="false">M37*5.5017049523</f>
        <v>52673.6859133569</v>
      </c>
      <c r="X37" s="67" t="n">
        <f aca="false">N37*5.1890047538+L37*5.5017049523</f>
        <v>21470517.8360249</v>
      </c>
      <c r="Y37" s="67" t="n">
        <f aca="false">N37*5.1890047538</f>
        <v>17271240.7941507</v>
      </c>
      <c r="Z37" s="67" t="n">
        <f aca="false">L37*5.5017049523</f>
        <v>4199277.04187421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65"/>
      <c r="B38" s="5"/>
      <c r="C38" s="65" t="n">
        <f aca="false">C34+1</f>
        <v>2021</v>
      </c>
      <c r="D38" s="65" t="n">
        <f aca="false">D34</f>
        <v>1</v>
      </c>
      <c r="E38" s="65" t="n">
        <v>185</v>
      </c>
      <c r="F38" s="151" t="n">
        <v>18141654.9000764</v>
      </c>
      <c r="G38" s="151" t="n">
        <v>17409924.9522587</v>
      </c>
      <c r="H38" s="8" t="n">
        <f aca="false">F38-J38</f>
        <v>17817526.8773274</v>
      </c>
      <c r="I38" s="8" t="n">
        <f aca="false">G38-K38</f>
        <v>17095520.7701922</v>
      </c>
      <c r="J38" s="151" t="n">
        <v>324128.022749012</v>
      </c>
      <c r="K38" s="151" t="n">
        <v>314404.182066541</v>
      </c>
      <c r="L38" s="8" t="n">
        <f aca="false">H38-I38</f>
        <v>722006.107135233</v>
      </c>
      <c r="M38" s="8" t="n">
        <f aca="false">J38-K38</f>
        <v>9723.840682471</v>
      </c>
      <c r="N38" s="151" t="n">
        <v>3547092.32525587</v>
      </c>
      <c r="O38" s="5"/>
      <c r="P38" s="5"/>
      <c r="Q38" s="8" t="n">
        <f aca="false">I38*5.5017049523</f>
        <v>94054511.2835137</v>
      </c>
      <c r="R38" s="8"/>
      <c r="S38" s="8"/>
      <c r="T38" s="5"/>
      <c r="U38" s="5"/>
      <c r="V38" s="8" t="n">
        <f aca="false">K38*5.5017049523</f>
        <v>1729759.04549932</v>
      </c>
      <c r="W38" s="8" t="n">
        <f aca="false">M38*5.5017049523</f>
        <v>53497.7024381269</v>
      </c>
      <c r="X38" s="8" t="n">
        <f aca="false">N38*5.1890047538+L38*5.5017049523</f>
        <v>22378143.513137</v>
      </c>
      <c r="Y38" s="8" t="n">
        <f aca="false">N38*5.1890047538</f>
        <v>18405878.9379202</v>
      </c>
      <c r="Z38" s="8" t="n">
        <f aca="false">L38*5.5017049523</f>
        <v>3972264.57521675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3" t="n">
        <v>18038053.013415</v>
      </c>
      <c r="G39" s="153" t="n">
        <v>17309456.2137455</v>
      </c>
      <c r="H39" s="67" t="n">
        <f aca="false">F39-J39</f>
        <v>17708140.8342262</v>
      </c>
      <c r="I39" s="67" t="n">
        <f aca="false">G39-K39</f>
        <v>16989441.3999324</v>
      </c>
      <c r="J39" s="153" t="n">
        <v>329912.179188812</v>
      </c>
      <c r="K39" s="153" t="n">
        <v>320014.813813148</v>
      </c>
      <c r="L39" s="67" t="n">
        <f aca="false">H39-I39</f>
        <v>718699.434293836</v>
      </c>
      <c r="M39" s="67" t="n">
        <f aca="false">J39-K39</f>
        <v>9897.36537566397</v>
      </c>
      <c r="N39" s="153" t="n">
        <v>2907804.303429</v>
      </c>
      <c r="O39" s="7"/>
      <c r="P39" s="7"/>
      <c r="Q39" s="67" t="n">
        <f aca="false">I39*5.5017049523</f>
        <v>93470893.8868185</v>
      </c>
      <c r="R39" s="67"/>
      <c r="S39" s="67"/>
      <c r="T39" s="7"/>
      <c r="U39" s="7"/>
      <c r="V39" s="67" t="n">
        <f aca="false">K39*5.5017049523</f>
        <v>1760627.08596516</v>
      </c>
      <c r="W39" s="67" t="n">
        <f aca="false">M39*5.5017049523</f>
        <v>54452.384102013</v>
      </c>
      <c r="X39" s="67" t="n">
        <f aca="false">N39*5.1890047538+L39*5.5017049523</f>
        <v>19042682.5904828</v>
      </c>
      <c r="Y39" s="67" t="n">
        <f aca="false">N39*5.1890047538</f>
        <v>15088610.3536132</v>
      </c>
      <c r="Z39" s="67" t="n">
        <f aca="false">L39*5.5017049523</f>
        <v>3954072.23686961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3" t="n">
        <v>18528940.944105</v>
      </c>
      <c r="G40" s="153" t="n">
        <v>17779319.2246032</v>
      </c>
      <c r="H40" s="67" t="n">
        <f aca="false">F40-J40</f>
        <v>18172693.2951155</v>
      </c>
      <c r="I40" s="67" t="n">
        <f aca="false">G40-K40</f>
        <v>17433759.0050833</v>
      </c>
      <c r="J40" s="153" t="n">
        <v>356247.64898955</v>
      </c>
      <c r="K40" s="153" t="n">
        <v>345560.219519863</v>
      </c>
      <c r="L40" s="67" t="n">
        <f aca="false">H40-I40</f>
        <v>738934.290032115</v>
      </c>
      <c r="M40" s="67" t="n">
        <f aca="false">J40-K40</f>
        <v>10687.429469687</v>
      </c>
      <c r="N40" s="153" t="n">
        <v>2978989.24207299</v>
      </c>
      <c r="O40" s="7"/>
      <c r="P40" s="7"/>
      <c r="Q40" s="67" t="n">
        <f aca="false">I40*5.5017049523</f>
        <v>95915398.2554717</v>
      </c>
      <c r="R40" s="67"/>
      <c r="S40" s="67"/>
      <c r="T40" s="7"/>
      <c r="U40" s="7"/>
      <c r="V40" s="67" t="n">
        <f aca="false">K40*5.5017049523</f>
        <v>1901170.37105031</v>
      </c>
      <c r="W40" s="67" t="n">
        <f aca="false">M40*5.5017049523</f>
        <v>58799.0836407339</v>
      </c>
      <c r="X40" s="67" t="n">
        <f aca="false">N40*5.1890047538+L40*5.5017049523</f>
        <v>19523387.7815298</v>
      </c>
      <c r="Y40" s="67" t="n">
        <f aca="false">N40*5.1890047538</f>
        <v>15457989.3386358</v>
      </c>
      <c r="Z40" s="67" t="n">
        <f aca="false">L40*5.5017049523</f>
        <v>4065398.44289397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3" t="n">
        <v>18888354.7811347</v>
      </c>
      <c r="G41" s="153" t="n">
        <v>18122558.812583</v>
      </c>
      <c r="H41" s="67" t="n">
        <f aca="false">F41-J41</f>
        <v>18493450.2945877</v>
      </c>
      <c r="I41" s="67" t="n">
        <f aca="false">G41-K41</f>
        <v>17739501.4606324</v>
      </c>
      <c r="J41" s="153" t="n">
        <v>394904.486547031</v>
      </c>
      <c r="K41" s="153" t="n">
        <v>383057.35195062</v>
      </c>
      <c r="L41" s="67" t="n">
        <f aca="false">H41-I41</f>
        <v>753948.833955288</v>
      </c>
      <c r="M41" s="67" t="n">
        <f aca="false">J41-K41</f>
        <v>11847.134596411</v>
      </c>
      <c r="N41" s="153" t="n">
        <v>3018148.27113455</v>
      </c>
      <c r="O41" s="7"/>
      <c r="P41" s="7"/>
      <c r="Q41" s="67" t="n">
        <f aca="false">I41*5.5017049523</f>
        <v>97597503.0372943</v>
      </c>
      <c r="R41" s="67"/>
      <c r="S41" s="67"/>
      <c r="T41" s="7"/>
      <c r="U41" s="7"/>
      <c r="V41" s="67" t="n">
        <f aca="false">K41*5.5017049523</f>
        <v>2107468.53024165</v>
      </c>
      <c r="W41" s="67" t="n">
        <f aca="false">M41*5.5017049523</f>
        <v>65179.4390796389</v>
      </c>
      <c r="X41" s="67" t="n">
        <f aca="false">N41*5.1890047538+L41*5.5017049523</f>
        <v>19809189.7601431</v>
      </c>
      <c r="Y41" s="67" t="n">
        <f aca="false">N41*5.1890047538</f>
        <v>15661185.7265904</v>
      </c>
      <c r="Z41" s="67" t="n">
        <f aca="false">L41*5.5017049523</f>
        <v>4148004.03355262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65"/>
      <c r="B42" s="5"/>
      <c r="C42" s="65" t="n">
        <f aca="false">C38+1</f>
        <v>2022</v>
      </c>
      <c r="D42" s="65" t="n">
        <f aca="false">D38</f>
        <v>1</v>
      </c>
      <c r="E42" s="65" t="n">
        <v>189</v>
      </c>
      <c r="F42" s="151" t="n">
        <v>19163363.4255279</v>
      </c>
      <c r="G42" s="151" t="n">
        <v>18384884.7599273</v>
      </c>
      <c r="H42" s="8" t="n">
        <f aca="false">F42-J42</f>
        <v>18753019.0932442</v>
      </c>
      <c r="I42" s="8" t="n">
        <f aca="false">G42-K42</f>
        <v>17986850.7576121</v>
      </c>
      <c r="J42" s="151" t="n">
        <v>410344.332283682</v>
      </c>
      <c r="K42" s="151" t="n">
        <v>398034.002315171</v>
      </c>
      <c r="L42" s="8" t="n">
        <f aca="false">H42-I42</f>
        <v>766168.33563209</v>
      </c>
      <c r="M42" s="8" t="n">
        <f aca="false">J42-K42</f>
        <v>12310.329968511</v>
      </c>
      <c r="N42" s="151" t="n">
        <v>3702558.96210059</v>
      </c>
      <c r="O42" s="5"/>
      <c r="P42" s="5"/>
      <c r="Q42" s="8" t="n">
        <f aca="false">I42*5.5017049523</f>
        <v>98958345.8894357</v>
      </c>
      <c r="R42" s="8"/>
      <c r="S42" s="8"/>
      <c r="T42" s="5"/>
      <c r="U42" s="5"/>
      <c r="V42" s="8" t="n">
        <f aca="false">K42*5.5017049523</f>
        <v>2189865.64172117</v>
      </c>
      <c r="W42" s="8" t="n">
        <f aca="false">M42*5.5017049523</f>
        <v>67727.8033522041</v>
      </c>
      <c r="X42" s="8" t="n">
        <f aca="false">N42*5.1890047538+L42*5.5017049523</f>
        <v>23427828.1820073</v>
      </c>
      <c r="Y42" s="8" t="n">
        <f aca="false">N42*5.1890047538</f>
        <v>19212596.0555648</v>
      </c>
      <c r="Z42" s="8" t="n">
        <f aca="false">L42*5.5017049523</f>
        <v>4215232.12644252</v>
      </c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3" t="n">
        <v>19299671.2943822</v>
      </c>
      <c r="G43" s="153" t="n">
        <v>18513995.7455541</v>
      </c>
      <c r="H43" s="67" t="n">
        <f aca="false">F43-J43</f>
        <v>18861690.0309145</v>
      </c>
      <c r="I43" s="67" t="n">
        <f aca="false">G43-K43</f>
        <v>18089153.9199904</v>
      </c>
      <c r="J43" s="153" t="n">
        <v>437981.263467742</v>
      </c>
      <c r="K43" s="153" t="n">
        <v>424841.82556371</v>
      </c>
      <c r="L43" s="67" t="n">
        <f aca="false">H43-I43</f>
        <v>772536.110924069</v>
      </c>
      <c r="M43" s="67" t="n">
        <f aca="false">J43-K43</f>
        <v>13139.437904032</v>
      </c>
      <c r="N43" s="153" t="n">
        <v>3105791.35699421</v>
      </c>
      <c r="O43" s="7"/>
      <c r="P43" s="7"/>
      <c r="Q43" s="67" t="n">
        <f aca="false">I43*5.5017049523</f>
        <v>99521187.7045281</v>
      </c>
      <c r="R43" s="67"/>
      <c r="S43" s="67"/>
      <c r="T43" s="7"/>
      <c r="U43" s="7"/>
      <c r="V43" s="67" t="n">
        <f aca="false">K43*5.5017049523</f>
        <v>2337354.37564804</v>
      </c>
      <c r="W43" s="67" t="n">
        <f aca="false">M43*5.5017049523</f>
        <v>72289.3105870512</v>
      </c>
      <c r="X43" s="67" t="n">
        <f aca="false">N43*5.1890047538+L43*5.5017049523</f>
        <v>20366231.8630554</v>
      </c>
      <c r="Y43" s="67" t="n">
        <f aca="false">N43*5.1890047538</f>
        <v>16115966.1157539</v>
      </c>
      <c r="Z43" s="67" t="n">
        <f aca="false">L43*5.5017049523</f>
        <v>4250265.74730153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3" t="n">
        <v>19355022.2823805</v>
      </c>
      <c r="G44" s="153" t="n">
        <v>18566296.9880153</v>
      </c>
      <c r="H44" s="67" t="n">
        <f aca="false">F44-J44</f>
        <v>18898629.4149088</v>
      </c>
      <c r="I44" s="67" t="n">
        <f aca="false">G44-K44</f>
        <v>18123595.9065677</v>
      </c>
      <c r="J44" s="153" t="n">
        <v>456392.867471723</v>
      </c>
      <c r="K44" s="153" t="n">
        <v>442701.081447572</v>
      </c>
      <c r="L44" s="67" t="n">
        <f aca="false">H44-I44</f>
        <v>775033.508341044</v>
      </c>
      <c r="M44" s="67" t="n">
        <f aca="false">J44-K44</f>
        <v>13691.786024151</v>
      </c>
      <c r="N44" s="153" t="n">
        <v>3028863.39813457</v>
      </c>
      <c r="O44" s="7"/>
      <c r="P44" s="7"/>
      <c r="Q44" s="67" t="n">
        <f aca="false">I44*5.5017049523</f>
        <v>99710677.3526477</v>
      </c>
      <c r="R44" s="67"/>
      <c r="S44" s="67"/>
      <c r="T44" s="7"/>
      <c r="U44" s="7"/>
      <c r="V44" s="67" t="n">
        <f aca="false">K44*5.5017049523</f>
        <v>2435610.73218867</v>
      </c>
      <c r="W44" s="67" t="n">
        <f aca="false">M44*5.5017049523</f>
        <v>75328.1669749036</v>
      </c>
      <c r="X44" s="67" t="n">
        <f aca="false">N44*5.1890047538+L44*5.5017049523</f>
        <v>19980792.2625695</v>
      </c>
      <c r="Y44" s="67" t="n">
        <f aca="false">N44*5.1890047538</f>
        <v>15716786.5715311</v>
      </c>
      <c r="Z44" s="67" t="n">
        <f aca="false">L44*5.5017049523</f>
        <v>4264005.69103837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3" t="n">
        <v>19586448.2069655</v>
      </c>
      <c r="G45" s="153" t="n">
        <v>18786431.0721312</v>
      </c>
      <c r="H45" s="67" t="n">
        <f aca="false">F45-J45</f>
        <v>19108121.122131</v>
      </c>
      <c r="I45" s="67" t="n">
        <f aca="false">G45-K45</f>
        <v>18322453.7998418</v>
      </c>
      <c r="J45" s="153" t="n">
        <v>478327.084834472</v>
      </c>
      <c r="K45" s="153" t="n">
        <v>463977.272289438</v>
      </c>
      <c r="L45" s="67" t="n">
        <f aca="false">H45-I45</f>
        <v>785667.322289262</v>
      </c>
      <c r="M45" s="67" t="n">
        <f aca="false">J45-K45</f>
        <v>14349.812545034</v>
      </c>
      <c r="N45" s="153" t="n">
        <v>3065493.90693201</v>
      </c>
      <c r="O45" s="7"/>
      <c r="P45" s="7"/>
      <c r="Q45" s="67" t="n">
        <f aca="false">I45*5.5017049523</f>
        <v>100804734.808877</v>
      </c>
      <c r="R45" s="67"/>
      <c r="S45" s="67"/>
      <c r="T45" s="7"/>
      <c r="U45" s="7"/>
      <c r="V45" s="67" t="n">
        <f aca="false">K45*5.5017049523</f>
        <v>2552666.05670945</v>
      </c>
      <c r="W45" s="67" t="n">
        <f aca="false">M45*5.5017049523</f>
        <v>78948.4347435901</v>
      </c>
      <c r="X45" s="67" t="n">
        <f aca="false">N45*5.1890047538+L45*5.5017049523</f>
        <v>20229372.2537142</v>
      </c>
      <c r="Y45" s="67" t="n">
        <f aca="false">N45*5.1890047538</f>
        <v>15906862.4558151</v>
      </c>
      <c r="Z45" s="67" t="n">
        <f aca="false">L45*5.5017049523</f>
        <v>4322509.79789911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65"/>
      <c r="B46" s="5"/>
      <c r="C46" s="65" t="n">
        <f aca="false">C42+1</f>
        <v>2023</v>
      </c>
      <c r="D46" s="65" t="n">
        <f aca="false">D42</f>
        <v>1</v>
      </c>
      <c r="E46" s="65" t="n">
        <v>193</v>
      </c>
      <c r="F46" s="151" t="n">
        <v>19782844.6599704</v>
      </c>
      <c r="G46" s="151" t="n">
        <v>18973344.2007901</v>
      </c>
      <c r="H46" s="8" t="n">
        <f aca="false">F46-J46</f>
        <v>19293973.0715084</v>
      </c>
      <c r="I46" s="8" t="n">
        <f aca="false">G46-K46</f>
        <v>18499138.7599819</v>
      </c>
      <c r="J46" s="151" t="n">
        <v>488871.588462037</v>
      </c>
      <c r="K46" s="151" t="n">
        <v>474205.440808176</v>
      </c>
      <c r="L46" s="8" t="n">
        <f aca="false">H46-I46</f>
        <v>794834.31152644</v>
      </c>
      <c r="M46" s="8" t="n">
        <f aca="false">J46-K46</f>
        <v>14666.147653861</v>
      </c>
      <c r="N46" s="151" t="n">
        <v>3691123.56850952</v>
      </c>
      <c r="O46" s="5"/>
      <c r="P46" s="5"/>
      <c r="Q46" s="8" t="n">
        <f aca="false">I46*5.5017049523</f>
        <v>101776803.329077</v>
      </c>
      <c r="R46" s="8"/>
      <c r="S46" s="8"/>
      <c r="T46" s="5"/>
      <c r="U46" s="5"/>
      <c r="V46" s="8" t="n">
        <f aca="false">K46*5.5017049523</f>
        <v>2608938.42210195</v>
      </c>
      <c r="W46" s="8" t="n">
        <f aca="false">M46*5.5017049523</f>
        <v>80688.8171784099</v>
      </c>
      <c r="X46" s="8" t="n">
        <f aca="false">N46*5.1890047538+L46*5.5017049523</f>
        <v>23526201.6118421</v>
      </c>
      <c r="Y46" s="8" t="n">
        <f aca="false">N46*5.1890047538</f>
        <v>19153257.7438591</v>
      </c>
      <c r="Z46" s="8" t="n">
        <f aca="false">L46*5.5017049523</f>
        <v>4372943.86798298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3" t="n">
        <v>20030894.1491066</v>
      </c>
      <c r="G47" s="153" t="n">
        <v>19208923.1470364</v>
      </c>
      <c r="H47" s="67" t="n">
        <f aca="false">F47-J47</f>
        <v>19526313.9652252</v>
      </c>
      <c r="I47" s="67" t="n">
        <f aca="false">G47-K47</f>
        <v>18719480.3686715</v>
      </c>
      <c r="J47" s="153" t="n">
        <v>504580.183881375</v>
      </c>
      <c r="K47" s="153" t="n">
        <v>489442.778364934</v>
      </c>
      <c r="L47" s="67" t="n">
        <f aca="false">H47-I47</f>
        <v>806833.596553758</v>
      </c>
      <c r="M47" s="67" t="n">
        <f aca="false">J47-K47</f>
        <v>15137.405516441</v>
      </c>
      <c r="N47" s="153" t="n">
        <v>3008113.68750892</v>
      </c>
      <c r="O47" s="7"/>
      <c r="P47" s="7"/>
      <c r="Q47" s="67" t="n">
        <f aca="false">I47*5.5017049523</f>
        <v>102989057.848802</v>
      </c>
      <c r="R47" s="67"/>
      <c r="S47" s="67"/>
      <c r="T47" s="7"/>
      <c r="U47" s="7"/>
      <c r="V47" s="67" t="n">
        <f aca="false">K47*5.5017049523</f>
        <v>2692769.75759783</v>
      </c>
      <c r="W47" s="67" t="n">
        <f aca="false">M47*5.5017049523</f>
        <v>83281.5388947767</v>
      </c>
      <c r="X47" s="67" t="n">
        <f aca="false">N47*5.1890047538+L47*5.5017049523</f>
        <v>20048076.6182965</v>
      </c>
      <c r="Y47" s="67" t="n">
        <f aca="false">N47*5.1890047538</f>
        <v>15609116.2244546</v>
      </c>
      <c r="Z47" s="67" t="n">
        <f aca="false">L47*5.5017049523</f>
        <v>4438960.39384183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3" t="n">
        <v>20160016.026924</v>
      </c>
      <c r="G48" s="153" t="n">
        <v>19332284.9062736</v>
      </c>
      <c r="H48" s="67" t="n">
        <f aca="false">F48-J48</f>
        <v>19643698.6097091</v>
      </c>
      <c r="I48" s="67" t="n">
        <f aca="false">G48-K48</f>
        <v>18831457.0115751</v>
      </c>
      <c r="J48" s="153" t="n">
        <v>516317.417214948</v>
      </c>
      <c r="K48" s="153" t="n">
        <v>500827.8946985</v>
      </c>
      <c r="L48" s="67" t="n">
        <f aca="false">H48-I48</f>
        <v>812241.598133952</v>
      </c>
      <c r="M48" s="67" t="n">
        <f aca="false">J48-K48</f>
        <v>15489.522516448</v>
      </c>
      <c r="N48" s="153" t="n">
        <v>3028742.18702538</v>
      </c>
      <c r="O48" s="7"/>
      <c r="P48" s="7"/>
      <c r="Q48" s="67" t="n">
        <f aca="false">I48*5.5017049523</f>
        <v>103605120.299607</v>
      </c>
      <c r="R48" s="67"/>
      <c r="S48" s="67"/>
      <c r="T48" s="7"/>
      <c r="U48" s="7"/>
      <c r="V48" s="67" t="n">
        <f aca="false">K48*5.5017049523</f>
        <v>2755407.30851272</v>
      </c>
      <c r="W48" s="67" t="n">
        <f aca="false">M48*5.5017049523</f>
        <v>85218.7827375043</v>
      </c>
      <c r="X48" s="67" t="n">
        <f aca="false">N48*5.1890047538+L48*5.5017049523</f>
        <v>20184871.2294269</v>
      </c>
      <c r="Y48" s="67" t="n">
        <f aca="false">N48*5.1890047538</f>
        <v>15716157.6065093</v>
      </c>
      <c r="Z48" s="67" t="n">
        <f aca="false">L48*5.5017049523</f>
        <v>4468713.62291763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3" t="n">
        <v>20366176.0712888</v>
      </c>
      <c r="G49" s="153" t="n">
        <v>19527903.5428965</v>
      </c>
      <c r="H49" s="67" t="n">
        <f aca="false">F49-J49</f>
        <v>19811660.6625205</v>
      </c>
      <c r="I49" s="67" t="n">
        <f aca="false">G49-K49</f>
        <v>18990023.5963913</v>
      </c>
      <c r="J49" s="153" t="n">
        <v>554515.408768302</v>
      </c>
      <c r="K49" s="153" t="n">
        <v>537879.946505253</v>
      </c>
      <c r="L49" s="67" t="n">
        <f aca="false">H49-I49</f>
        <v>821637.066129249</v>
      </c>
      <c r="M49" s="67" t="n">
        <f aca="false">J49-K49</f>
        <v>16635.462263049</v>
      </c>
      <c r="N49" s="153" t="n">
        <v>3055777.69973841</v>
      </c>
      <c r="O49" s="7"/>
      <c r="P49" s="7"/>
      <c r="Q49" s="67" t="n">
        <f aca="false">I49*5.5017049523</f>
        <v>104477506.86456</v>
      </c>
      <c r="R49" s="67"/>
      <c r="S49" s="67"/>
      <c r="T49" s="7"/>
      <c r="U49" s="7"/>
      <c r="V49" s="67" t="n">
        <f aca="false">K49*5.5017049523</f>
        <v>2959256.76543081</v>
      </c>
      <c r="W49" s="67" t="n">
        <f aca="false">M49*5.5017049523</f>
        <v>91523.4051164163</v>
      </c>
      <c r="X49" s="67" t="n">
        <f aca="false">N49*5.1890047538+L49*5.5017049523</f>
        <v>20376849.7262152</v>
      </c>
      <c r="Y49" s="67" t="n">
        <f aca="false">N49*5.1890047538</f>
        <v>15856445.0104986</v>
      </c>
      <c r="Z49" s="67" t="n">
        <f aca="false">L49*5.5017049523</f>
        <v>4520404.71571653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65"/>
      <c r="B50" s="5"/>
      <c r="C50" s="65" t="n">
        <f aca="false">C46+1</f>
        <v>2024</v>
      </c>
      <c r="D50" s="65" t="n">
        <f aca="false">D46</f>
        <v>1</v>
      </c>
      <c r="E50" s="65" t="n">
        <v>197</v>
      </c>
      <c r="F50" s="151" t="n">
        <v>20593611.2090408</v>
      </c>
      <c r="G50" s="151" t="n">
        <v>19744143.415286</v>
      </c>
      <c r="H50" s="8" t="n">
        <f aca="false">F50-J50</f>
        <v>20041443.1745883</v>
      </c>
      <c r="I50" s="8" t="n">
        <f aca="false">G50-K50</f>
        <v>19208540.421867</v>
      </c>
      <c r="J50" s="151" t="n">
        <v>552168.034452546</v>
      </c>
      <c r="K50" s="151" t="n">
        <v>535602.99341897</v>
      </c>
      <c r="L50" s="8" t="n">
        <f aca="false">H50-I50</f>
        <v>832902.75272122</v>
      </c>
      <c r="M50" s="8" t="n">
        <f aca="false">J50-K50</f>
        <v>16565.041033576</v>
      </c>
      <c r="N50" s="151" t="n">
        <v>3735363.43804782</v>
      </c>
      <c r="O50" s="5"/>
      <c r="P50" s="5"/>
      <c r="Q50" s="8" t="n">
        <f aca="false">I50*5.5017049523</f>
        <v>105679721.965441</v>
      </c>
      <c r="R50" s="8"/>
      <c r="S50" s="8"/>
      <c r="T50" s="5"/>
      <c r="U50" s="5"/>
      <c r="V50" s="8" t="n">
        <f aca="false">K50*5.5017049523</f>
        <v>2946729.64135985</v>
      </c>
      <c r="W50" s="8" t="n">
        <f aca="false">M50*5.5017049523</f>
        <v>91135.9682894778</v>
      </c>
      <c r="X50" s="8" t="n">
        <f aca="false">N50*5.1890047538+L50*5.5017049523</f>
        <v>23965203.8366315</v>
      </c>
      <c r="Y50" s="8" t="n">
        <f aca="false">N50*5.1890047538</f>
        <v>19382818.6372008</v>
      </c>
      <c r="Z50" s="8" t="n">
        <f aca="false">L50*5.5017049523</f>
        <v>4582385.19943064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3" t="n">
        <v>20890134.4527661</v>
      </c>
      <c r="G51" s="153" t="n">
        <v>20026840.7823204</v>
      </c>
      <c r="H51" s="67" t="n">
        <f aca="false">F51-J51</f>
        <v>20302433.9704951</v>
      </c>
      <c r="I51" s="67" t="n">
        <f aca="false">G51-K51</f>
        <v>19456771.3145176</v>
      </c>
      <c r="J51" s="153" t="n">
        <v>587700.482270956</v>
      </c>
      <c r="K51" s="153" t="n">
        <v>570069.467802827</v>
      </c>
      <c r="L51" s="67" t="n">
        <f aca="false">H51-I51</f>
        <v>845662.655977573</v>
      </c>
      <c r="M51" s="67" t="n">
        <f aca="false">J51-K51</f>
        <v>17631.014468129</v>
      </c>
      <c r="N51" s="153" t="n">
        <v>3143862.19352973</v>
      </c>
      <c r="O51" s="7"/>
      <c r="P51" s="7"/>
      <c r="Q51" s="67" t="n">
        <f aca="false">I51*5.5017049523</f>
        <v>107045415.09685</v>
      </c>
      <c r="R51" s="67"/>
      <c r="S51" s="67"/>
      <c r="T51" s="7"/>
      <c r="U51" s="7"/>
      <c r="V51" s="67" t="n">
        <f aca="false">K51*5.5017049523</f>
        <v>3136354.01416584</v>
      </c>
      <c r="W51" s="67" t="n">
        <f aca="false">M51*5.5017049523</f>
        <v>97000.6396133784</v>
      </c>
      <c r="X51" s="67" t="n">
        <f aca="false">N51*5.1890047538+L51*5.5017049523</f>
        <v>20966102.2898849</v>
      </c>
      <c r="Y51" s="67" t="n">
        <f aca="false">N51*5.1890047538</f>
        <v>16313515.8675179</v>
      </c>
      <c r="Z51" s="67" t="n">
        <f aca="false">L51*5.5017049523</f>
        <v>4652586.42236699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3" t="n">
        <v>21094757.7861481</v>
      </c>
      <c r="G52" s="153" t="n">
        <v>20222429.951879</v>
      </c>
      <c r="H52" s="67" t="n">
        <f aca="false">F52-J52</f>
        <v>20482433.3513689</v>
      </c>
      <c r="I52" s="67" t="n">
        <f aca="false">G52-K52</f>
        <v>19628475.2501432</v>
      </c>
      <c r="J52" s="153" t="n">
        <v>612324.434779207</v>
      </c>
      <c r="K52" s="153" t="n">
        <v>593954.701735831</v>
      </c>
      <c r="L52" s="67" t="n">
        <f aca="false">H52-I52</f>
        <v>853958.101225726</v>
      </c>
      <c r="M52" s="67" t="n">
        <f aca="false">J52-K52</f>
        <v>18369.733043376</v>
      </c>
      <c r="N52" s="153" t="n">
        <v>3125113.84687687</v>
      </c>
      <c r="O52" s="7"/>
      <c r="P52" s="7"/>
      <c r="Q52" s="67" t="n">
        <f aca="false">I52*5.5017049523</f>
        <v>107990079.489811</v>
      </c>
      <c r="R52" s="67"/>
      <c r="S52" s="67"/>
      <c r="T52" s="7"/>
      <c r="U52" s="7"/>
      <c r="V52" s="67" t="n">
        <f aca="false">K52*5.5017049523</f>
        <v>3267763.52398189</v>
      </c>
      <c r="W52" s="67" t="n">
        <f aca="false">M52*5.5017049523</f>
        <v>101064.851257171</v>
      </c>
      <c r="X52" s="67" t="n">
        <f aca="false">N52*5.1890047538+L52*5.5017049523</f>
        <v>20914456.1221806</v>
      </c>
      <c r="Y52" s="67" t="n">
        <f aca="false">N52*5.1890047538</f>
        <v>16216230.6076103</v>
      </c>
      <c r="Z52" s="67" t="n">
        <f aca="false">L52*5.5017049523</f>
        <v>4698225.51457028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3" t="n">
        <v>21293014.9402262</v>
      </c>
      <c r="G53" s="153" t="n">
        <v>20411172.1273353</v>
      </c>
      <c r="H53" s="67" t="n">
        <f aca="false">F53-J53</f>
        <v>20623431.7362848</v>
      </c>
      <c r="I53" s="67" t="n">
        <f aca="false">G53-K53</f>
        <v>19761676.4195121</v>
      </c>
      <c r="J53" s="153" t="n">
        <v>669583.203941421</v>
      </c>
      <c r="K53" s="153" t="n">
        <v>649495.707823178</v>
      </c>
      <c r="L53" s="67" t="n">
        <f aca="false">H53-I53</f>
        <v>861755.316772662</v>
      </c>
      <c r="M53" s="67" t="n">
        <f aca="false">J53-K53</f>
        <v>20087.496118243</v>
      </c>
      <c r="N53" s="153" t="n">
        <v>3075772.51737706</v>
      </c>
      <c r="O53" s="7"/>
      <c r="P53" s="7"/>
      <c r="Q53" s="67" t="n">
        <f aca="false">I53*5.5017049523</f>
        <v>108722913.02298</v>
      </c>
      <c r="R53" s="67"/>
      <c r="S53" s="67"/>
      <c r="T53" s="7"/>
      <c r="U53" s="7"/>
      <c r="V53" s="67" t="n">
        <f aca="false">K53*5.5017049523</f>
        <v>3573333.75222837</v>
      </c>
      <c r="W53" s="67" t="n">
        <f aca="false">M53*5.5017049523</f>
        <v>110515.476873044</v>
      </c>
      <c r="X53" s="67" t="n">
        <f aca="false">N53*5.1890047538+L53*5.5017049523</f>
        <v>20701321.708236</v>
      </c>
      <c r="Y53" s="67" t="n">
        <f aca="false">N53*5.1890047538</f>
        <v>15960198.214277</v>
      </c>
      <c r="Z53" s="67" t="n">
        <f aca="false">L53*5.5017049523</f>
        <v>4741123.49395901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65"/>
      <c r="B54" s="5"/>
      <c r="C54" s="65" t="n">
        <f aca="false">C50+1</f>
        <v>2025</v>
      </c>
      <c r="D54" s="65" t="n">
        <f aca="false">D50</f>
        <v>1</v>
      </c>
      <c r="E54" s="65" t="n">
        <v>201</v>
      </c>
      <c r="F54" s="151" t="n">
        <v>21369957.8003865</v>
      </c>
      <c r="G54" s="151" t="n">
        <v>20484609.9142177</v>
      </c>
      <c r="H54" s="8" t="n">
        <f aca="false">F54-J54</f>
        <v>20645181.6288766</v>
      </c>
      <c r="I54" s="8" t="n">
        <f aca="false">G54-K54</f>
        <v>19781577.0278531</v>
      </c>
      <c r="J54" s="151" t="n">
        <v>724776.171509942</v>
      </c>
      <c r="K54" s="151" t="n">
        <v>703032.886364643</v>
      </c>
      <c r="L54" s="8" t="n">
        <f aca="false">H54-I54</f>
        <v>863604.601023503</v>
      </c>
      <c r="M54" s="8" t="n">
        <f aca="false">J54-K54</f>
        <v>21743.285145299</v>
      </c>
      <c r="N54" s="151" t="n">
        <v>3746765.61919137</v>
      </c>
      <c r="O54" s="5"/>
      <c r="P54" s="5"/>
      <c r="Q54" s="8" t="n">
        <f aca="false">I54*5.5017049523</f>
        <v>108832400.298443</v>
      </c>
      <c r="R54" s="8"/>
      <c r="S54" s="8"/>
      <c r="T54" s="5"/>
      <c r="U54" s="5"/>
      <c r="V54" s="8" t="n">
        <f aca="false">K54*5.5017049523</f>
        <v>3867879.51254212</v>
      </c>
      <c r="W54" s="8" t="n">
        <f aca="false">M54*5.5017049523</f>
        <v>119625.139563163</v>
      </c>
      <c r="X54" s="8" t="n">
        <f aca="false">N54*5.1890047538+L54*5.5017049523</f>
        <v>24193282.3196385</v>
      </c>
      <c r="Y54" s="8" t="n">
        <f aca="false">N54*5.1890047538</f>
        <v>19441984.6093584</v>
      </c>
      <c r="Z54" s="8" t="n">
        <f aca="false">L54*5.5017049523</f>
        <v>4751297.71028007</v>
      </c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3" t="n">
        <v>21579208.1066503</v>
      </c>
      <c r="G55" s="153" t="n">
        <v>20684141.8150078</v>
      </c>
      <c r="H55" s="67" t="n">
        <f aca="false">F55-J55</f>
        <v>20771992.7011107</v>
      </c>
      <c r="I55" s="67" t="n">
        <f aca="false">G55-K55</f>
        <v>19901142.8716344</v>
      </c>
      <c r="J55" s="153" t="n">
        <v>807215.405539561</v>
      </c>
      <c r="K55" s="153" t="n">
        <v>782998.943373374</v>
      </c>
      <c r="L55" s="67" t="n">
        <f aca="false">H55-I55</f>
        <v>870849.829476316</v>
      </c>
      <c r="M55" s="67" t="n">
        <f aca="false">J55-K55</f>
        <v>24216.462166187</v>
      </c>
      <c r="N55" s="153" t="n">
        <v>3158630.39307752</v>
      </c>
      <c r="O55" s="7"/>
      <c r="P55" s="7"/>
      <c r="Q55" s="67" t="n">
        <f aca="false">I55*5.5017049523</f>
        <v>109490216.293301</v>
      </c>
      <c r="R55" s="67"/>
      <c r="S55" s="67"/>
      <c r="T55" s="7"/>
      <c r="U55" s="7"/>
      <c r="V55" s="67" t="n">
        <f aca="false">K55*5.5017049523</f>
        <v>4307829.16440296</v>
      </c>
      <c r="W55" s="67" t="n">
        <f aca="false">M55*5.5017049523</f>
        <v>133231.829826897</v>
      </c>
      <c r="X55" s="67" t="n">
        <f aca="false">N55*5.1890047538+L55*5.5017049523</f>
        <v>21181306.9447159</v>
      </c>
      <c r="Y55" s="67" t="n">
        <f aca="false">N55*5.1890047538</f>
        <v>16390148.1251764</v>
      </c>
      <c r="Z55" s="67" t="n">
        <f aca="false">L55*5.5017049523</f>
        <v>4791158.81953946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3" t="n">
        <v>21773976.9293538</v>
      </c>
      <c r="G56" s="153" t="n">
        <v>20870016.6856305</v>
      </c>
      <c r="H56" s="67" t="n">
        <f aca="false">F56-J56</f>
        <v>20904849.7810112</v>
      </c>
      <c r="I56" s="67" t="n">
        <f aca="false">G56-K56</f>
        <v>20026963.3517382</v>
      </c>
      <c r="J56" s="153" t="n">
        <v>869127.14834257</v>
      </c>
      <c r="K56" s="153" t="n">
        <v>843053.333892293</v>
      </c>
      <c r="L56" s="67" t="n">
        <f aca="false">H56-I56</f>
        <v>877886.429273024</v>
      </c>
      <c r="M56" s="67" t="n">
        <f aca="false">J56-K56</f>
        <v>26073.814450277</v>
      </c>
      <c r="N56" s="153" t="n">
        <v>3140164.68972187</v>
      </c>
      <c r="O56" s="7"/>
      <c r="P56" s="7"/>
      <c r="Q56" s="67" t="n">
        <f aca="false">I56*5.5017049523</f>
        <v>110182443.451789</v>
      </c>
      <c r="R56" s="67"/>
      <c r="S56" s="67"/>
      <c r="T56" s="7"/>
      <c r="U56" s="7"/>
      <c r="V56" s="67" t="n">
        <f aca="false">K56*5.5017049523</f>
        <v>4638230.70212825</v>
      </c>
      <c r="W56" s="67" t="n">
        <f aca="false">M56*5.5017049523</f>
        <v>143450.43408644</v>
      </c>
      <c r="X56" s="67" t="n">
        <f aca="false">N56*5.1890047538+L56*5.5017049523</f>
        <v>21124201.61817</v>
      </c>
      <c r="Y56" s="67" t="n">
        <f aca="false">N56*5.1890047538</f>
        <v>16294329.5026817</v>
      </c>
      <c r="Z56" s="67" t="n">
        <f aca="false">L56*5.5017049523</f>
        <v>4829872.11548836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3" t="n">
        <v>22037884.7460595</v>
      </c>
      <c r="G57" s="153" t="n">
        <v>21121898.8172697</v>
      </c>
      <c r="H57" s="67" t="n">
        <f aca="false">F57-J57</f>
        <v>21065167.5231835</v>
      </c>
      <c r="I57" s="67" t="n">
        <f aca="false">G57-K57</f>
        <v>20178363.11108</v>
      </c>
      <c r="J57" s="153" t="n">
        <v>972717.222875986</v>
      </c>
      <c r="K57" s="153" t="n">
        <v>943535.706189706</v>
      </c>
      <c r="L57" s="67" t="n">
        <f aca="false">H57-I57</f>
        <v>886804.412103519</v>
      </c>
      <c r="M57" s="67" t="n">
        <f aca="false">J57-K57</f>
        <v>29181.51668628</v>
      </c>
      <c r="N57" s="153" t="n">
        <v>3108753.41233225</v>
      </c>
      <c r="O57" s="7"/>
      <c r="P57" s="7"/>
      <c r="Q57" s="67" t="n">
        <f aca="false">I57*5.5017049523</f>
        <v>111015400.257536</v>
      </c>
      <c r="R57" s="67"/>
      <c r="S57" s="67"/>
      <c r="T57" s="7"/>
      <c r="U57" s="7"/>
      <c r="V57" s="67" t="n">
        <f aca="false">K57*5.5017049523</f>
        <v>5191055.06741578</v>
      </c>
      <c r="W57" s="67" t="n">
        <f aca="false">M57*5.5017049523</f>
        <v>160548.094868532</v>
      </c>
      <c r="X57" s="67" t="n">
        <f aca="false">N57*5.1890047538+L57*5.5017049523</f>
        <v>21010272.4607754</v>
      </c>
      <c r="Y57" s="67" t="n">
        <f aca="false">N57*5.1890047538</f>
        <v>16131336.234984</v>
      </c>
      <c r="Z57" s="67" t="n">
        <f aca="false">L57*5.5017049523</f>
        <v>4878936.22579142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65"/>
      <c r="B58" s="5"/>
      <c r="C58" s="65" t="n">
        <f aca="false">C54+1</f>
        <v>2026</v>
      </c>
      <c r="D58" s="65" t="n">
        <f aca="false">D54</f>
        <v>1</v>
      </c>
      <c r="E58" s="65" t="n">
        <v>205</v>
      </c>
      <c r="F58" s="151" t="n">
        <v>22252506.4107708</v>
      </c>
      <c r="G58" s="151" t="n">
        <v>21327040.9019923</v>
      </c>
      <c r="H58" s="8" t="n">
        <f aca="false">F58-J58</f>
        <v>21181524.130918</v>
      </c>
      <c r="I58" s="8" t="n">
        <f aca="false">G58-K58</f>
        <v>20288188.0905351</v>
      </c>
      <c r="J58" s="151" t="n">
        <v>1070982.27985278</v>
      </c>
      <c r="K58" s="151" t="n">
        <v>1038852.8114572</v>
      </c>
      <c r="L58" s="8" t="n">
        <f aca="false">H58-I58</f>
        <v>893336.040382922</v>
      </c>
      <c r="M58" s="8" t="n">
        <f aca="false">J58-K58</f>
        <v>32129.4683955801</v>
      </c>
      <c r="N58" s="151" t="n">
        <v>3796488.11221711</v>
      </c>
      <c r="O58" s="5"/>
      <c r="P58" s="5"/>
      <c r="Q58" s="8" t="n">
        <f aca="false">I58*5.5017049523</f>
        <v>111619624.890891</v>
      </c>
      <c r="R58" s="8"/>
      <c r="S58" s="8"/>
      <c r="T58" s="5"/>
      <c r="U58" s="5"/>
      <c r="V58" s="8" t="n">
        <f aca="false">K58*5.5017049523</f>
        <v>5715461.65750485</v>
      </c>
      <c r="W58" s="8" t="n">
        <f aca="false">M58*5.5017049523</f>
        <v>176766.855386729</v>
      </c>
      <c r="X58" s="8" t="n">
        <f aca="false">N58*5.1890047538+L58*5.5017049523</f>
        <v>24614866.1794826</v>
      </c>
      <c r="Y58" s="8" t="n">
        <f aca="false">N58*5.1890047538</f>
        <v>19699994.8620398</v>
      </c>
      <c r="Z58" s="8" t="n">
        <f aca="false">L58*5.5017049523</f>
        <v>4914871.31744279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3" t="n">
        <v>22498774.2704457</v>
      </c>
      <c r="G59" s="153" t="n">
        <v>21561701.725656</v>
      </c>
      <c r="H59" s="67" t="n">
        <f aca="false">F59-J59</f>
        <v>21324789.3650995</v>
      </c>
      <c r="I59" s="67" t="n">
        <f aca="false">G59-K59</f>
        <v>20422936.3674702</v>
      </c>
      <c r="J59" s="153" t="n">
        <v>1173984.90534623</v>
      </c>
      <c r="K59" s="153" t="n">
        <v>1138765.35818584</v>
      </c>
      <c r="L59" s="67" t="n">
        <f aca="false">H59-I59</f>
        <v>901852.997629311</v>
      </c>
      <c r="M59" s="67" t="n">
        <f aca="false">J59-K59</f>
        <v>35219.5471603898</v>
      </c>
      <c r="N59" s="153" t="n">
        <v>3090373.19047017</v>
      </c>
      <c r="O59" s="7"/>
      <c r="P59" s="7"/>
      <c r="Q59" s="67" t="n">
        <f aca="false">I59*5.5017049523</f>
        <v>112360970.153418</v>
      </c>
      <c r="R59" s="67"/>
      <c r="S59" s="67"/>
      <c r="T59" s="7"/>
      <c r="U59" s="7"/>
      <c r="V59" s="67" t="n">
        <f aca="false">K59*5.5017049523</f>
        <v>6265151.01063872</v>
      </c>
      <c r="W59" s="67" t="n">
        <f aca="false">M59*5.5017049523</f>
        <v>193767.55703008</v>
      </c>
      <c r="X59" s="67" t="n">
        <f aca="false">N59*5.1890047538+L59*5.5017049523</f>
        <v>20997690.2796696</v>
      </c>
      <c r="Y59" s="67" t="n">
        <f aca="false">N59*5.1890047538</f>
        <v>16035961.1763658</v>
      </c>
      <c r="Z59" s="67" t="n">
        <f aca="false">L59*5.5017049523</f>
        <v>4961729.10330378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3" t="n">
        <v>22664143.8601834</v>
      </c>
      <c r="G60" s="153" t="n">
        <v>21720008.9095207</v>
      </c>
      <c r="H60" s="67" t="n">
        <f aca="false">F60-J60</f>
        <v>21423322.2912894</v>
      </c>
      <c r="I60" s="67" t="n">
        <f aca="false">G60-K60</f>
        <v>20516411.9876936</v>
      </c>
      <c r="J60" s="153" t="n">
        <v>1240821.56889395</v>
      </c>
      <c r="K60" s="153" t="n">
        <v>1203596.92182713</v>
      </c>
      <c r="L60" s="67" t="n">
        <f aca="false">H60-I60</f>
        <v>906910.303595878</v>
      </c>
      <c r="M60" s="67" t="n">
        <f aca="false">J60-K60</f>
        <v>37224.6470668199</v>
      </c>
      <c r="N60" s="153" t="n">
        <v>3121820.34150769</v>
      </c>
      <c r="O60" s="7"/>
      <c r="P60" s="7"/>
      <c r="Q60" s="67" t="n">
        <f aca="false">I60*5.5017049523</f>
        <v>112875245.436121</v>
      </c>
      <c r="R60" s="67"/>
      <c r="S60" s="67"/>
      <c r="T60" s="7"/>
      <c r="U60" s="7"/>
      <c r="V60" s="67" t="n">
        <f aca="false">K60*5.5017049523</f>
        <v>6621835.14538936</v>
      </c>
      <c r="W60" s="67" t="n">
        <f aca="false">M60*5.5017049523</f>
        <v>204799.025115143</v>
      </c>
      <c r="X60" s="67" t="n">
        <f aca="false">N60*5.1890047538+L60*5.5017049523</f>
        <v>21188693.5011783</v>
      </c>
      <c r="Y60" s="67" t="n">
        <f aca="false">N60*5.1890047538</f>
        <v>16199140.5925929</v>
      </c>
      <c r="Z60" s="67" t="n">
        <f aca="false">L60*5.5017049523</f>
        <v>4989552.90858534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3" t="n">
        <v>22823622.3036972</v>
      </c>
      <c r="G61" s="153" t="n">
        <v>21871815.5908537</v>
      </c>
      <c r="H61" s="67" t="n">
        <f aca="false">F61-J61</f>
        <v>21550959.6600977</v>
      </c>
      <c r="I61" s="67" t="n">
        <f aca="false">G61-K61</f>
        <v>20637332.8265621</v>
      </c>
      <c r="J61" s="153" t="n">
        <v>1272662.64359954</v>
      </c>
      <c r="K61" s="153" t="n">
        <v>1234482.76429155</v>
      </c>
      <c r="L61" s="67" t="n">
        <f aca="false">H61-I61</f>
        <v>913626.833535511</v>
      </c>
      <c r="M61" s="67" t="n">
        <f aca="false">J61-K61</f>
        <v>38179.87930799</v>
      </c>
      <c r="N61" s="153" t="n">
        <v>3110412.45326451</v>
      </c>
      <c r="O61" s="7"/>
      <c r="P61" s="7"/>
      <c r="Q61" s="67" t="n">
        <f aca="false">I61*5.5017049523</f>
        <v>113540516.21416</v>
      </c>
      <c r="R61" s="67"/>
      <c r="S61" s="67"/>
      <c r="T61" s="7"/>
      <c r="U61" s="7"/>
      <c r="V61" s="67" t="n">
        <f aca="false">K61*5.5017049523</f>
        <v>6791759.93783182</v>
      </c>
      <c r="W61" s="67" t="n">
        <f aca="false">M61*5.5017049523</f>
        <v>210054.431066985</v>
      </c>
      <c r="X61" s="67" t="n">
        <f aca="false">N61*5.1890047538+L61*5.5017049523</f>
        <v>21166450.2808848</v>
      </c>
      <c r="Y61" s="67" t="n">
        <f aca="false">N61*5.1890047538</f>
        <v>16139945.0062683</v>
      </c>
      <c r="Z61" s="67" t="n">
        <f aca="false">L61*5.5017049523</f>
        <v>5026505.27461649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65"/>
      <c r="B62" s="5"/>
      <c r="C62" s="65" t="n">
        <f aca="false">C58+1</f>
        <v>2027</v>
      </c>
      <c r="D62" s="65" t="n">
        <f aca="false">D58</f>
        <v>1</v>
      </c>
      <c r="E62" s="65" t="n">
        <v>209</v>
      </c>
      <c r="F62" s="151" t="n">
        <v>22957797.7500059</v>
      </c>
      <c r="G62" s="151" t="n">
        <v>21999400.8490337</v>
      </c>
      <c r="H62" s="8" t="n">
        <f aca="false">F62-J62</f>
        <v>21615563.2293963</v>
      </c>
      <c r="I62" s="8" t="n">
        <f aca="false">G62-K62</f>
        <v>20697433.3640424</v>
      </c>
      <c r="J62" s="151" t="n">
        <v>1342234.52060955</v>
      </c>
      <c r="K62" s="151" t="n">
        <v>1301967.48499127</v>
      </c>
      <c r="L62" s="8" t="n">
        <f aca="false">H62-I62</f>
        <v>918129.865353923</v>
      </c>
      <c r="M62" s="8" t="n">
        <f aca="false">J62-K62</f>
        <v>40267.0356182801</v>
      </c>
      <c r="N62" s="151" t="n">
        <v>3698797.50708539</v>
      </c>
      <c r="O62" s="5"/>
      <c r="P62" s="5"/>
      <c r="Q62" s="8" t="n">
        <f aca="false">I62*5.5017049523</f>
        <v>113871171.638851</v>
      </c>
      <c r="R62" s="8"/>
      <c r="S62" s="8"/>
      <c r="T62" s="5"/>
      <c r="U62" s="5"/>
      <c r="V62" s="8" t="n">
        <f aca="false">K62*5.5017049523</f>
        <v>7163040.95991005</v>
      </c>
      <c r="W62" s="8" t="n">
        <f aca="false">M62*5.5017049523</f>
        <v>221537.349275532</v>
      </c>
      <c r="X62" s="8" t="n">
        <f aca="false">N62*5.1890047538+L62*5.5017049523</f>
        <v>24244357.4746819</v>
      </c>
      <c r="Y62" s="8" t="n">
        <f aca="false">N62*5.1890047538</f>
        <v>19193077.8476097</v>
      </c>
      <c r="Z62" s="8" t="n">
        <f aca="false">L62*5.5017049523</f>
        <v>5051279.62707221</v>
      </c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3" t="n">
        <v>23104884.7870885</v>
      </c>
      <c r="G63" s="153" t="n">
        <v>22139854.3601681</v>
      </c>
      <c r="H63" s="67" t="n">
        <f aca="false">F63-J63</f>
        <v>21729635.6694302</v>
      </c>
      <c r="I63" s="67" t="n">
        <f aca="false">G63-K63</f>
        <v>20805862.7160396</v>
      </c>
      <c r="J63" s="153" t="n">
        <v>1375249.1176583</v>
      </c>
      <c r="K63" s="153" t="n">
        <v>1333991.64412855</v>
      </c>
      <c r="L63" s="67" t="n">
        <f aca="false">H63-I63</f>
        <v>923772.95339065</v>
      </c>
      <c r="M63" s="67" t="n">
        <f aca="false">J63-K63</f>
        <v>41257.47352975</v>
      </c>
      <c r="N63" s="153" t="n">
        <v>3094514.94847257</v>
      </c>
      <c r="O63" s="7"/>
      <c r="P63" s="7"/>
      <c r="Q63" s="67" t="n">
        <f aca="false">I63*5.5017049523</f>
        <v>114467717.941709</v>
      </c>
      <c r="R63" s="67"/>
      <c r="S63" s="67"/>
      <c r="T63" s="7"/>
      <c r="U63" s="7"/>
      <c r="V63" s="67" t="n">
        <f aca="false">K63*5.5017049523</f>
        <v>7339228.43482886</v>
      </c>
      <c r="W63" s="67" t="n">
        <f aca="false">M63*5.5017049523</f>
        <v>226986.446438012</v>
      </c>
      <c r="X63" s="67" t="n">
        <f aca="false">N63*5.1890047538+L63*5.5017049523</f>
        <v>21139779.0107995</v>
      </c>
      <c r="Y63" s="67" t="n">
        <f aca="false">N63*5.1890047538</f>
        <v>16057452.7783293</v>
      </c>
      <c r="Z63" s="67" t="n">
        <f aca="false">L63*5.5017049523</f>
        <v>5082326.23247014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3" t="n">
        <v>23377950.276233</v>
      </c>
      <c r="G64" s="153" t="n">
        <v>22401408.2056422</v>
      </c>
      <c r="H64" s="67" t="n">
        <f aca="false">F64-J64</f>
        <v>21904445.7528354</v>
      </c>
      <c r="I64" s="67" t="n">
        <f aca="false">G64-K64</f>
        <v>20972108.8179465</v>
      </c>
      <c r="J64" s="153" t="n">
        <v>1473504.52339759</v>
      </c>
      <c r="K64" s="153" t="n">
        <v>1429299.38769567</v>
      </c>
      <c r="L64" s="67" t="n">
        <f aca="false">H64-I64</f>
        <v>932336.934888877</v>
      </c>
      <c r="M64" s="67" t="n">
        <f aca="false">J64-K64</f>
        <v>44205.1357019201</v>
      </c>
      <c r="N64" s="153" t="n">
        <v>3101699.50787958</v>
      </c>
      <c r="O64" s="7"/>
      <c r="P64" s="7"/>
      <c r="Q64" s="67" t="n">
        <f aca="false">I64*5.5017049523</f>
        <v>115382354.943871</v>
      </c>
      <c r="R64" s="67"/>
      <c r="S64" s="67"/>
      <c r="T64" s="7"/>
      <c r="U64" s="7"/>
      <c r="V64" s="67" t="n">
        <f aca="false">K64*5.5017049523</f>
        <v>7863583.51960462</v>
      </c>
      <c r="W64" s="67" t="n">
        <f aca="false">M64*5.5017049523</f>
        <v>243203.614008348</v>
      </c>
      <c r="X64" s="67" t="n">
        <f aca="false">N64*5.1890047538+L64*5.5017049523</f>
        <v>21224176.2231366</v>
      </c>
      <c r="Y64" s="67" t="n">
        <f aca="false">N64*5.1890047538</f>
        <v>16094733.4912463</v>
      </c>
      <c r="Z64" s="67" t="n">
        <f aca="false">L64*5.5017049523</f>
        <v>5129442.73189034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3" t="n">
        <v>23522053.125801</v>
      </c>
      <c r="G65" s="153" t="n">
        <v>22538744.297553</v>
      </c>
      <c r="H65" s="67" t="n">
        <f aca="false">F65-J65</f>
        <v>21986818.7932622</v>
      </c>
      <c r="I65" s="67" t="n">
        <f aca="false">G65-K65</f>
        <v>21049566.9949904</v>
      </c>
      <c r="J65" s="153" t="n">
        <v>1535234.3325388</v>
      </c>
      <c r="K65" s="153" t="n">
        <v>1489177.30256263</v>
      </c>
      <c r="L65" s="67" t="n">
        <f aca="false">H65-I65</f>
        <v>937251.798271835</v>
      </c>
      <c r="M65" s="67" t="n">
        <f aca="false">J65-K65</f>
        <v>46057.02997617</v>
      </c>
      <c r="N65" s="153" t="n">
        <v>3069865.31833956</v>
      </c>
      <c r="O65" s="7"/>
      <c r="P65" s="7"/>
      <c r="Q65" s="67" t="n">
        <f aca="false">I65*5.5017049523</f>
        <v>115808506.980109</v>
      </c>
      <c r="R65" s="67"/>
      <c r="S65" s="67"/>
      <c r="T65" s="7"/>
      <c r="U65" s="7"/>
      <c r="V65" s="67" t="n">
        <f aca="false">K65*5.5017049523</f>
        <v>8193014.14036158</v>
      </c>
      <c r="W65" s="67" t="n">
        <f aca="false">M65*5.5017049523</f>
        <v>253392.189908124</v>
      </c>
      <c r="X65" s="67" t="n">
        <f aca="false">N65*5.1890047538+L65*5.5017049523</f>
        <v>21086028.590494</v>
      </c>
      <c r="Y65" s="67" t="n">
        <f aca="false">N65*5.1890047538</f>
        <v>15929545.7303897</v>
      </c>
      <c r="Z65" s="67" t="n">
        <f aca="false">L65*5.5017049523</f>
        <v>5156482.86010423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65"/>
      <c r="B66" s="5"/>
      <c r="C66" s="65" t="n">
        <f aca="false">C62+1</f>
        <v>2028</v>
      </c>
      <c r="D66" s="65" t="n">
        <f aca="false">D62</f>
        <v>1</v>
      </c>
      <c r="E66" s="65" t="n">
        <v>213</v>
      </c>
      <c r="F66" s="151" t="n">
        <v>23713393.1770955</v>
      </c>
      <c r="G66" s="151" t="n">
        <v>22721521.3354621</v>
      </c>
      <c r="H66" s="8" t="n">
        <f aca="false">F66-J66</f>
        <v>22103043.0946081</v>
      </c>
      <c r="I66" s="8" t="n">
        <f aca="false">G66-K66</f>
        <v>21159481.7554493</v>
      </c>
      <c r="J66" s="151" t="n">
        <v>1610350.08248742</v>
      </c>
      <c r="K66" s="151" t="n">
        <v>1562039.58001279</v>
      </c>
      <c r="L66" s="8" t="n">
        <f aca="false">H66-I66</f>
        <v>943561.33915877</v>
      </c>
      <c r="M66" s="8" t="n">
        <f aca="false">J66-K66</f>
        <v>48310.50247463</v>
      </c>
      <c r="N66" s="151" t="n">
        <v>3722591.7087187</v>
      </c>
      <c r="O66" s="5"/>
      <c r="P66" s="5"/>
      <c r="Q66" s="8" t="n">
        <f aca="false">I66*5.5017049523</f>
        <v>116413225.562057</v>
      </c>
      <c r="R66" s="8"/>
      <c r="S66" s="8"/>
      <c r="T66" s="5"/>
      <c r="U66" s="5"/>
      <c r="V66" s="8" t="n">
        <f aca="false">K66*5.5017049523</f>
        <v>8593880.89304498</v>
      </c>
      <c r="W66" s="8" t="n">
        <f aca="false">M66*5.5017049523</f>
        <v>265790.130712773</v>
      </c>
      <c r="X66" s="8" t="n">
        <f aca="false">N66*5.1890047538+L66*5.5017049523</f>
        <v>24507742.1654464</v>
      </c>
      <c r="Y66" s="8" t="n">
        <f aca="false">N66*5.1890047538</f>
        <v>19316546.0729978</v>
      </c>
      <c r="Z66" s="8" t="n">
        <f aca="false">L66*5.5017049523</f>
        <v>5191196.09244862</v>
      </c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3" t="n">
        <v>23814966.6214769</v>
      </c>
      <c r="G67" s="153" t="n">
        <v>22817199.9854114</v>
      </c>
      <c r="H67" s="67" t="n">
        <f aca="false">F67-J67</f>
        <v>22134862.6528278</v>
      </c>
      <c r="I67" s="67" t="n">
        <f aca="false">G67-K67</f>
        <v>21187499.1358217</v>
      </c>
      <c r="J67" s="153" t="n">
        <v>1680103.96864913</v>
      </c>
      <c r="K67" s="153" t="n">
        <v>1629700.84958966</v>
      </c>
      <c r="L67" s="67" t="n">
        <f aca="false">H67-I67</f>
        <v>947363.517006028</v>
      </c>
      <c r="M67" s="67" t="n">
        <f aca="false">J67-K67</f>
        <v>50403.11905947</v>
      </c>
      <c r="N67" s="153" t="n">
        <v>3079746.20746025</v>
      </c>
      <c r="O67" s="7"/>
      <c r="P67" s="7"/>
      <c r="Q67" s="67" t="n">
        <f aca="false">I67*5.5017049523</f>
        <v>116567368.922402</v>
      </c>
      <c r="R67" s="67"/>
      <c r="S67" s="67"/>
      <c r="T67" s="7"/>
      <c r="U67" s="7"/>
      <c r="V67" s="67" t="n">
        <f aca="false">K67*5.5017049523</f>
        <v>8966133.23495495</v>
      </c>
      <c r="W67" s="67" t="n">
        <f aca="false">M67*5.5017049523</f>
        <v>277303.089740853</v>
      </c>
      <c r="X67" s="67" t="n">
        <f aca="false">N67*5.1890047538+L67*5.5017049523</f>
        <v>21192932.2641492</v>
      </c>
      <c r="Y67" s="67" t="n">
        <f aca="false">N67*5.1890047538</f>
        <v>15980817.7110088</v>
      </c>
      <c r="Z67" s="67" t="n">
        <f aca="false">L67*5.5017049523</f>
        <v>5212114.55314041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3" t="n">
        <v>23898023.8727479</v>
      </c>
      <c r="G68" s="153" t="n">
        <v>22896100.3500918</v>
      </c>
      <c r="H68" s="67" t="n">
        <f aca="false">F68-J68</f>
        <v>22156072.7913054</v>
      </c>
      <c r="I68" s="67" t="n">
        <f aca="false">G68-K68</f>
        <v>21206407.8010925</v>
      </c>
      <c r="J68" s="153" t="n">
        <v>1741951.08144254</v>
      </c>
      <c r="K68" s="153" t="n">
        <v>1689692.54899927</v>
      </c>
      <c r="L68" s="67" t="n">
        <f aca="false">H68-I68</f>
        <v>949664.990212832</v>
      </c>
      <c r="M68" s="67" t="n">
        <f aca="false">J68-K68</f>
        <v>52258.5324432701</v>
      </c>
      <c r="N68" s="153" t="n">
        <v>2989765.09433726</v>
      </c>
      <c r="O68" s="7"/>
      <c r="P68" s="7"/>
      <c r="Q68" s="67" t="n">
        <f aca="false">I68*5.5017049523</f>
        <v>116671398.819764</v>
      </c>
      <c r="R68" s="67"/>
      <c r="S68" s="67"/>
      <c r="T68" s="7"/>
      <c r="U68" s="7"/>
      <c r="V68" s="67" t="n">
        <f aca="false">K68*5.5017049523</f>
        <v>9296189.86469369</v>
      </c>
      <c r="W68" s="67" t="n">
        <f aca="false">M68*5.5017049523</f>
        <v>287511.026743069</v>
      </c>
      <c r="X68" s="67" t="n">
        <f aca="false">N68*5.1890047538+L68*5.5017049523</f>
        <v>20738681.8669412</v>
      </c>
      <c r="Y68" s="67" t="n">
        <f aca="false">N68*5.1890047538</f>
        <v>15513905.2872613</v>
      </c>
      <c r="Z68" s="67" t="n">
        <f aca="false">L68*5.5017049523</f>
        <v>5224776.57967987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3" t="n">
        <v>23984550.416715</v>
      </c>
      <c r="G69" s="153" t="n">
        <v>22978146.5408342</v>
      </c>
      <c r="H69" s="67" t="n">
        <f aca="false">F69-J69</f>
        <v>22160602.4982606</v>
      </c>
      <c r="I69" s="67" t="n">
        <f aca="false">G69-K69</f>
        <v>21208917.0599334</v>
      </c>
      <c r="J69" s="153" t="n">
        <v>1823947.91845443</v>
      </c>
      <c r="K69" s="153" t="n">
        <v>1769229.48090079</v>
      </c>
      <c r="L69" s="67" t="n">
        <f aca="false">H69-I69</f>
        <v>951685.43832716</v>
      </c>
      <c r="M69" s="67" t="n">
        <f aca="false">J69-K69</f>
        <v>54718.43755364</v>
      </c>
      <c r="N69" s="153" t="n">
        <v>3072831.94923509</v>
      </c>
      <c r="O69" s="7"/>
      <c r="P69" s="7"/>
      <c r="Q69" s="67" t="n">
        <f aca="false">I69*5.5017049523</f>
        <v>116685204.021556</v>
      </c>
      <c r="R69" s="67"/>
      <c r="S69" s="67"/>
      <c r="T69" s="7"/>
      <c r="U69" s="7"/>
      <c r="V69" s="67" t="n">
        <f aca="false">K69*5.5017049523</f>
        <v>9733778.59682704</v>
      </c>
      <c r="W69" s="67" t="n">
        <f aca="false">M69*5.5017049523</f>
        <v>301044.698870979</v>
      </c>
      <c r="X69" s="67" t="n">
        <f aca="false">N69*5.1890047538+L69*5.5017049523</f>
        <v>21180832.0812857</v>
      </c>
      <c r="Y69" s="67" t="n">
        <f aca="false">N69*5.1890047538</f>
        <v>15944939.5922094</v>
      </c>
      <c r="Z69" s="67" t="n">
        <f aca="false">L69*5.5017049523</f>
        <v>5235892.48907633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65"/>
      <c r="B70" s="5"/>
      <c r="C70" s="65" t="n">
        <f aca="false">C66+1</f>
        <v>2029</v>
      </c>
      <c r="D70" s="65" t="n">
        <f aca="false">D66</f>
        <v>1</v>
      </c>
      <c r="E70" s="65" t="n">
        <v>217</v>
      </c>
      <c r="F70" s="151" t="n">
        <v>24154756.6678173</v>
      </c>
      <c r="G70" s="151" t="n">
        <v>23140376.2589907</v>
      </c>
      <c r="H70" s="8" t="n">
        <f aca="false">F70-J70</f>
        <v>22256029.5933511</v>
      </c>
      <c r="I70" s="8" t="n">
        <f aca="false">G70-K70</f>
        <v>21298610.9967585</v>
      </c>
      <c r="J70" s="151" t="n">
        <v>1898727.07446619</v>
      </c>
      <c r="K70" s="151" t="n">
        <v>1841765.2622322</v>
      </c>
      <c r="L70" s="8" t="n">
        <f aca="false">H70-I70</f>
        <v>957418.596592605</v>
      </c>
      <c r="M70" s="8" t="n">
        <f aca="false">J70-K70</f>
        <v>56961.8122339901</v>
      </c>
      <c r="N70" s="151" t="n">
        <v>3788968.2757338</v>
      </c>
      <c r="O70" s="5"/>
      <c r="P70" s="5"/>
      <c r="Q70" s="8" t="n">
        <f aca="false">I70*5.5017049523</f>
        <v>117178673.597978</v>
      </c>
      <c r="R70" s="8"/>
      <c r="S70" s="8"/>
      <c r="T70" s="5"/>
      <c r="U70" s="5"/>
      <c r="V70" s="8" t="n">
        <f aca="false">K70*5.5017049523</f>
        <v>10132849.064197</v>
      </c>
      <c r="W70" s="8" t="n">
        <f aca="false">M70*5.5017049523</f>
        <v>313387.084459726</v>
      </c>
      <c r="X70" s="8" t="n">
        <f aca="false">N70*5.1890047538+L70*5.5017049523</f>
        <v>24928409.0290777</v>
      </c>
      <c r="Y70" s="8" t="n">
        <f aca="false">N70*5.1890047538</f>
        <v>19660974.3947801</v>
      </c>
      <c r="Z70" s="8" t="n">
        <f aca="false">L70*5.5017049523</f>
        <v>5267434.63429765</v>
      </c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3" t="n">
        <v>24227327.1504402</v>
      </c>
      <c r="G71" s="153" t="n">
        <v>23209393.8308579</v>
      </c>
      <c r="H71" s="67" t="n">
        <f aca="false">F71-J71</f>
        <v>22269773.4364157</v>
      </c>
      <c r="I71" s="67" t="n">
        <f aca="false">G71-K71</f>
        <v>21310566.7282541</v>
      </c>
      <c r="J71" s="153" t="n">
        <v>1957553.71402452</v>
      </c>
      <c r="K71" s="153" t="n">
        <v>1898827.10260378</v>
      </c>
      <c r="L71" s="67" t="n">
        <f aca="false">H71-I71</f>
        <v>959206.708161563</v>
      </c>
      <c r="M71" s="67" t="n">
        <f aca="false">J71-K71</f>
        <v>58726.6114207399</v>
      </c>
      <c r="N71" s="153" t="n">
        <v>3143973.59637996</v>
      </c>
      <c r="O71" s="7"/>
      <c r="P71" s="7"/>
      <c r="Q71" s="67" t="n">
        <f aca="false">I71*5.5017049523</f>
        <v>117244450.505155</v>
      </c>
      <c r="R71" s="67"/>
      <c r="S71" s="67"/>
      <c r="T71" s="7"/>
      <c r="U71" s="7"/>
      <c r="V71" s="67" t="n">
        <f aca="false">K71*5.5017049523</f>
        <v>10446786.4739567</v>
      </c>
      <c r="W71" s="67" t="n">
        <f aca="false">M71*5.5017049523</f>
        <v>323096.488885282</v>
      </c>
      <c r="X71" s="67" t="n">
        <f aca="false">N71*5.1890047538+L71*5.5017049523</f>
        <v>21591366.2340091</v>
      </c>
      <c r="Y71" s="67" t="n">
        <f aca="false">N71*5.1890047538</f>
        <v>16314093.9374373</v>
      </c>
      <c r="Z71" s="67" t="n">
        <f aca="false">L71*5.5017049523</f>
        <v>5277272.29657185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3" t="n">
        <v>24243747.6882584</v>
      </c>
      <c r="G72" s="153" t="n">
        <v>23224609.2641335</v>
      </c>
      <c r="H72" s="67" t="n">
        <f aca="false">F72-J72</f>
        <v>22252735.8573619</v>
      </c>
      <c r="I72" s="67" t="n">
        <f aca="false">G72-K72</f>
        <v>21293327.7881639</v>
      </c>
      <c r="J72" s="153" t="n">
        <v>1991011.83089649</v>
      </c>
      <c r="K72" s="153" t="n">
        <v>1931281.47596959</v>
      </c>
      <c r="L72" s="67" t="n">
        <f aca="false">H72-I72</f>
        <v>959408.069197997</v>
      </c>
      <c r="M72" s="67" t="n">
        <f aca="false">J72-K72</f>
        <v>59730.3549269</v>
      </c>
      <c r="N72" s="153" t="n">
        <v>3107709.37337339</v>
      </c>
      <c r="O72" s="7"/>
      <c r="P72" s="7"/>
      <c r="Q72" s="67" t="n">
        <f aca="false">I72*5.5017049523</f>
        <v>117149606.943089</v>
      </c>
      <c r="R72" s="67"/>
      <c r="S72" s="67"/>
      <c r="T72" s="7"/>
      <c r="U72" s="7"/>
      <c r="V72" s="67" t="n">
        <f aca="false">K72*5.5017049523</f>
        <v>10625340.8606271</v>
      </c>
      <c r="W72" s="67" t="n">
        <f aca="false">M72*5.5017049523</f>
        <v>328618.789503962</v>
      </c>
      <c r="X72" s="67" t="n">
        <f aca="false">N72*5.1890047538+L72*5.5017049523</f>
        <v>21404298.8374465</v>
      </c>
      <c r="Y72" s="67" t="n">
        <f aca="false">N72*5.1890047538</f>
        <v>16125918.7118633</v>
      </c>
      <c r="Z72" s="67" t="n">
        <f aca="false">L72*5.5017049523</f>
        <v>5278380.1255832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3" t="n">
        <v>24294267.5414393</v>
      </c>
      <c r="G73" s="153" t="n">
        <v>23273137.1632176</v>
      </c>
      <c r="H73" s="67" t="n">
        <f aca="false">F73-J73</f>
        <v>22236562.7691233</v>
      </c>
      <c r="I73" s="67" t="n">
        <f aca="false">G73-K73</f>
        <v>21277163.5340711</v>
      </c>
      <c r="J73" s="153" t="n">
        <v>2057704.77231596</v>
      </c>
      <c r="K73" s="153" t="n">
        <v>1995973.62914648</v>
      </c>
      <c r="L73" s="67" t="n">
        <f aca="false">H73-I73</f>
        <v>959399.235052217</v>
      </c>
      <c r="M73" s="67" t="n">
        <f aca="false">J73-K73</f>
        <v>61731.1431694799</v>
      </c>
      <c r="N73" s="153" t="n">
        <v>3083810.72073396</v>
      </c>
      <c r="O73" s="7"/>
      <c r="P73" s="7"/>
      <c r="Q73" s="67" t="n">
        <f aca="false">I73*5.5017049523</f>
        <v>117060675.986296</v>
      </c>
      <c r="R73" s="67"/>
      <c r="S73" s="67"/>
      <c r="T73" s="7"/>
      <c r="U73" s="7"/>
      <c r="V73" s="67" t="n">
        <f aca="false">K73*5.5017049523</f>
        <v>10981258.0001354</v>
      </c>
      <c r="W73" s="67" t="n">
        <f aca="false">M73*5.5017049523</f>
        <v>339626.536086668</v>
      </c>
      <c r="X73" s="67" t="n">
        <f aca="false">N73*5.1890047538+L73*5.5017049523</f>
        <v>21280240.0124275</v>
      </c>
      <c r="Y73" s="67" t="n">
        <f aca="false">N73*5.1890047538</f>
        <v>16001908.4897079</v>
      </c>
      <c r="Z73" s="67" t="n">
        <f aca="false">L73*5.5017049523</f>
        <v>5278331.52271961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65"/>
      <c r="B74" s="5"/>
      <c r="C74" s="65" t="n">
        <f aca="false">C70+1</f>
        <v>2030</v>
      </c>
      <c r="D74" s="65" t="n">
        <f aca="false">D70</f>
        <v>1</v>
      </c>
      <c r="E74" s="65" t="n">
        <v>221</v>
      </c>
      <c r="F74" s="151" t="n">
        <v>24333972.2640571</v>
      </c>
      <c r="G74" s="151" t="n">
        <v>23311411.5941985</v>
      </c>
      <c r="H74" s="8" t="n">
        <f aca="false">F74-J74</f>
        <v>22213996.5346784</v>
      </c>
      <c r="I74" s="8" t="n">
        <f aca="false">G74-K74</f>
        <v>21255035.1367011</v>
      </c>
      <c r="J74" s="151" t="n">
        <v>2119975.72937875</v>
      </c>
      <c r="K74" s="151" t="n">
        <v>2056376.45749738</v>
      </c>
      <c r="L74" s="8" t="n">
        <f aca="false">H74-I74</f>
        <v>958961.397977233</v>
      </c>
      <c r="M74" s="8" t="n">
        <f aca="false">J74-K74</f>
        <v>63599.2718813701</v>
      </c>
      <c r="N74" s="151" t="n">
        <v>3758589.9479805</v>
      </c>
      <c r="O74" s="5"/>
      <c r="P74" s="5"/>
      <c r="Q74" s="8" t="n">
        <f aca="false">I74*5.5017049523</f>
        <v>116938932.072899</v>
      </c>
      <c r="R74" s="8"/>
      <c r="S74" s="8"/>
      <c r="T74" s="5"/>
      <c r="U74" s="5"/>
      <c r="V74" s="8" t="n">
        <f aca="false">K74*5.5017049523</f>
        <v>11313576.5400065</v>
      </c>
      <c r="W74" s="8" t="n">
        <f aca="false">M74*5.5017049523</f>
        <v>349904.429072408</v>
      </c>
      <c r="X74" s="8" t="n">
        <f aca="false">N74*5.1890047538+L74*5.5017049523</f>
        <v>24779263.7799716</v>
      </c>
      <c r="Y74" s="8" t="n">
        <f aca="false">N74*5.1890047538</f>
        <v>19503341.1076557</v>
      </c>
      <c r="Z74" s="8" t="n">
        <f aca="false">L74*5.5017049523</f>
        <v>5275922.67231587</v>
      </c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3" t="n">
        <v>24511861.0200214</v>
      </c>
      <c r="G75" s="153" t="n">
        <v>23479636.209413</v>
      </c>
      <c r="H75" s="67" t="n">
        <f aca="false">F75-J75</f>
        <v>22353290.4101853</v>
      </c>
      <c r="I75" s="67" t="n">
        <f aca="false">G75-K75</f>
        <v>21385822.717872</v>
      </c>
      <c r="J75" s="153" t="n">
        <v>2158570.60983611</v>
      </c>
      <c r="K75" s="153" t="n">
        <v>2093813.49154102</v>
      </c>
      <c r="L75" s="67" t="n">
        <f aca="false">H75-I75</f>
        <v>967467.692313313</v>
      </c>
      <c r="M75" s="67" t="n">
        <f aca="false">J75-K75</f>
        <v>64757.1182950898</v>
      </c>
      <c r="N75" s="153" t="n">
        <v>3082323.63024204</v>
      </c>
      <c r="O75" s="7"/>
      <c r="P75" s="7"/>
      <c r="Q75" s="67" t="n">
        <f aca="false">I75*5.5017049523</f>
        <v>117658486.755926</v>
      </c>
      <c r="R75" s="67"/>
      <c r="S75" s="67"/>
      <c r="T75" s="7"/>
      <c r="U75" s="7"/>
      <c r="V75" s="67" t="n">
        <f aca="false">K75*5.5017049523</f>
        <v>11519544.0556038</v>
      </c>
      <c r="W75" s="67" t="n">
        <f aca="false">M75*5.5017049523</f>
        <v>356274.558420773</v>
      </c>
      <c r="X75" s="67" t="n">
        <f aca="false">N75*5.1890047538+L75*5.5017049523</f>
        <v>21316913.7640664</v>
      </c>
      <c r="Y75" s="67" t="n">
        <f aca="false">N75*5.1890047538</f>
        <v>15994191.970076</v>
      </c>
      <c r="Z75" s="67" t="n">
        <f aca="false">L75*5.5017049523</f>
        <v>5322721.79399041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3" t="n">
        <v>24610124.6303121</v>
      </c>
      <c r="G76" s="153" t="n">
        <v>23572199.1269268</v>
      </c>
      <c r="H76" s="67" t="n">
        <f aca="false">F76-J76</f>
        <v>22416519.3647908</v>
      </c>
      <c r="I76" s="67" t="n">
        <f aca="false">G76-K76</f>
        <v>21444402.0193711</v>
      </c>
      <c r="J76" s="153" t="n">
        <v>2193605.26552133</v>
      </c>
      <c r="K76" s="153" t="n">
        <v>2127797.10755569</v>
      </c>
      <c r="L76" s="67" t="n">
        <f aca="false">H76-I76</f>
        <v>972117.345419664</v>
      </c>
      <c r="M76" s="67" t="n">
        <f aca="false">J76-K76</f>
        <v>65808.1579656396</v>
      </c>
      <c r="N76" s="153" t="n">
        <v>3086148.8148336</v>
      </c>
      <c r="O76" s="7"/>
      <c r="P76" s="7"/>
      <c r="Q76" s="67" t="n">
        <f aca="false">I76*5.5017049523</f>
        <v>117980772.789086</v>
      </c>
      <c r="R76" s="67"/>
      <c r="S76" s="67"/>
      <c r="T76" s="7"/>
      <c r="U76" s="7"/>
      <c r="V76" s="67" t="n">
        <f aca="false">K76*5.5017049523</f>
        <v>11706511.8841288</v>
      </c>
      <c r="W76" s="67" t="n">
        <f aca="false">M76*5.5017049523</f>
        <v>362057.0685813</v>
      </c>
      <c r="X76" s="67" t="n">
        <f aca="false">N76*5.1890047538+L76*5.5017049523</f>
        <v>21362343.6846179</v>
      </c>
      <c r="Y76" s="67" t="n">
        <f aca="false">N76*5.1890047538</f>
        <v>16014040.8711058</v>
      </c>
      <c r="Z76" s="67" t="n">
        <f aca="false">L76*5.5017049523</f>
        <v>5348302.81351209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3" t="n">
        <v>24720232.9380641</v>
      </c>
      <c r="G77" s="153" t="n">
        <v>23675654.3582455</v>
      </c>
      <c r="H77" s="67" t="n">
        <f aca="false">F77-J77</f>
        <v>22490042.1683054</v>
      </c>
      <c r="I77" s="67" t="n">
        <f aca="false">G77-K77</f>
        <v>21512369.3115795</v>
      </c>
      <c r="J77" s="153" t="n">
        <v>2230190.76975871</v>
      </c>
      <c r="K77" s="153" t="n">
        <v>2163285.04666595</v>
      </c>
      <c r="L77" s="67" t="n">
        <f aca="false">H77-I77</f>
        <v>977672.856725842</v>
      </c>
      <c r="M77" s="67" t="n">
        <f aca="false">J77-K77</f>
        <v>66905.72309276</v>
      </c>
      <c r="N77" s="153" t="n">
        <v>2975720.50730172</v>
      </c>
      <c r="O77" s="7"/>
      <c r="P77" s="7"/>
      <c r="Q77" s="67" t="n">
        <f aca="false">I77*5.5017049523</f>
        <v>118354708.777224</v>
      </c>
      <c r="R77" s="67"/>
      <c r="S77" s="67"/>
      <c r="T77" s="7"/>
      <c r="U77" s="7"/>
      <c r="V77" s="67" t="n">
        <f aca="false">K77*5.5017049523</f>
        <v>11901756.0544786</v>
      </c>
      <c r="W77" s="67" t="n">
        <f aca="false">M77*5.5017049523</f>
        <v>368095.54807665</v>
      </c>
      <c r="X77" s="67" t="n">
        <f aca="false">N77*5.1890047538+L77*5.5017049523</f>
        <v>20819895.4559466</v>
      </c>
      <c r="Y77" s="67" t="n">
        <f aca="false">N77*5.1890047538</f>
        <v>15441027.8583688</v>
      </c>
      <c r="Z77" s="67" t="n">
        <f aca="false">L77*5.5017049523</f>
        <v>5378867.59757785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65"/>
      <c r="B78" s="5"/>
      <c r="C78" s="65" t="n">
        <f aca="false">C74+1</f>
        <v>2031</v>
      </c>
      <c r="D78" s="65" t="n">
        <f aca="false">D74</f>
        <v>1</v>
      </c>
      <c r="E78" s="65" t="n">
        <v>225</v>
      </c>
      <c r="F78" s="151" t="n">
        <v>24898971.3387969</v>
      </c>
      <c r="G78" s="151" t="n">
        <v>23846618.0476941</v>
      </c>
      <c r="H78" s="8" t="n">
        <f aca="false">F78-J78</f>
        <v>22597890.1806927</v>
      </c>
      <c r="I78" s="8" t="n">
        <f aca="false">G78-K78</f>
        <v>21614569.324333</v>
      </c>
      <c r="J78" s="151" t="n">
        <v>2301081.15810418</v>
      </c>
      <c r="K78" s="151" t="n">
        <v>2232048.72336105</v>
      </c>
      <c r="L78" s="8" t="n">
        <f aca="false">H78-I78</f>
        <v>983320.856359668</v>
      </c>
      <c r="M78" s="8" t="n">
        <f aca="false">J78-K78</f>
        <v>69032.4347431301</v>
      </c>
      <c r="N78" s="151" t="n">
        <v>3538757.88349169</v>
      </c>
      <c r="O78" s="5"/>
      <c r="P78" s="5"/>
      <c r="Q78" s="8" t="n">
        <f aca="false">I78*5.5017049523</f>
        <v>118916983.093515</v>
      </c>
      <c r="R78" s="8"/>
      <c r="S78" s="8"/>
      <c r="T78" s="5"/>
      <c r="U78" s="5"/>
      <c r="V78" s="8" t="n">
        <f aca="false">K78*5.5017049523</f>
        <v>12280073.5150904</v>
      </c>
      <c r="W78" s="8" t="n">
        <f aca="false">M78*5.5017049523</f>
        <v>379796.088095606</v>
      </c>
      <c r="X78" s="8" t="n">
        <f aca="false">N78*5.1890047538+L78*5.5017049523</f>
        <v>23772572.7051195</v>
      </c>
      <c r="Y78" s="8" t="n">
        <f aca="false">N78*5.1890047538</f>
        <v>18362631.4799856</v>
      </c>
      <c r="Z78" s="8" t="n">
        <f aca="false">L78*5.5017049523</f>
        <v>5409941.22513386</v>
      </c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3" t="n">
        <v>24943356.5013052</v>
      </c>
      <c r="G79" s="153" t="n">
        <v>23889031.1276667</v>
      </c>
      <c r="H79" s="67" t="n">
        <f aca="false">F79-J79</f>
        <v>22598928.0138623</v>
      </c>
      <c r="I79" s="67" t="n">
        <f aca="false">G79-K79</f>
        <v>21614935.4948471</v>
      </c>
      <c r="J79" s="153" t="n">
        <v>2344428.48744293</v>
      </c>
      <c r="K79" s="153" t="n">
        <v>2274095.63281964</v>
      </c>
      <c r="L79" s="67" t="n">
        <f aca="false">H79-I79</f>
        <v>983992.519015212</v>
      </c>
      <c r="M79" s="67" t="n">
        <f aca="false">J79-K79</f>
        <v>70332.8546232902</v>
      </c>
      <c r="N79" s="153" t="n">
        <v>2941452.95580474</v>
      </c>
      <c r="O79" s="7"/>
      <c r="P79" s="7"/>
      <c r="Q79" s="67" t="n">
        <f aca="false">I79*5.5017049523</f>
        <v>118918997.655645</v>
      </c>
      <c r="R79" s="67"/>
      <c r="S79" s="67"/>
      <c r="T79" s="7"/>
      <c r="U79" s="7"/>
      <c r="V79" s="67" t="n">
        <f aca="false">K79*5.5017049523</f>
        <v>12511403.2050876</v>
      </c>
      <c r="W79" s="67" t="n">
        <f aca="false">M79*5.5017049523</f>
        <v>386950.614590352</v>
      </c>
      <c r="X79" s="67" t="n">
        <f aca="false">N79*5.1890047538+L79*5.5017049523</f>
        <v>20676849.885642</v>
      </c>
      <c r="Y79" s="67" t="n">
        <f aca="false">N79*5.1890047538</f>
        <v>15263213.3707499</v>
      </c>
      <c r="Z79" s="67" t="n">
        <f aca="false">L79*5.5017049523</f>
        <v>5413636.51489214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3" t="n">
        <v>25033535.8495828</v>
      </c>
      <c r="G80" s="153" t="n">
        <v>23974481.2151256</v>
      </c>
      <c r="H80" s="67" t="n">
        <f aca="false">F80-J80</f>
        <v>22621313.352286</v>
      </c>
      <c r="I80" s="67" t="n">
        <f aca="false">G80-K80</f>
        <v>21634625.3927477</v>
      </c>
      <c r="J80" s="153" t="n">
        <v>2412222.49729675</v>
      </c>
      <c r="K80" s="153" t="n">
        <v>2339855.82237785</v>
      </c>
      <c r="L80" s="67" t="n">
        <f aca="false">H80-I80</f>
        <v>986687.959538296</v>
      </c>
      <c r="M80" s="67" t="n">
        <f aca="false">J80-K80</f>
        <v>72366.6749189002</v>
      </c>
      <c r="N80" s="153" t="n">
        <v>2941167.40510971</v>
      </c>
      <c r="O80" s="7"/>
      <c r="P80" s="7"/>
      <c r="Q80" s="67" t="n">
        <f aca="false">I80*5.5017049523</f>
        <v>119027325.664436</v>
      </c>
      <c r="R80" s="67"/>
      <c r="S80" s="67"/>
      <c r="T80" s="7"/>
      <c r="U80" s="7"/>
      <c r="V80" s="67" t="n">
        <f aca="false">K80*5.5017049523</f>
        <v>12873196.3656442</v>
      </c>
      <c r="W80" s="67" t="n">
        <f aca="false">M80*5.5017049523</f>
        <v>398140.093782798</v>
      </c>
      <c r="X80" s="67" t="n">
        <f aca="false">N80*5.1890047538+L80*5.5017049523</f>
        <v>20690197.6802025</v>
      </c>
      <c r="Y80" s="67" t="n">
        <f aca="false">N80*5.1890047538</f>
        <v>15261731.6468359</v>
      </c>
      <c r="Z80" s="67" t="n">
        <f aca="false">L80*5.5017049523</f>
        <v>5428466.03336662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3" t="n">
        <v>25109083.8935687</v>
      </c>
      <c r="G81" s="153" t="n">
        <v>24047148.8760885</v>
      </c>
      <c r="H81" s="67" t="n">
        <f aca="false">F81-J81</f>
        <v>22663411.9053178</v>
      </c>
      <c r="I81" s="67" t="n">
        <f aca="false">G81-K81</f>
        <v>21674847.0474851</v>
      </c>
      <c r="J81" s="153" t="n">
        <v>2445671.98825092</v>
      </c>
      <c r="K81" s="153" t="n">
        <v>2372301.82860339</v>
      </c>
      <c r="L81" s="67" t="n">
        <f aca="false">H81-I81</f>
        <v>988564.85783267</v>
      </c>
      <c r="M81" s="67" t="n">
        <f aca="false">J81-K81</f>
        <v>73370.15964753</v>
      </c>
      <c r="N81" s="153" t="n">
        <v>2912609.10410272</v>
      </c>
      <c r="O81" s="7"/>
      <c r="P81" s="7"/>
      <c r="Q81" s="67" t="n">
        <f aca="false">I81*5.5017049523</f>
        <v>119248613.341494</v>
      </c>
      <c r="R81" s="67"/>
      <c r="S81" s="67"/>
      <c r="T81" s="7"/>
      <c r="U81" s="7"/>
      <c r="V81" s="67" t="n">
        <f aca="false">K81*5.5017049523</f>
        <v>13051704.7187776</v>
      </c>
      <c r="W81" s="67" t="n">
        <f aca="false">M81*5.5017049523</f>
        <v>403660.970683857</v>
      </c>
      <c r="X81" s="67" t="n">
        <f aca="false">N81*5.1890047538+L81*5.5017049523</f>
        <v>20552334.6611579</v>
      </c>
      <c r="Y81" s="67" t="n">
        <f aca="false">N81*5.1890047538</f>
        <v>15113542.4871502</v>
      </c>
      <c r="Z81" s="67" t="n">
        <f aca="false">L81*5.5017049523</f>
        <v>5438792.17400775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65"/>
      <c r="B82" s="5"/>
      <c r="C82" s="65" t="n">
        <f aca="false">C78+1</f>
        <v>2032</v>
      </c>
      <c r="D82" s="65" t="n">
        <f aca="false">D78</f>
        <v>1</v>
      </c>
      <c r="E82" s="65" t="n">
        <v>229</v>
      </c>
      <c r="F82" s="151" t="n">
        <v>25168595.1586924</v>
      </c>
      <c r="G82" s="151" t="n">
        <v>24103567.1089176</v>
      </c>
      <c r="H82" s="8" t="n">
        <f aca="false">F82-J82</f>
        <v>22649598.7621519</v>
      </c>
      <c r="I82" s="8" t="n">
        <f aca="false">G82-K82</f>
        <v>21660140.6042734</v>
      </c>
      <c r="J82" s="151" t="n">
        <v>2518996.39654046</v>
      </c>
      <c r="K82" s="151" t="n">
        <v>2443426.50464425</v>
      </c>
      <c r="L82" s="8" t="n">
        <f aca="false">H82-I82</f>
        <v>989458.157878589</v>
      </c>
      <c r="M82" s="8" t="n">
        <f aca="false">J82-K82</f>
        <v>75569.8918962101</v>
      </c>
      <c r="N82" s="151" t="n">
        <v>3520186.64553538</v>
      </c>
      <c r="O82" s="5"/>
      <c r="P82" s="5"/>
      <c r="Q82" s="8" t="n">
        <f aca="false">I82*5.5017049523</f>
        <v>119167702.830045</v>
      </c>
      <c r="R82" s="8"/>
      <c r="S82" s="8"/>
      <c r="T82" s="5"/>
      <c r="U82" s="5"/>
      <c r="V82" s="8" t="n">
        <f aca="false">K82*5.5017049523</f>
        <v>13443011.7011823</v>
      </c>
      <c r="W82" s="8" t="n">
        <f aca="false">M82*5.5017049523</f>
        <v>415763.248490155</v>
      </c>
      <c r="X82" s="8" t="n">
        <f aca="false">N82*5.1890047538+L82*5.5017049523</f>
        <v>23709972.0852406</v>
      </c>
      <c r="Y82" s="8" t="n">
        <f aca="false">N82*5.1890047538</f>
        <v>18266265.2379464</v>
      </c>
      <c r="Z82" s="8" t="n">
        <f aca="false">L82*5.5017049523</f>
        <v>5443706.84729427</v>
      </c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3" t="n">
        <v>25200642.6391548</v>
      </c>
      <c r="G83" s="153" t="n">
        <v>24134273.613153</v>
      </c>
      <c r="H83" s="67" t="n">
        <f aca="false">F83-J83</f>
        <v>22642525.2683899</v>
      </c>
      <c r="I83" s="67" t="n">
        <f aca="false">G83-K83</f>
        <v>21652899.763511</v>
      </c>
      <c r="J83" s="153" t="n">
        <v>2558117.37076495</v>
      </c>
      <c r="K83" s="153" t="n">
        <v>2481373.849642</v>
      </c>
      <c r="L83" s="67" t="n">
        <f aca="false">H83-I83</f>
        <v>989625.504878853</v>
      </c>
      <c r="M83" s="67" t="n">
        <f aca="false">J83-K83</f>
        <v>76743.5211229497</v>
      </c>
      <c r="N83" s="153" t="n">
        <v>2936006.4615748</v>
      </c>
      <c r="O83" s="7"/>
      <c r="P83" s="7"/>
      <c r="Q83" s="67" t="n">
        <f aca="false">I83*5.5017049523</f>
        <v>119127865.860564</v>
      </c>
      <c r="R83" s="67"/>
      <c r="S83" s="67"/>
      <c r="T83" s="7"/>
      <c r="U83" s="7"/>
      <c r="V83" s="67" t="n">
        <f aca="false">K83*5.5017049523</f>
        <v>13651786.7970831</v>
      </c>
      <c r="W83" s="67" t="n">
        <f aca="false">M83*5.5017049523</f>
        <v>422220.210219072</v>
      </c>
      <c r="X83" s="67" t="n">
        <f aca="false">N83*5.1890047538+L83*5.5017049523</f>
        <v>20679579.0274135</v>
      </c>
      <c r="Y83" s="67" t="n">
        <f aca="false">N83*5.1890047538</f>
        <v>15234951.4862992</v>
      </c>
      <c r="Z83" s="67" t="n">
        <f aca="false">L83*5.5017049523</f>
        <v>5444627.54111437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3" t="n">
        <v>25377650.3833209</v>
      </c>
      <c r="G84" s="153" t="n">
        <v>24303112.8928716</v>
      </c>
      <c r="H84" s="67" t="n">
        <f aca="false">F84-J84</f>
        <v>22733366.8075024</v>
      </c>
      <c r="I84" s="67" t="n">
        <f aca="false">G84-K84</f>
        <v>21738157.8243277</v>
      </c>
      <c r="J84" s="153" t="n">
        <v>2644283.57581845</v>
      </c>
      <c r="K84" s="153" t="n">
        <v>2564955.06854389</v>
      </c>
      <c r="L84" s="67" t="n">
        <f aca="false">H84-I84</f>
        <v>995208.983174741</v>
      </c>
      <c r="M84" s="67" t="n">
        <f aca="false">J84-K84</f>
        <v>79328.5072745602</v>
      </c>
      <c r="N84" s="153" t="n">
        <v>2906156.53967782</v>
      </c>
      <c r="O84" s="7"/>
      <c r="P84" s="7"/>
      <c r="Q84" s="67" t="n">
        <f aca="false">I84*5.5017049523</f>
        <v>119596930.555983</v>
      </c>
      <c r="R84" s="67"/>
      <c r="S84" s="67"/>
      <c r="T84" s="7"/>
      <c r="U84" s="7"/>
      <c r="V84" s="67" t="n">
        <f aca="false">K84*5.5017049523</f>
        <v>14111626.0030349</v>
      </c>
      <c r="W84" s="67" t="n">
        <f aca="false">M84*5.5017049523</f>
        <v>436442.041331014</v>
      </c>
      <c r="X84" s="67" t="n">
        <f aca="false">N84*5.1890047538+L84*5.5017049523</f>
        <v>20555406.2909811</v>
      </c>
      <c r="Y84" s="67" t="n">
        <f aca="false">N84*5.1890047538</f>
        <v>15080060.0996752</v>
      </c>
      <c r="Z84" s="67" t="n">
        <f aca="false">L84*5.5017049523</f>
        <v>5475346.19130592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3" t="n">
        <v>25491265.4725178</v>
      </c>
      <c r="G85" s="153" t="n">
        <v>24410778.2259337</v>
      </c>
      <c r="H85" s="67" t="n">
        <f aca="false">F85-J85</f>
        <v>22808267.506207</v>
      </c>
      <c r="I85" s="67" t="n">
        <f aca="false">G85-K85</f>
        <v>21808270.1986122</v>
      </c>
      <c r="J85" s="153" t="n">
        <v>2682997.96631082</v>
      </c>
      <c r="K85" s="153" t="n">
        <v>2602508.02732149</v>
      </c>
      <c r="L85" s="67" t="n">
        <f aca="false">H85-I85</f>
        <v>999997.307594769</v>
      </c>
      <c r="M85" s="67" t="n">
        <f aca="false">J85-K85</f>
        <v>80489.9389893301</v>
      </c>
      <c r="N85" s="153" t="n">
        <v>2956669.42493456</v>
      </c>
      <c r="O85" s="7"/>
      <c r="P85" s="7"/>
      <c r="Q85" s="67" t="n">
        <f aca="false">I85*5.5017049523</f>
        <v>119982668.152801</v>
      </c>
      <c r="R85" s="67"/>
      <c r="S85" s="67"/>
      <c r="T85" s="7"/>
      <c r="U85" s="7"/>
      <c r="V85" s="67" t="n">
        <f aca="false">K85*5.5017049523</f>
        <v>14318231.3023151</v>
      </c>
      <c r="W85" s="67" t="n">
        <f aca="false">M85*5.5017049523</f>
        <v>442831.895947922</v>
      </c>
      <c r="X85" s="67" t="n">
        <f aca="false">N85*5.1890047538+L85*5.5017049523</f>
        <v>20843861.8408813</v>
      </c>
      <c r="Y85" s="67" t="n">
        <f aca="false">N85*5.1890047538</f>
        <v>15342171.7014005</v>
      </c>
      <c r="Z85" s="67" t="n">
        <f aca="false">L85*5.5017049523</f>
        <v>5501690.1394808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65"/>
      <c r="B86" s="5"/>
      <c r="C86" s="65" t="n">
        <f aca="false">C82+1</f>
        <v>2033</v>
      </c>
      <c r="D86" s="65" t="n">
        <f aca="false">D82</f>
        <v>1</v>
      </c>
      <c r="E86" s="65" t="n">
        <v>233</v>
      </c>
      <c r="F86" s="151" t="n">
        <v>25583359.4201202</v>
      </c>
      <c r="G86" s="151" t="n">
        <v>24498179.3078717</v>
      </c>
      <c r="H86" s="8" t="n">
        <f aca="false">F86-J86</f>
        <v>22818686.0731824</v>
      </c>
      <c r="I86" s="8" t="n">
        <f aca="false">G86-K86</f>
        <v>21816446.161342</v>
      </c>
      <c r="J86" s="151" t="n">
        <v>2764673.34693784</v>
      </c>
      <c r="K86" s="151" t="n">
        <v>2681733.1465297</v>
      </c>
      <c r="L86" s="8" t="n">
        <f aca="false">H86-I86</f>
        <v>1002239.91184036</v>
      </c>
      <c r="M86" s="8" t="n">
        <f aca="false">J86-K86</f>
        <v>82940.2004081397</v>
      </c>
      <c r="N86" s="151" t="n">
        <v>3538250.23016359</v>
      </c>
      <c r="O86" s="5"/>
      <c r="P86" s="5"/>
      <c r="Q86" s="8" t="n">
        <f aca="false">I86*5.5017049523</f>
        <v>120027649.887442</v>
      </c>
      <c r="R86" s="8"/>
      <c r="S86" s="8"/>
      <c r="T86" s="5"/>
      <c r="U86" s="5"/>
      <c r="V86" s="8" t="n">
        <f aca="false">K86*5.5017049523</f>
        <v>14754104.5330095</v>
      </c>
      <c r="W86" s="8" t="n">
        <f aca="false">M86*5.5017049523</f>
        <v>456312.511330217</v>
      </c>
      <c r="X86" s="8" t="n">
        <f aca="false">N86*5.1890047538+L86*5.5017049523</f>
        <v>23874025.5508176</v>
      </c>
      <c r="Y86" s="8" t="n">
        <f aca="false">N86*5.1890047538</f>
        <v>18359997.2644528</v>
      </c>
      <c r="Z86" s="8" t="n">
        <f aca="false">L86*5.5017049523</f>
        <v>5514028.28636483</v>
      </c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3" t="n">
        <v>25536519.9901002</v>
      </c>
      <c r="G87" s="153" t="n">
        <v>24453762.3149524</v>
      </c>
      <c r="H87" s="67" t="n">
        <f aca="false">F87-J87</f>
        <v>22719721.2062169</v>
      </c>
      <c r="I87" s="67" t="n">
        <f aca="false">G87-K87</f>
        <v>21721467.4945856</v>
      </c>
      <c r="J87" s="153" t="n">
        <v>2816798.78388328</v>
      </c>
      <c r="K87" s="153" t="n">
        <v>2732294.82036678</v>
      </c>
      <c r="L87" s="67" t="n">
        <f aca="false">H87-I87</f>
        <v>998253.711631302</v>
      </c>
      <c r="M87" s="67" t="n">
        <f aca="false">J87-K87</f>
        <v>84503.9635165003</v>
      </c>
      <c r="N87" s="153" t="n">
        <v>2901373.91324332</v>
      </c>
      <c r="O87" s="7"/>
      <c r="P87" s="7"/>
      <c r="Q87" s="67" t="n">
        <f aca="false">I87*5.5017049523</f>
        <v>119505105.286185</v>
      </c>
      <c r="R87" s="67"/>
      <c r="S87" s="67"/>
      <c r="T87" s="7"/>
      <c r="U87" s="7"/>
      <c r="V87" s="67" t="n">
        <f aca="false">K87*5.5017049523</f>
        <v>15032279.9443556</v>
      </c>
      <c r="W87" s="67" t="n">
        <f aca="false">M87*5.5017049523</f>
        <v>464915.874567708</v>
      </c>
      <c r="X87" s="67" t="n">
        <f aca="false">N87*5.1890047538+L87*5.5017049523</f>
        <v>20547340.4173047</v>
      </c>
      <c r="Y87" s="67" t="n">
        <f aca="false">N87*5.1890047538</f>
        <v>15055243.0283709</v>
      </c>
      <c r="Z87" s="67" t="n">
        <f aca="false">L87*5.5017049523</f>
        <v>5492097.38893379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3" t="n">
        <v>25559114.3851985</v>
      </c>
      <c r="G88" s="153" t="n">
        <v>24476653.4667718</v>
      </c>
      <c r="H88" s="67" t="n">
        <f aca="false">F88-J88</f>
        <v>22681511.5162766</v>
      </c>
      <c r="I88" s="67" t="n">
        <f aca="false">G88-K88</f>
        <v>21685378.6839175</v>
      </c>
      <c r="J88" s="153" t="n">
        <v>2877602.86892192</v>
      </c>
      <c r="K88" s="153" t="n">
        <v>2791274.78285427</v>
      </c>
      <c r="L88" s="67" t="n">
        <f aca="false">H88-I88</f>
        <v>996132.83235905</v>
      </c>
      <c r="M88" s="67" t="n">
        <f aca="false">J88-K88</f>
        <v>86328.08606765</v>
      </c>
      <c r="N88" s="153" t="n">
        <v>2921437.10487999</v>
      </c>
      <c r="O88" s="7"/>
      <c r="P88" s="7"/>
      <c r="Q88" s="67" t="n">
        <f aca="false">I88*5.5017049523</f>
        <v>119306555.29781</v>
      </c>
      <c r="R88" s="67"/>
      <c r="S88" s="67"/>
      <c r="T88" s="7"/>
      <c r="U88" s="7"/>
      <c r="V88" s="67" t="n">
        <f aca="false">K88*5.5017049523</f>
        <v>15356770.2960594</v>
      </c>
      <c r="W88" s="67" t="n">
        <f aca="false">M88*5.5017049523</f>
        <v>474951.658640971</v>
      </c>
      <c r="X88" s="67" t="n">
        <f aca="false">N88*5.1890047538+L88*5.5017049523</f>
        <v>20639779.9620884</v>
      </c>
      <c r="Y88" s="67" t="n">
        <f aca="false">N88*5.1890047538</f>
        <v>15159351.02515</v>
      </c>
      <c r="Z88" s="67" t="n">
        <f aca="false">L88*5.5017049523</f>
        <v>5480428.93693841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3" t="n">
        <v>25633991.5700291</v>
      </c>
      <c r="G89" s="153" t="n">
        <v>24548305.4171378</v>
      </c>
      <c r="H89" s="67" t="n">
        <f aca="false">F89-J89</f>
        <v>22694375.1225523</v>
      </c>
      <c r="I89" s="67" t="n">
        <f aca="false">G89-K89</f>
        <v>21696877.4630853</v>
      </c>
      <c r="J89" s="153" t="n">
        <v>2939616.44747676</v>
      </c>
      <c r="K89" s="153" t="n">
        <v>2851427.95405246</v>
      </c>
      <c r="L89" s="67" t="n">
        <f aca="false">H89-I89</f>
        <v>997497.659466997</v>
      </c>
      <c r="M89" s="67" t="n">
        <f aca="false">J89-K89</f>
        <v>88188.4934243001</v>
      </c>
      <c r="N89" s="153" t="n">
        <v>2872538.06303681</v>
      </c>
      <c r="O89" s="7"/>
      <c r="P89" s="7"/>
      <c r="Q89" s="67" t="n">
        <f aca="false">I89*5.5017049523</f>
        <v>119369818.188103</v>
      </c>
      <c r="R89" s="67"/>
      <c r="S89" s="67"/>
      <c r="T89" s="7"/>
      <c r="U89" s="7"/>
      <c r="V89" s="67" t="n">
        <f aca="false">K89*5.5017049523</f>
        <v>15687715.2959371</v>
      </c>
      <c r="W89" s="67" t="n">
        <f aca="false">M89*5.5017049523</f>
        <v>485187.071008348</v>
      </c>
      <c r="X89" s="67" t="n">
        <f aca="false">N89*5.1890047538+L89*5.5017049523</f>
        <v>20393551.4775667</v>
      </c>
      <c r="Y89" s="67" t="n">
        <f aca="false">N89*5.1890047538</f>
        <v>14905613.6645695</v>
      </c>
      <c r="Z89" s="67" t="n">
        <f aca="false">L89*5.5017049523</f>
        <v>5487937.81299724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65"/>
      <c r="B90" s="5"/>
      <c r="C90" s="65" t="n">
        <f aca="false">C86+1</f>
        <v>2034</v>
      </c>
      <c r="D90" s="65" t="n">
        <f aca="false">D86</f>
        <v>1</v>
      </c>
      <c r="E90" s="65" t="n">
        <v>237</v>
      </c>
      <c r="F90" s="151" t="n">
        <v>25756359.2828993</v>
      </c>
      <c r="G90" s="151" t="n">
        <v>24665825.3611369</v>
      </c>
      <c r="H90" s="8" t="n">
        <f aca="false">F90-J90</f>
        <v>22732429.6892971</v>
      </c>
      <c r="I90" s="8" t="n">
        <f aca="false">G90-K90</f>
        <v>21732613.6553428</v>
      </c>
      <c r="J90" s="151" t="n">
        <v>3023929.59360221</v>
      </c>
      <c r="K90" s="151" t="n">
        <v>2933211.70579414</v>
      </c>
      <c r="L90" s="8" t="n">
        <f aca="false">H90-I90</f>
        <v>999816.033954333</v>
      </c>
      <c r="M90" s="8" t="n">
        <f aca="false">J90-K90</f>
        <v>90717.8878080696</v>
      </c>
      <c r="N90" s="151" t="n">
        <v>3496301.83158231</v>
      </c>
      <c r="O90" s="5"/>
      <c r="P90" s="5"/>
      <c r="Q90" s="8" t="n">
        <f aca="false">I90*5.5017049523</f>
        <v>119566428.174022</v>
      </c>
      <c r="R90" s="8"/>
      <c r="S90" s="8"/>
      <c r="T90" s="5"/>
      <c r="U90" s="5"/>
      <c r="V90" s="8" t="n">
        <f aca="false">K90*5.5017049523</f>
        <v>16137665.367912</v>
      </c>
      <c r="W90" s="8" t="n">
        <f aca="false">M90*5.5017049523</f>
        <v>499103.052615852</v>
      </c>
      <c r="X90" s="8" t="n">
        <f aca="false">N90*5.1890047538+L90*5.5017049523</f>
        <v>23643019.6501958</v>
      </c>
      <c r="Y90" s="8" t="n">
        <f aca="false">N90*5.1890047538</f>
        <v>18142326.8248003</v>
      </c>
      <c r="Z90" s="8" t="n">
        <f aca="false">L90*5.5017049523</f>
        <v>5500692.8253955</v>
      </c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3" t="n">
        <v>25883706.2317653</v>
      </c>
      <c r="G91" s="153" t="n">
        <v>24787889.1471619</v>
      </c>
      <c r="H91" s="67" t="n">
        <f aca="false">F91-J91</f>
        <v>22774135.362783</v>
      </c>
      <c r="I91" s="67" t="n">
        <f aca="false">G91-K91</f>
        <v>21771605.4042491</v>
      </c>
      <c r="J91" s="153" t="n">
        <v>3109570.86898227</v>
      </c>
      <c r="K91" s="153" t="n">
        <v>3016283.7429128</v>
      </c>
      <c r="L91" s="67" t="n">
        <f aca="false">H91-I91</f>
        <v>1002529.95853393</v>
      </c>
      <c r="M91" s="67" t="n">
        <f aca="false">J91-K91</f>
        <v>93287.1260694698</v>
      </c>
      <c r="N91" s="153" t="n">
        <v>2860117.32331823</v>
      </c>
      <c r="O91" s="7"/>
      <c r="P91" s="7"/>
      <c r="Q91" s="67" t="n">
        <f aca="false">I91*5.5017049523</f>
        <v>119780949.272079</v>
      </c>
      <c r="R91" s="67"/>
      <c r="S91" s="67"/>
      <c r="T91" s="7"/>
      <c r="U91" s="7"/>
      <c r="V91" s="67" t="n">
        <f aca="false">K91*5.5017049523</f>
        <v>16594703.2059253</v>
      </c>
      <c r="W91" s="67" t="n">
        <f aca="false">M91*5.5017049523</f>
        <v>513238.243482237</v>
      </c>
      <c r="X91" s="67" t="n">
        <f aca="false">N91*5.1890047538+L91*5.5017049523</f>
        <v>20356786.4248192</v>
      </c>
      <c r="Y91" s="67" t="n">
        <f aca="false">N91*5.1890047538</f>
        <v>14841162.387124</v>
      </c>
      <c r="Z91" s="67" t="n">
        <f aca="false">L91*5.5017049523</f>
        <v>5515624.03769522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3" t="n">
        <v>25947029.3045554</v>
      </c>
      <c r="G92" s="153" t="n">
        <v>24848540.8476505</v>
      </c>
      <c r="H92" s="67" t="n">
        <f aca="false">F92-J92</f>
        <v>22805630.6462468</v>
      </c>
      <c r="I92" s="67" t="n">
        <f aca="false">G92-K92</f>
        <v>21801384.1490912</v>
      </c>
      <c r="J92" s="153" t="n">
        <v>3141398.65830855</v>
      </c>
      <c r="K92" s="153" t="n">
        <v>3047156.69855929</v>
      </c>
      <c r="L92" s="67" t="n">
        <f aca="false">H92-I92</f>
        <v>1004246.49715564</v>
      </c>
      <c r="M92" s="67" t="n">
        <f aca="false">J92-K92</f>
        <v>94241.95974926</v>
      </c>
      <c r="N92" s="153" t="n">
        <v>2923387.1921798</v>
      </c>
      <c r="O92" s="7"/>
      <c r="P92" s="7"/>
      <c r="Q92" s="67" t="n">
        <f aca="false">I92*5.5017049523</f>
        <v>119944783.14005</v>
      </c>
      <c r="R92" s="67"/>
      <c r="S92" s="67"/>
      <c r="T92" s="7"/>
      <c r="U92" s="7"/>
      <c r="V92" s="67" t="n">
        <f aca="false">K92*5.5017049523</f>
        <v>16764557.0988978</v>
      </c>
      <c r="W92" s="67" t="n">
        <f aca="false">M92*5.5017049523</f>
        <v>518491.456666961</v>
      </c>
      <c r="X92" s="67" t="n">
        <f aca="false">N92*5.1890047538+L92*5.5017049523</f>
        <v>20694537.9641501</v>
      </c>
      <c r="Y92" s="67" t="n">
        <f aca="false">N92*5.1890047538</f>
        <v>15169470.037419</v>
      </c>
      <c r="Z92" s="67" t="n">
        <f aca="false">L92*5.5017049523</f>
        <v>5525067.92673113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3" t="n">
        <v>25957049.177882</v>
      </c>
      <c r="G93" s="153" t="n">
        <v>24858464.8311637</v>
      </c>
      <c r="H93" s="67" t="n">
        <f aca="false">F93-J93</f>
        <v>22768676.3899039</v>
      </c>
      <c r="I93" s="67" t="n">
        <f aca="false">G93-K93</f>
        <v>21765743.226825</v>
      </c>
      <c r="J93" s="153" t="n">
        <v>3188372.78797806</v>
      </c>
      <c r="K93" s="153" t="n">
        <v>3092721.60433872</v>
      </c>
      <c r="L93" s="67" t="n">
        <f aca="false">H93-I93</f>
        <v>1002933.16307896</v>
      </c>
      <c r="M93" s="67" t="n">
        <f aca="false">J93-K93</f>
        <v>95651.1836393401</v>
      </c>
      <c r="N93" s="153" t="n">
        <v>2927262.12154799</v>
      </c>
      <c r="O93" s="7"/>
      <c r="P93" s="7"/>
      <c r="Q93" s="67" t="n">
        <f aca="false">I93*5.5017049523</f>
        <v>119748697.301513</v>
      </c>
      <c r="R93" s="67"/>
      <c r="S93" s="67"/>
      <c r="T93" s="7"/>
      <c r="U93" s="7"/>
      <c r="V93" s="67" t="n">
        <f aca="false">K93*5.5017049523</f>
        <v>17015241.7666755</v>
      </c>
      <c r="W93" s="67" t="n">
        <f aca="false">M93*5.5017049523</f>
        <v>526244.590721914</v>
      </c>
      <c r="X93" s="67" t="n">
        <f aca="false">N93*5.1890047538+L93*5.5017049523</f>
        <v>20707419.4144686</v>
      </c>
      <c r="Y93" s="67" t="n">
        <f aca="false">N93*5.1890047538</f>
        <v>15189577.0643312</v>
      </c>
      <c r="Z93" s="67" t="n">
        <f aca="false">L93*5.5017049523</f>
        <v>5517842.35013742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65"/>
      <c r="B94" s="5"/>
      <c r="C94" s="65" t="n">
        <f aca="false">C90+1</f>
        <v>2035</v>
      </c>
      <c r="D94" s="65" t="n">
        <f aca="false">D90</f>
        <v>1</v>
      </c>
      <c r="E94" s="65" t="n">
        <v>241</v>
      </c>
      <c r="F94" s="151" t="n">
        <v>26065776.5266661</v>
      </c>
      <c r="G94" s="151" t="n">
        <v>24963207.5807099</v>
      </c>
      <c r="H94" s="8" t="n">
        <f aca="false">F94-J94</f>
        <v>22788817.3086252</v>
      </c>
      <c r="I94" s="8" t="n">
        <f aca="false">G94-K94</f>
        <v>21784557.1392102</v>
      </c>
      <c r="J94" s="151" t="n">
        <v>3276959.21804094</v>
      </c>
      <c r="K94" s="151" t="n">
        <v>3178650.44149971</v>
      </c>
      <c r="L94" s="8" t="n">
        <f aca="false">H94-I94</f>
        <v>1004260.16941497</v>
      </c>
      <c r="M94" s="8" t="n">
        <f aca="false">J94-K94</f>
        <v>98308.7765412298</v>
      </c>
      <c r="N94" s="151" t="n">
        <v>3450330.8695467</v>
      </c>
      <c r="O94" s="5"/>
      <c r="P94" s="5"/>
      <c r="Q94" s="8" t="n">
        <f aca="false">I94*5.5017049523</f>
        <v>119852205.896455</v>
      </c>
      <c r="R94" s="8"/>
      <c r="S94" s="8"/>
      <c r="T94" s="5"/>
      <c r="U94" s="5"/>
      <c r="V94" s="8" t="n">
        <f aca="false">K94*5.5017049523</f>
        <v>17487996.8756295</v>
      </c>
      <c r="W94" s="8" t="n">
        <f aca="false">M94*5.5017049523</f>
        <v>540865.882751438</v>
      </c>
      <c r="X94" s="8" t="n">
        <f aca="false">N94*5.1890047538+L94*5.5017049523</f>
        <v>23428926.4317287</v>
      </c>
      <c r="Y94" s="8" t="n">
        <f aca="false">N94*5.1890047538</f>
        <v>17903783.2842607</v>
      </c>
      <c r="Z94" s="8" t="n">
        <f aca="false">L94*5.5017049523</f>
        <v>5525143.14746798</v>
      </c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3" t="n">
        <v>26125157.0109657</v>
      </c>
      <c r="G95" s="153" t="n">
        <v>25020758.4058628</v>
      </c>
      <c r="H95" s="67" t="n">
        <f aca="false">F95-J95</f>
        <v>22760426.8461757</v>
      </c>
      <c r="I95" s="67" t="n">
        <f aca="false">G95-K95</f>
        <v>21756970.1460164</v>
      </c>
      <c r="J95" s="153" t="n">
        <v>3364730.16479005</v>
      </c>
      <c r="K95" s="153" t="n">
        <v>3263788.25984635</v>
      </c>
      <c r="L95" s="67" t="n">
        <f aca="false">H95-I95</f>
        <v>1003456.7001592</v>
      </c>
      <c r="M95" s="67" t="n">
        <f aca="false">J95-K95</f>
        <v>100941.9049437</v>
      </c>
      <c r="N95" s="153" t="n">
        <v>2795353.54722417</v>
      </c>
      <c r="O95" s="7"/>
      <c r="P95" s="7"/>
      <c r="Q95" s="67" t="n">
        <f aca="false">I95*5.5017049523</f>
        <v>119700430.399382</v>
      </c>
      <c r="R95" s="67"/>
      <c r="S95" s="67"/>
      <c r="T95" s="7"/>
      <c r="U95" s="7"/>
      <c r="V95" s="67" t="n">
        <f aca="false">K95*5.5017049523</f>
        <v>17956400.0324553</v>
      </c>
      <c r="W95" s="67" t="n">
        <f aca="false">M95*5.5017049523</f>
        <v>555352.57832335</v>
      </c>
      <c r="X95" s="67" t="n">
        <f aca="false">N95*5.1890047538+L95*5.5017049523</f>
        <v>20025825.5417824</v>
      </c>
      <c r="Y95" s="67" t="n">
        <f aca="false">N95*5.1890047538</f>
        <v>14505102.8450979</v>
      </c>
      <c r="Z95" s="67" t="n">
        <f aca="false">L95*5.5017049523</f>
        <v>5520722.69668451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3" t="n">
        <v>26223172.8238307</v>
      </c>
      <c r="G96" s="153" t="n">
        <v>25114230.3972542</v>
      </c>
      <c r="H96" s="67" t="n">
        <f aca="false">F96-J96</f>
        <v>22787470.4973605</v>
      </c>
      <c r="I96" s="67" t="n">
        <f aca="false">G96-K96</f>
        <v>21781599.1405781</v>
      </c>
      <c r="J96" s="153" t="n">
        <v>3435702.32647018</v>
      </c>
      <c r="K96" s="153" t="n">
        <v>3332631.25667607</v>
      </c>
      <c r="L96" s="67" t="n">
        <f aca="false">H96-I96</f>
        <v>1005871.35678239</v>
      </c>
      <c r="M96" s="67" t="n">
        <f aca="false">J96-K96</f>
        <v>103071.06979411</v>
      </c>
      <c r="N96" s="153" t="n">
        <v>2878785.12083253</v>
      </c>
      <c r="O96" s="7"/>
      <c r="P96" s="7"/>
      <c r="Q96" s="67" t="n">
        <f aca="false">I96*5.5017049523</f>
        <v>119835931.860732</v>
      </c>
      <c r="R96" s="67"/>
      <c r="S96" s="67"/>
      <c r="T96" s="7"/>
      <c r="U96" s="7"/>
      <c r="V96" s="67" t="n">
        <f aca="false">K96*5.5017049523</f>
        <v>18335153.8890445</v>
      </c>
      <c r="W96" s="67" t="n">
        <f aca="false">M96*5.5017049523</f>
        <v>567066.615125114</v>
      </c>
      <c r="X96" s="67" t="n">
        <f aca="false">N96*5.1890047538+L96*5.5017049523</f>
        <v>20472037.1021551</v>
      </c>
      <c r="Y96" s="67" t="n">
        <f aca="false">N96*5.1890047538</f>
        <v>14938029.6771687</v>
      </c>
      <c r="Z96" s="67" t="n">
        <f aca="false">L96*5.5017049523</f>
        <v>5534007.4249864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3" t="n">
        <v>26311679.6804717</v>
      </c>
      <c r="G97" s="153" t="n">
        <v>25198958.3260834</v>
      </c>
      <c r="H97" s="67" t="n">
        <f aca="false">F97-J97</f>
        <v>22830498.1460643</v>
      </c>
      <c r="I97" s="67" t="n">
        <f aca="false">G97-K97</f>
        <v>21822212.2377082</v>
      </c>
      <c r="J97" s="153" t="n">
        <v>3481181.53440737</v>
      </c>
      <c r="K97" s="153" t="n">
        <v>3376746.08837515</v>
      </c>
      <c r="L97" s="67" t="n">
        <f aca="false">H97-I97</f>
        <v>1008285.90835608</v>
      </c>
      <c r="M97" s="67" t="n">
        <f aca="false">J97-K97</f>
        <v>104435.44603222</v>
      </c>
      <c r="N97" s="153" t="n">
        <v>2844127.74097079</v>
      </c>
      <c r="O97" s="7"/>
      <c r="P97" s="7"/>
      <c r="Q97" s="67" t="n">
        <f aca="false">I97*5.5017049523</f>
        <v>120059373.138341</v>
      </c>
      <c r="R97" s="67"/>
      <c r="S97" s="67"/>
      <c r="T97" s="7"/>
      <c r="U97" s="7"/>
      <c r="V97" s="67" t="n">
        <f aca="false">K97*5.5017049523</f>
        <v>18577860.6770732</v>
      </c>
      <c r="W97" s="67" t="n">
        <f aca="false">M97*5.5017049523</f>
        <v>574573.010631122</v>
      </c>
      <c r="X97" s="67" t="n">
        <f aca="false">N97*5.1890047538+L97*5.5017049523</f>
        <v>20305483.9436488</v>
      </c>
      <c r="Y97" s="67" t="n">
        <f aca="false">N97*5.1890047538</f>
        <v>14758192.3683119</v>
      </c>
      <c r="Z97" s="67" t="n">
        <f aca="false">L97*5.5017049523</f>
        <v>5547291.57533696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65"/>
      <c r="B98" s="5"/>
      <c r="C98" s="65" t="n">
        <f aca="false">C94+1</f>
        <v>2036</v>
      </c>
      <c r="D98" s="65" t="n">
        <f aca="false">D94</f>
        <v>1</v>
      </c>
      <c r="E98" s="65" t="n">
        <v>245</v>
      </c>
      <c r="F98" s="151" t="n">
        <v>26402737.6483182</v>
      </c>
      <c r="G98" s="151" t="n">
        <v>25286513.734594</v>
      </c>
      <c r="H98" s="8" t="n">
        <f aca="false">F98-J98</f>
        <v>22860054.8217799</v>
      </c>
      <c r="I98" s="8" t="n">
        <f aca="false">G98-K98</f>
        <v>21850111.3928519</v>
      </c>
      <c r="J98" s="151" t="n">
        <v>3542682.82653827</v>
      </c>
      <c r="K98" s="151" t="n">
        <v>3436402.34174212</v>
      </c>
      <c r="L98" s="8" t="n">
        <f aca="false">H98-I98</f>
        <v>1009943.42892805</v>
      </c>
      <c r="M98" s="8" t="n">
        <f aca="false">J98-K98</f>
        <v>106280.48479615</v>
      </c>
      <c r="N98" s="151" t="n">
        <v>3453053.24085605</v>
      </c>
      <c r="O98" s="5"/>
      <c r="P98" s="5"/>
      <c r="Q98" s="8" t="n">
        <f aca="false">I98*5.5017049523</f>
        <v>120212866.05836</v>
      </c>
      <c r="R98" s="8"/>
      <c r="S98" s="8"/>
      <c r="T98" s="5"/>
      <c r="U98" s="5"/>
      <c r="V98" s="8" t="n">
        <f aca="false">K98*5.5017049523</f>
        <v>18906071.7816579</v>
      </c>
      <c r="W98" s="8" t="n">
        <f aca="false">M98*5.5017049523</f>
        <v>584723.869535821</v>
      </c>
      <c r="X98" s="8" t="n">
        <f aca="false">N98*5.1890047538+L98*5.5017049523</f>
        <v>23474320.4464029</v>
      </c>
      <c r="Y98" s="8" t="n">
        <f aca="false">N98*5.1890047538</f>
        <v>17917909.6819265</v>
      </c>
      <c r="Z98" s="8" t="n">
        <f aca="false">L98*5.5017049523</f>
        <v>5556410.76447632</v>
      </c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3" t="n">
        <v>26467705.1046116</v>
      </c>
      <c r="G99" s="153" t="n">
        <v>25349169.6842931</v>
      </c>
      <c r="H99" s="67" t="n">
        <f aca="false">F99-J99</f>
        <v>22835232.8756792</v>
      </c>
      <c r="I99" s="67" t="n">
        <f aca="false">G99-K99</f>
        <v>21825671.6222287</v>
      </c>
      <c r="J99" s="153" t="n">
        <v>3632472.22893239</v>
      </c>
      <c r="K99" s="153" t="n">
        <v>3523498.06206442</v>
      </c>
      <c r="L99" s="67" t="n">
        <f aca="false">H99-I99</f>
        <v>1009561.25345053</v>
      </c>
      <c r="M99" s="67" t="n">
        <f aca="false">J99-K99</f>
        <v>108974.16686797</v>
      </c>
      <c r="N99" s="153" t="n">
        <v>2783939.44875335</v>
      </c>
      <c r="O99" s="7"/>
      <c r="P99" s="7"/>
      <c r="Q99" s="67" t="n">
        <f aca="false">I99*5.5017049523</f>
        <v>120078405.651289</v>
      </c>
      <c r="R99" s="67"/>
      <c r="S99" s="67"/>
      <c r="T99" s="7"/>
      <c r="U99" s="7"/>
      <c r="V99" s="67" t="n">
        <f aca="false">K99*5.5017049523</f>
        <v>19385246.7374793</v>
      </c>
      <c r="W99" s="67" t="n">
        <f aca="false">M99*5.5017049523</f>
        <v>599543.713530277</v>
      </c>
      <c r="X99" s="67" t="n">
        <f aca="false">N99*5.1890047538+L99*5.5017049523</f>
        <v>20000183.1816315</v>
      </c>
      <c r="Y99" s="67" t="n">
        <f aca="false">N99*5.1890047538</f>
        <v>14445875.0338725</v>
      </c>
      <c r="Z99" s="67" t="n">
        <f aca="false">L99*5.5017049523</f>
        <v>5554308.14775899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3" t="n">
        <v>26537121.6298806</v>
      </c>
      <c r="G100" s="153" t="n">
        <v>25415540.7835029</v>
      </c>
      <c r="H100" s="67" t="n">
        <f aca="false">F100-J100</f>
        <v>22878981.8612707</v>
      </c>
      <c r="I100" s="67" t="n">
        <f aca="false">G100-K100</f>
        <v>21867145.2079513</v>
      </c>
      <c r="J100" s="153" t="n">
        <v>3658139.76860988</v>
      </c>
      <c r="K100" s="153" t="n">
        <v>3548395.57555158</v>
      </c>
      <c r="L100" s="67" t="n">
        <f aca="false">H100-I100</f>
        <v>1011836.6533194</v>
      </c>
      <c r="M100" s="67" t="n">
        <f aca="false">J100-K100</f>
        <v>109744.1930583</v>
      </c>
      <c r="N100" s="153" t="n">
        <v>2866896.96582323</v>
      </c>
      <c r="O100" s="7"/>
      <c r="P100" s="7"/>
      <c r="Q100" s="67" t="n">
        <f aca="false">I100*5.5017049523</f>
        <v>120306581.083249</v>
      </c>
      <c r="R100" s="67"/>
      <c r="S100" s="67"/>
      <c r="T100" s="7"/>
      <c r="U100" s="7"/>
      <c r="V100" s="67" t="n">
        <f aca="false">K100*5.5017049523</f>
        <v>19522225.5107315</v>
      </c>
      <c r="W100" s="67" t="n">
        <f aca="false">M100*5.5017049523</f>
        <v>603780.170435015</v>
      </c>
      <c r="X100" s="67" t="n">
        <f aca="false">N100*5.1890047538+L100*5.5017049523</f>
        <v>20443168.7107975</v>
      </c>
      <c r="Y100" s="67" t="n">
        <f aca="false">N100*5.1890047538</f>
        <v>14876341.9843115</v>
      </c>
      <c r="Z100" s="67" t="n">
        <f aca="false">L100*5.5017049523</f>
        <v>5566826.726486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3" t="n">
        <v>26629570.0537945</v>
      </c>
      <c r="G101" s="153" t="n">
        <v>25503605.505835</v>
      </c>
      <c r="H101" s="67" t="n">
        <f aca="false">F101-J101</f>
        <v>22889718.50387</v>
      </c>
      <c r="I101" s="67" t="n">
        <f aca="false">G101-K101</f>
        <v>21875949.5024082</v>
      </c>
      <c r="J101" s="153" t="n">
        <v>3739851.54992454</v>
      </c>
      <c r="K101" s="153" t="n">
        <v>3627656.0034268</v>
      </c>
      <c r="L101" s="67" t="n">
        <f aca="false">H101-I101</f>
        <v>1013769.00146176</v>
      </c>
      <c r="M101" s="67" t="n">
        <f aca="false">J101-K101</f>
        <v>112195.54649774</v>
      </c>
      <c r="N101" s="153" t="n">
        <v>2793748.87189627</v>
      </c>
      <c r="O101" s="7"/>
      <c r="P101" s="7"/>
      <c r="Q101" s="67" t="n">
        <f aca="false">I101*5.5017049523</f>
        <v>120355019.713664</v>
      </c>
      <c r="R101" s="67"/>
      <c r="S101" s="67"/>
      <c r="T101" s="7"/>
      <c r="U101" s="7"/>
      <c r="V101" s="67" t="n">
        <f aca="false">K101*5.5017049523</f>
        <v>19958292.9992941</v>
      </c>
      <c r="W101" s="67" t="n">
        <f aca="false">M101*5.5017049523</f>
        <v>617266.79379262</v>
      </c>
      <c r="X101" s="67" t="n">
        <f aca="false">N101*5.1890047538+L101*5.5017049523</f>
        <v>20074234.1130235</v>
      </c>
      <c r="Y101" s="67" t="n">
        <f aca="false">N101*5.1890047538</f>
        <v>14496776.1771931</v>
      </c>
      <c r="Z101" s="67" t="n">
        <f aca="false">L101*5.5017049523</f>
        <v>5577457.93583039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65"/>
      <c r="B102" s="5"/>
      <c r="C102" s="65" t="n">
        <f aca="false">C98+1</f>
        <v>2037</v>
      </c>
      <c r="D102" s="65" t="n">
        <f aca="false">D98</f>
        <v>1</v>
      </c>
      <c r="E102" s="65" t="n">
        <v>249</v>
      </c>
      <c r="F102" s="151" t="n">
        <v>26793730.2669363</v>
      </c>
      <c r="G102" s="151" t="n">
        <v>25661077.0167968</v>
      </c>
      <c r="H102" s="8" t="n">
        <f aca="false">F102-J102</f>
        <v>22981373.9951624</v>
      </c>
      <c r="I102" s="8" t="n">
        <f aca="false">G102-K102</f>
        <v>21963091.4331762</v>
      </c>
      <c r="J102" s="151" t="n">
        <v>3812356.27177386</v>
      </c>
      <c r="K102" s="151" t="n">
        <v>3697985.58362065</v>
      </c>
      <c r="L102" s="8" t="n">
        <f aca="false">H102-I102</f>
        <v>1018282.56198629</v>
      </c>
      <c r="M102" s="8" t="n">
        <f aca="false">J102-K102</f>
        <v>114370.68815321</v>
      </c>
      <c r="N102" s="151" t="n">
        <v>3445313.24405924</v>
      </c>
      <c r="O102" s="5"/>
      <c r="P102" s="5"/>
      <c r="Q102" s="8" t="n">
        <f aca="false">I102*5.5017049523</f>
        <v>120834448.905723</v>
      </c>
      <c r="R102" s="8"/>
      <c r="S102" s="8"/>
      <c r="T102" s="5"/>
      <c r="U102" s="5"/>
      <c r="V102" s="8" t="n">
        <f aca="false">K102*5.5017049523</f>
        <v>20345225.5989397</v>
      </c>
      <c r="W102" s="8" t="n">
        <f aca="false">M102*5.5017049523</f>
        <v>629233.781410472</v>
      </c>
      <c r="X102" s="8" t="n">
        <f aca="false">N102*5.1890047538+L102*5.5017049523</f>
        <v>23480037.0158742</v>
      </c>
      <c r="Y102" s="8" t="n">
        <f aca="false">N102*5.1890047538</f>
        <v>17877746.8017535</v>
      </c>
      <c r="Z102" s="8" t="n">
        <f aca="false">L102*5.5017049523</f>
        <v>5602290.21412068</v>
      </c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3" t="n">
        <v>26985711.3160031</v>
      </c>
      <c r="G103" s="153" t="n">
        <v>25845097.2067839</v>
      </c>
      <c r="H103" s="67" t="n">
        <f aca="false">F103-J103</f>
        <v>23094656.0425682</v>
      </c>
      <c r="I103" s="67" t="n">
        <f aca="false">G103-K103</f>
        <v>22070773.5915521</v>
      </c>
      <c r="J103" s="153" t="n">
        <v>3891055.27343486</v>
      </c>
      <c r="K103" s="153" t="n">
        <v>3774323.61523181</v>
      </c>
      <c r="L103" s="67" t="n">
        <f aca="false">H103-I103</f>
        <v>1023882.45101615</v>
      </c>
      <c r="M103" s="67" t="n">
        <f aca="false">J103-K103</f>
        <v>116731.65820305</v>
      </c>
      <c r="N103" s="153" t="n">
        <v>2740179.35509732</v>
      </c>
      <c r="O103" s="7"/>
      <c r="P103" s="7"/>
      <c r="Q103" s="67" t="n">
        <f aca="false">I103*5.5017049523</f>
        <v>121426884.369734</v>
      </c>
      <c r="R103" s="67"/>
      <c r="S103" s="67"/>
      <c r="T103" s="7"/>
      <c r="U103" s="7"/>
      <c r="V103" s="67" t="n">
        <f aca="false">K103*5.5017049523</f>
        <v>20765214.9255037</v>
      </c>
      <c r="W103" s="67" t="n">
        <f aca="false">M103*5.5017049523</f>
        <v>642223.142025911</v>
      </c>
      <c r="X103" s="67" t="n">
        <f aca="false">N103*5.1890047538+L103*5.5017049523</f>
        <v>19851902.8511932</v>
      </c>
      <c r="Y103" s="67" t="n">
        <f aca="false">N103*5.1890047538</f>
        <v>14218803.6998646</v>
      </c>
      <c r="Z103" s="67" t="n">
        <f aca="false">L103*5.5017049523</f>
        <v>5633099.15132864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3" t="n">
        <v>27083496.6478331</v>
      </c>
      <c r="G104" s="153" t="n">
        <v>25939011.2169853</v>
      </c>
      <c r="H104" s="67" t="n">
        <f aca="false">F104-J104</f>
        <v>23111137.1168624</v>
      </c>
      <c r="I104" s="67" t="n">
        <f aca="false">G104-K104</f>
        <v>22085822.4719437</v>
      </c>
      <c r="J104" s="153" t="n">
        <v>3972359.53097075</v>
      </c>
      <c r="K104" s="153" t="n">
        <v>3853188.74504163</v>
      </c>
      <c r="L104" s="67" t="n">
        <f aca="false">H104-I104</f>
        <v>1025314.64491868</v>
      </c>
      <c r="M104" s="67" t="n">
        <f aca="false">J104-K104</f>
        <v>119170.78592912</v>
      </c>
      <c r="N104" s="153" t="n">
        <v>2787498.81162164</v>
      </c>
      <c r="O104" s="7"/>
      <c r="P104" s="7"/>
      <c r="Q104" s="67" t="n">
        <f aca="false">I104*5.5017049523</f>
        <v>121509678.869511</v>
      </c>
      <c r="R104" s="67"/>
      <c r="S104" s="67"/>
      <c r="T104" s="7"/>
      <c r="U104" s="7"/>
      <c r="V104" s="67" t="n">
        <f aca="false">K104*5.5017049523</f>
        <v>21199107.6007422</v>
      </c>
      <c r="W104" s="67" t="n">
        <f aca="false">M104*5.5017049523</f>
        <v>655642.503115721</v>
      </c>
      <c r="X104" s="67" t="n">
        <f aca="false">N104*5.1890047538+L104*5.5017049523</f>
        <v>20105323.2443314</v>
      </c>
      <c r="Y104" s="67" t="n">
        <f aca="false">N104*5.1890047538</f>
        <v>14464344.5847165</v>
      </c>
      <c r="Z104" s="67" t="n">
        <f aca="false">L104*5.5017049523</f>
        <v>5640978.65961484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3" t="n">
        <v>27289327.4612066</v>
      </c>
      <c r="G105" s="153" t="n">
        <v>26136643.5328256</v>
      </c>
      <c r="H105" s="67" t="n">
        <f aca="false">F105-J105</f>
        <v>23171932.9459016</v>
      </c>
      <c r="I105" s="67" t="n">
        <f aca="false">G105-K105</f>
        <v>22142770.8529797</v>
      </c>
      <c r="J105" s="153" t="n">
        <v>4117394.51530503</v>
      </c>
      <c r="K105" s="153" t="n">
        <v>3993872.67984588</v>
      </c>
      <c r="L105" s="67" t="n">
        <f aca="false">H105-I105</f>
        <v>1029162.09292185</v>
      </c>
      <c r="M105" s="67" t="n">
        <f aca="false">J105-K105</f>
        <v>123521.83545915</v>
      </c>
      <c r="N105" s="153" t="n">
        <v>2772000.7119575</v>
      </c>
      <c r="O105" s="7"/>
      <c r="P105" s="7"/>
      <c r="Q105" s="67" t="n">
        <f aca="false">I105*5.5017049523</f>
        <v>121822992.059483</v>
      </c>
      <c r="R105" s="67"/>
      <c r="S105" s="67"/>
      <c r="T105" s="7"/>
      <c r="U105" s="7"/>
      <c r="V105" s="67" t="n">
        <f aca="false">K105*5.5017049523</f>
        <v>21973109.1015637</v>
      </c>
      <c r="W105" s="67" t="n">
        <f aca="false">M105*5.5017049523</f>
        <v>679580.693862793</v>
      </c>
      <c r="X105" s="67" t="n">
        <f aca="false">N105*5.1890047538+L105*5.5017049523</f>
        <v>20046071.055232</v>
      </c>
      <c r="Y105" s="67" t="n">
        <f aca="false">N105*5.1890047538</f>
        <v>14383924.8718845</v>
      </c>
      <c r="Z105" s="67" t="n">
        <f aca="false">L105*5.5017049523</f>
        <v>5662146.18334757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65"/>
      <c r="B106" s="5"/>
      <c r="C106" s="65" t="n">
        <f aca="false">C102+1</f>
        <v>2038</v>
      </c>
      <c r="D106" s="65" t="n">
        <f aca="false">D102</f>
        <v>1</v>
      </c>
      <c r="E106" s="65" t="n">
        <v>253</v>
      </c>
      <c r="F106" s="151" t="n">
        <v>27391879.2467302</v>
      </c>
      <c r="G106" s="151" t="n">
        <v>26235206.0511664</v>
      </c>
      <c r="H106" s="8" t="n">
        <f aca="false">F106-J106</f>
        <v>23199945.5320028</v>
      </c>
      <c r="I106" s="8" t="n">
        <f aca="false">G106-K106</f>
        <v>22169030.3478808</v>
      </c>
      <c r="J106" s="151" t="n">
        <v>4191933.71472743</v>
      </c>
      <c r="K106" s="151" t="n">
        <v>4066175.70328561</v>
      </c>
      <c r="L106" s="8" t="n">
        <f aca="false">H106-I106</f>
        <v>1030915.18412198</v>
      </c>
      <c r="M106" s="8" t="n">
        <f aca="false">J106-K106</f>
        <v>125758.01144182</v>
      </c>
      <c r="N106" s="151" t="n">
        <v>3445553.78667358</v>
      </c>
      <c r="O106" s="5"/>
      <c r="P106" s="5"/>
      <c r="Q106" s="8" t="n">
        <f aca="false">I106*5.5017049523</f>
        <v>121967464.052625</v>
      </c>
      <c r="R106" s="8"/>
      <c r="S106" s="8"/>
      <c r="T106" s="5"/>
      <c r="U106" s="5"/>
      <c r="V106" s="8" t="n">
        <f aca="false">K106*5.5017049523</f>
        <v>22370899.0036884</v>
      </c>
      <c r="W106" s="8" t="n">
        <f aca="false">M106*5.5017049523</f>
        <v>691883.474340863</v>
      </c>
      <c r="X106" s="8" t="n">
        <f aca="false">N106*5.1890047538+L106*5.5017049523</f>
        <v>23550786.1524079</v>
      </c>
      <c r="Y106" s="8" t="n">
        <f aca="false">N106*5.1890047538</f>
        <v>17878994.9785228</v>
      </c>
      <c r="Z106" s="8" t="n">
        <f aca="false">L106*5.5017049523</f>
        <v>5671791.17388515</v>
      </c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3" t="n">
        <v>27446507.1405315</v>
      </c>
      <c r="G107" s="153" t="n">
        <v>26288203.156558</v>
      </c>
      <c r="H107" s="67" t="n">
        <f aca="false">F107-J107</f>
        <v>23231731.6047126</v>
      </c>
      <c r="I107" s="67" t="n">
        <f aca="false">G107-K107</f>
        <v>22199870.8868137</v>
      </c>
      <c r="J107" s="153" t="n">
        <v>4214775.53581891</v>
      </c>
      <c r="K107" s="153" t="n">
        <v>4088332.26974434</v>
      </c>
      <c r="L107" s="67" t="n">
        <f aca="false">H107-I107</f>
        <v>1031860.71789893</v>
      </c>
      <c r="M107" s="67" t="n">
        <f aca="false">J107-K107</f>
        <v>126443.26607457</v>
      </c>
      <c r="N107" s="153" t="n">
        <v>2826378.04913109</v>
      </c>
      <c r="O107" s="7"/>
      <c r="P107" s="7"/>
      <c r="Q107" s="67" t="n">
        <f aca="false">I107*5.5017049523</f>
        <v>122137139.598403</v>
      </c>
      <c r="R107" s="67"/>
      <c r="S107" s="67"/>
      <c r="T107" s="7"/>
      <c r="U107" s="7"/>
      <c r="V107" s="67" t="n">
        <f aca="false">K107*5.5017049523</f>
        <v>22492797.8951003</v>
      </c>
      <c r="W107" s="67" t="n">
        <f aca="false">M107*5.5017049523</f>
        <v>695653.54314745</v>
      </c>
      <c r="X107" s="67" t="n">
        <f aca="false">N107*5.1890047538+L107*5.5017049523</f>
        <v>20343082.3547256</v>
      </c>
      <c r="Y107" s="67" t="n">
        <f aca="false">N107*5.1890047538</f>
        <v>14666089.1329772</v>
      </c>
      <c r="Z107" s="67" t="n">
        <f aca="false">L107*5.5017049523</f>
        <v>5676993.22174838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3" t="n">
        <v>27512677.4182042</v>
      </c>
      <c r="G108" s="153" t="n">
        <v>26351628.4979143</v>
      </c>
      <c r="H108" s="67" t="n">
        <f aca="false">F108-J108</f>
        <v>23228588.6243298</v>
      </c>
      <c r="I108" s="67" t="n">
        <f aca="false">G108-K108</f>
        <v>22196062.3678561</v>
      </c>
      <c r="J108" s="153" t="n">
        <v>4284088.79387439</v>
      </c>
      <c r="K108" s="153" t="n">
        <v>4155566.13005816</v>
      </c>
      <c r="L108" s="67" t="n">
        <f aca="false">H108-I108</f>
        <v>1032526.25647367</v>
      </c>
      <c r="M108" s="67" t="n">
        <f aca="false">J108-K108</f>
        <v>128522.66381623</v>
      </c>
      <c r="N108" s="153" t="n">
        <v>2857863.559162</v>
      </c>
      <c r="O108" s="7"/>
      <c r="P108" s="7"/>
      <c r="Q108" s="67" t="n">
        <f aca="false">I108*5.5017049523</f>
        <v>122116186.250794</v>
      </c>
      <c r="R108" s="67"/>
      <c r="S108" s="67"/>
      <c r="T108" s="7"/>
      <c r="U108" s="7"/>
      <c r="V108" s="67" t="n">
        <f aca="false">K108*5.5017049523</f>
        <v>22862698.7573511</v>
      </c>
      <c r="W108" s="67" t="n">
        <f aca="false">M108*5.5017049523</f>
        <v>707093.776000543</v>
      </c>
      <c r="X108" s="67" t="n">
        <f aca="false">N108*5.1890047538+L108*5.5017049523</f>
        <v>20510122.4128244</v>
      </c>
      <c r="Y108" s="67" t="n">
        <f aca="false">N108*5.1890047538</f>
        <v>14829467.5942034</v>
      </c>
      <c r="Z108" s="67" t="n">
        <f aca="false">L108*5.5017049523</f>
        <v>5680654.81862098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3" t="n">
        <v>27540978.3638217</v>
      </c>
      <c r="G109" s="153" t="n">
        <v>26378715.8053285</v>
      </c>
      <c r="H109" s="67" t="n">
        <f aca="false">F109-J109</f>
        <v>23204335.4219439</v>
      </c>
      <c r="I109" s="67" t="n">
        <f aca="false">G109-K109</f>
        <v>22172172.1517071</v>
      </c>
      <c r="J109" s="153" t="n">
        <v>4336642.94187777</v>
      </c>
      <c r="K109" s="153" t="n">
        <v>4206543.65362144</v>
      </c>
      <c r="L109" s="67" t="n">
        <f aca="false">H109-I109</f>
        <v>1032163.27023687</v>
      </c>
      <c r="M109" s="67" t="n">
        <f aca="false">J109-K109</f>
        <v>130099.28825633</v>
      </c>
      <c r="N109" s="153" t="n">
        <v>2725493.75888626</v>
      </c>
      <c r="O109" s="7"/>
      <c r="P109" s="7"/>
      <c r="Q109" s="67" t="n">
        <f aca="false">I109*5.5017049523</f>
        <v>121984749.330295</v>
      </c>
      <c r="R109" s="67"/>
      <c r="S109" s="67"/>
      <c r="T109" s="7"/>
      <c r="U109" s="7"/>
      <c r="V109" s="67" t="n">
        <f aca="false">K109*5.5017049523</f>
        <v>23143162.0511952</v>
      </c>
      <c r="W109" s="67" t="n">
        <f aca="false">M109*5.5017049523</f>
        <v>715767.898490558</v>
      </c>
      <c r="X109" s="67" t="n">
        <f aca="false">N109*5.1890047538+L109*5.5017049523</f>
        <v>19821257.8467574</v>
      </c>
      <c r="Y109" s="67" t="n">
        <f aca="false">N109*5.1890047538</f>
        <v>14142600.071313</v>
      </c>
      <c r="Z109" s="67" t="n">
        <f aca="false">L109*5.5017049523</f>
        <v>5678657.77544434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65"/>
      <c r="B110" s="5"/>
      <c r="C110" s="65" t="n">
        <f aca="false">C106+1</f>
        <v>2039</v>
      </c>
      <c r="D110" s="65" t="n">
        <f aca="false">D106</f>
        <v>1</v>
      </c>
      <c r="E110" s="65" t="n">
        <v>257</v>
      </c>
      <c r="F110" s="151" t="n">
        <v>27719902.748365</v>
      </c>
      <c r="G110" s="151" t="n">
        <v>26551249.4633835</v>
      </c>
      <c r="H110" s="8" t="n">
        <f aca="false">F110-J110</f>
        <v>23307025.2021738</v>
      </c>
      <c r="I110" s="8" t="n">
        <f aca="false">G110-K110</f>
        <v>22270758.2435781</v>
      </c>
      <c r="J110" s="151" t="n">
        <v>4412877.54619116</v>
      </c>
      <c r="K110" s="151" t="n">
        <v>4280491.21980542</v>
      </c>
      <c r="L110" s="8" t="n">
        <f aca="false">H110-I110</f>
        <v>1036266.95859576</v>
      </c>
      <c r="M110" s="8" t="n">
        <f aca="false">J110-K110</f>
        <v>132386.326385739</v>
      </c>
      <c r="N110" s="151" t="n">
        <v>3388759.35706008</v>
      </c>
      <c r="O110" s="5"/>
      <c r="P110" s="5"/>
      <c r="Q110" s="8" t="n">
        <f aca="false">I110*5.5017049523</f>
        <v>122527140.92017</v>
      </c>
      <c r="R110" s="8"/>
      <c r="S110" s="8"/>
      <c r="T110" s="5"/>
      <c r="U110" s="5"/>
      <c r="V110" s="8" t="n">
        <f aca="false">K110*5.5017049523</f>
        <v>23549999.7422801</v>
      </c>
      <c r="W110" s="8" t="n">
        <f aca="false">M110*5.5017049523</f>
        <v>728350.507493226</v>
      </c>
      <c r="X110" s="8" t="n">
        <f aca="false">N110*5.1890047538+L110*5.5017049523</f>
        <v>23285523.4712801</v>
      </c>
      <c r="Y110" s="8" t="n">
        <f aca="false">N110*5.1890047538</f>
        <v>17584288.413269</v>
      </c>
      <c r="Z110" s="8" t="n">
        <f aca="false">L110*5.5017049523</f>
        <v>5701235.05801115</v>
      </c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3" t="n">
        <v>27863496.236067</v>
      </c>
      <c r="G111" s="153" t="n">
        <v>26688457.7440084</v>
      </c>
      <c r="H111" s="67" t="n">
        <f aca="false">F111-J111</f>
        <v>23361281.8392097</v>
      </c>
      <c r="I111" s="67" t="n">
        <f aca="false">G111-K111</f>
        <v>22321309.7790568</v>
      </c>
      <c r="J111" s="153" t="n">
        <v>4502214.39685729</v>
      </c>
      <c r="K111" s="153" t="n">
        <v>4367147.96495157</v>
      </c>
      <c r="L111" s="67" t="n">
        <f aca="false">H111-I111</f>
        <v>1039972.06015288</v>
      </c>
      <c r="M111" s="67" t="n">
        <f aca="false">J111-K111</f>
        <v>135066.431905719</v>
      </c>
      <c r="N111" s="153" t="n">
        <v>2794015.8113351</v>
      </c>
      <c r="O111" s="7"/>
      <c r="P111" s="7"/>
      <c r="Q111" s="67" t="n">
        <f aca="false">I111*5.5017049523</f>
        <v>122805260.553259</v>
      </c>
      <c r="R111" s="67"/>
      <c r="S111" s="67"/>
      <c r="T111" s="7"/>
      <c r="U111" s="7"/>
      <c r="V111" s="67" t="n">
        <f aca="false">K111*5.5017049523</f>
        <v>24026759.5862009</v>
      </c>
      <c r="W111" s="67" t="n">
        <f aca="false">M111*5.5017049523</f>
        <v>743095.657305187</v>
      </c>
      <c r="X111" s="67" t="n">
        <f aca="false">N111*5.1890047538+L111*5.5017049523</f>
        <v>20219780.760807</v>
      </c>
      <c r="Y111" s="67" t="n">
        <f aca="false">N111*5.1890047538</f>
        <v>14498161.3272102</v>
      </c>
      <c r="Z111" s="67" t="n">
        <f aca="false">L111*5.5017049523</f>
        <v>5721619.43359676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3" t="n">
        <v>27974339.0726323</v>
      </c>
      <c r="G112" s="153" t="n">
        <v>26794523.1118624</v>
      </c>
      <c r="H112" s="67" t="n">
        <f aca="false">F112-J112</f>
        <v>23414867.8244434</v>
      </c>
      <c r="I112" s="67" t="n">
        <f aca="false">G112-K112</f>
        <v>22371836.0011192</v>
      </c>
      <c r="J112" s="153" t="n">
        <v>4559471.24818886</v>
      </c>
      <c r="K112" s="153" t="n">
        <v>4422687.11074319</v>
      </c>
      <c r="L112" s="67" t="n">
        <f aca="false">H112-I112</f>
        <v>1043031.82332423</v>
      </c>
      <c r="M112" s="67" t="n">
        <f aca="false">J112-K112</f>
        <v>136784.13744567</v>
      </c>
      <c r="N112" s="153" t="n">
        <v>2761680.5609405</v>
      </c>
      <c r="O112" s="7"/>
      <c r="P112" s="7"/>
      <c r="Q112" s="67" t="n">
        <f aca="false">I112*5.5017049523</f>
        <v>123083240.919401</v>
      </c>
      <c r="R112" s="67"/>
      <c r="S112" s="67"/>
      <c r="T112" s="7"/>
      <c r="U112" s="7"/>
      <c r="V112" s="67" t="n">
        <f aca="false">K112*5.5017049523</f>
        <v>24332319.5796492</v>
      </c>
      <c r="W112" s="67" t="n">
        <f aca="false">M112*5.5017049523</f>
        <v>752545.966380924</v>
      </c>
      <c r="X112" s="67" t="n">
        <f aca="false">N112*5.1890047538+L112*5.5017049523</f>
        <v>20068826.9069867</v>
      </c>
      <c r="Y112" s="67" t="n">
        <f aca="false">N112*5.1890047538</f>
        <v>14330373.5591973</v>
      </c>
      <c r="Z112" s="67" t="n">
        <f aca="false">L112*5.5017049523</f>
        <v>5738453.34778943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3" t="n">
        <v>28044862.2042113</v>
      </c>
      <c r="G113" s="153" t="n">
        <v>26861898.7663436</v>
      </c>
      <c r="H113" s="67" t="n">
        <f aca="false">F113-J113</f>
        <v>23389681.1585446</v>
      </c>
      <c r="I113" s="67" t="n">
        <f aca="false">G113-K113</f>
        <v>22346373.1520469</v>
      </c>
      <c r="J113" s="153" t="n">
        <v>4655181.04566666</v>
      </c>
      <c r="K113" s="153" t="n">
        <v>4515525.61429666</v>
      </c>
      <c r="L113" s="67" t="n">
        <f aca="false">H113-I113</f>
        <v>1043308.0064977</v>
      </c>
      <c r="M113" s="67" t="n">
        <f aca="false">J113-K113</f>
        <v>139655.43137</v>
      </c>
      <c r="N113" s="153" t="n">
        <v>2743232.55408789</v>
      </c>
      <c r="O113" s="7"/>
      <c r="P113" s="7"/>
      <c r="Q113" s="67" t="n">
        <f aca="false">I113*5.5017049523</f>
        <v>122943151.83656</v>
      </c>
      <c r="R113" s="67"/>
      <c r="S113" s="67"/>
      <c r="T113" s="7"/>
      <c r="U113" s="7"/>
      <c r="V113" s="67" t="n">
        <f aca="false">K113*5.5017049523</f>
        <v>24843089.6344134</v>
      </c>
      <c r="W113" s="67" t="n">
        <f aca="false">M113*5.5017049523</f>
        <v>768342.978383924</v>
      </c>
      <c r="X113" s="67" t="n">
        <f aca="false">N113*5.1890047538+L113*5.5017049523</f>
        <v>19974619.5900636</v>
      </c>
      <c r="Y113" s="67" t="n">
        <f aca="false">N113*5.1890047538</f>
        <v>14234646.763941</v>
      </c>
      <c r="Z113" s="67" t="n">
        <f aca="false">L113*5.5017049523</f>
        <v>5739972.82612261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65"/>
      <c r="B114" s="5"/>
      <c r="C114" s="65" t="n">
        <f aca="false">C110+1</f>
        <v>2040</v>
      </c>
      <c r="D114" s="65" t="n">
        <f aca="false">D110</f>
        <v>1</v>
      </c>
      <c r="E114" s="65" t="n">
        <v>261</v>
      </c>
      <c r="F114" s="151" t="n">
        <v>28153483.540979</v>
      </c>
      <c r="G114" s="151" t="n">
        <v>26965808.8168465</v>
      </c>
      <c r="H114" s="8" t="n">
        <f aca="false">F114-J114</f>
        <v>23417279.3102028</v>
      </c>
      <c r="I114" s="8" t="n">
        <f aca="false">G114-K114</f>
        <v>22371690.7129936</v>
      </c>
      <c r="J114" s="151" t="n">
        <v>4736204.23077622</v>
      </c>
      <c r="K114" s="151" t="n">
        <v>4594118.10385293</v>
      </c>
      <c r="L114" s="8" t="n">
        <f aca="false">H114-I114</f>
        <v>1045588.59720921</v>
      </c>
      <c r="M114" s="8" t="n">
        <f aca="false">J114-K114</f>
        <v>142086.12692329</v>
      </c>
      <c r="N114" s="151" t="n">
        <v>3361753.00931212</v>
      </c>
      <c r="O114" s="5"/>
      <c r="P114" s="5"/>
      <c r="Q114" s="8" t="n">
        <f aca="false">I114*5.5017049523</f>
        <v>123082441.587001</v>
      </c>
      <c r="R114" s="8"/>
      <c r="S114" s="8"/>
      <c r="T114" s="5"/>
      <c r="U114" s="5"/>
      <c r="V114" s="8" t="n">
        <f aca="false">K114*5.5017049523</f>
        <v>25275482.3234187</v>
      </c>
      <c r="W114" s="8" t="n">
        <f aca="false">M114*5.5017049523</f>
        <v>781715.948146991</v>
      </c>
      <c r="X114" s="8" t="n">
        <f aca="false">N114*5.1890047538+L114*5.5017049523</f>
        <v>23196672.3097564</v>
      </c>
      <c r="Y114" s="8" t="n">
        <f aca="false">N114*5.1890047538</f>
        <v>17444152.346422</v>
      </c>
      <c r="Z114" s="8" t="n">
        <f aca="false">L114*5.5017049523</f>
        <v>5752519.96333433</v>
      </c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3" t="n">
        <v>28237206.068437</v>
      </c>
      <c r="G115" s="153" t="n">
        <v>27046902.2653376</v>
      </c>
      <c r="H115" s="67" t="n">
        <f aca="false">F115-J115</f>
        <v>23416402.5470814</v>
      </c>
      <c r="I115" s="67" t="n">
        <f aca="false">G115-K115</f>
        <v>22370722.8496227</v>
      </c>
      <c r="J115" s="153" t="n">
        <v>4820803.52135559</v>
      </c>
      <c r="K115" s="153" t="n">
        <v>4676179.41571492</v>
      </c>
      <c r="L115" s="67" t="n">
        <f aca="false">H115-I115</f>
        <v>1045679.69745873</v>
      </c>
      <c r="M115" s="67" t="n">
        <f aca="false">J115-K115</f>
        <v>144624.10564067</v>
      </c>
      <c r="N115" s="153" t="n">
        <v>2727233.67860613</v>
      </c>
      <c r="O115" s="7"/>
      <c r="P115" s="7"/>
      <c r="Q115" s="67" t="n">
        <f aca="false">I115*5.5017049523</f>
        <v>123077116.6883</v>
      </c>
      <c r="R115" s="67"/>
      <c r="S115" s="67"/>
      <c r="T115" s="7"/>
      <c r="U115" s="7"/>
      <c r="V115" s="67" t="n">
        <f aca="false">K115*5.5017049523</f>
        <v>25726959.4492821</v>
      </c>
      <c r="W115" s="67" t="n">
        <f aca="false">M115*5.5017049523</f>
        <v>795679.158225234</v>
      </c>
      <c r="X115" s="67" t="n">
        <f aca="false">N115*5.1890047538+L115*5.5017049523</f>
        <v>19904649.6930389</v>
      </c>
      <c r="Y115" s="67" t="n">
        <f aca="false">N115*5.1890047538</f>
        <v>14151628.5230107</v>
      </c>
      <c r="Z115" s="67" t="n">
        <f aca="false">L115*5.5017049523</f>
        <v>5753021.17002826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3" t="n">
        <v>28316349.1881045</v>
      </c>
      <c r="G116" s="153" t="n">
        <v>27123458.5233624</v>
      </c>
      <c r="H116" s="67" t="n">
        <f aca="false">F116-J116</f>
        <v>23454323.8361051</v>
      </c>
      <c r="I116" s="67" t="n">
        <f aca="false">G116-K116</f>
        <v>22407293.931923</v>
      </c>
      <c r="J116" s="153" t="n">
        <v>4862025.35199938</v>
      </c>
      <c r="K116" s="153" t="n">
        <v>4716164.59143939</v>
      </c>
      <c r="L116" s="67" t="n">
        <f aca="false">H116-I116</f>
        <v>1047029.90418211</v>
      </c>
      <c r="M116" s="67" t="n">
        <f aca="false">J116-K116</f>
        <v>145860.76055999</v>
      </c>
      <c r="N116" s="153" t="n">
        <v>2767590.98997017</v>
      </c>
      <c r="O116" s="7"/>
      <c r="P116" s="7"/>
      <c r="Q116" s="67" t="n">
        <f aca="false">I116*5.5017049523</f>
        <v>123278319.992903</v>
      </c>
      <c r="R116" s="67"/>
      <c r="S116" s="67"/>
      <c r="T116" s="7"/>
      <c r="U116" s="7"/>
      <c r="V116" s="67" t="n">
        <f aca="false">K116*5.5017049523</f>
        <v>25946946.088584</v>
      </c>
      <c r="W116" s="67" t="n">
        <f aca="false">M116*5.5017049523</f>
        <v>802482.868719142</v>
      </c>
      <c r="X116" s="67" t="n">
        <f aca="false">N116*5.1890047538+L116*5.5017049523</f>
        <v>20121492.4125742</v>
      </c>
      <c r="Y116" s="67" t="n">
        <f aca="false">N116*5.1890047538</f>
        <v>14361042.8035293</v>
      </c>
      <c r="Z116" s="67" t="n">
        <f aca="false">L116*5.5017049523</f>
        <v>5760449.60904491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3" t="n">
        <v>28544110.1754991</v>
      </c>
      <c r="G117" s="153" t="n">
        <v>27341329.9672287</v>
      </c>
      <c r="H117" s="67" t="n">
        <f aca="false">F117-J117</f>
        <v>23537122.2204338</v>
      </c>
      <c r="I117" s="67" t="n">
        <f aca="false">G117-K117</f>
        <v>22484551.6508153</v>
      </c>
      <c r="J117" s="153" t="n">
        <v>5006987.95506531</v>
      </c>
      <c r="K117" s="153" t="n">
        <v>4856778.31641335</v>
      </c>
      <c r="L117" s="67" t="n">
        <f aca="false">H117-I117</f>
        <v>1052570.56961844</v>
      </c>
      <c r="M117" s="67" t="n">
        <f aca="false">J117-K117</f>
        <v>150209.63865196</v>
      </c>
      <c r="N117" s="153" t="n">
        <v>2753524.34169719</v>
      </c>
      <c r="O117" s="7"/>
      <c r="P117" s="7"/>
      <c r="Q117" s="67" t="n">
        <f aca="false">I117*5.5017049523</f>
        <v>123703369.167536</v>
      </c>
      <c r="R117" s="67"/>
      <c r="S117" s="67"/>
      <c r="T117" s="7"/>
      <c r="U117" s="7"/>
      <c r="V117" s="67" t="n">
        <f aca="false">K117*5.5017049523</f>
        <v>26720561.3156346</v>
      </c>
      <c r="W117" s="67" t="n">
        <f aca="false">M117*5.5017049523</f>
        <v>826409.11285468</v>
      </c>
      <c r="X117" s="67" t="n">
        <f aca="false">N117*5.1890047538+L117*5.5017049523</f>
        <v>20078983.6142857</v>
      </c>
      <c r="Y117" s="67" t="n">
        <f aca="false">N117*5.1890047538</f>
        <v>14288050.8987707</v>
      </c>
      <c r="Z117" s="67" t="n">
        <f aca="false">L117*5.5017049523</f>
        <v>5790932.71551501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P1" colorId="64" zoomScale="65" zoomScaleNormal="65" zoomScalePageLayoutView="100" workbookViewId="0">
      <selection pane="topLeft" activeCell="Y39" activeCellId="0" sqref="Y39"/>
    </sheetView>
  </sheetViews>
  <sheetFormatPr defaultColWidth="9.01953125" defaultRowHeight="12.8" zeroHeight="false" outlineLevelRow="0" outlineLevelCol="0"/>
  <cols>
    <col collapsed="false" customWidth="true" hidden="false" outlineLevel="0" max="7" min="6" style="58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58" width="17.35"/>
    <col collapsed="false" customWidth="true" hidden="false" outlineLevel="0" max="11" min="11" style="58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58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5" min="25" style="0" width="15.68"/>
  </cols>
  <sheetData>
    <row r="1" customFormat="false" ht="12.8" hidden="false" customHeight="true" outlineLevel="0" collapsed="false">
      <c r="A1" s="132"/>
      <c r="B1" s="133"/>
      <c r="C1" s="132"/>
      <c r="D1" s="132"/>
      <c r="E1" s="132"/>
      <c r="F1" s="134" t="s">
        <v>159</v>
      </c>
      <c r="G1" s="134" t="s">
        <v>160</v>
      </c>
      <c r="H1" s="132"/>
      <c r="I1" s="132"/>
      <c r="J1" s="135" t="s">
        <v>161</v>
      </c>
      <c r="K1" s="135" t="s">
        <v>162</v>
      </c>
      <c r="L1" s="132"/>
      <c r="M1" s="136"/>
      <c r="N1" s="137" t="s">
        <v>163</v>
      </c>
      <c r="O1" s="132"/>
      <c r="P1" s="133"/>
      <c r="Q1" s="132"/>
      <c r="R1" s="132"/>
      <c r="S1" s="132"/>
      <c r="T1" s="132"/>
      <c r="U1" s="133"/>
      <c r="V1" s="132"/>
      <c r="W1" s="132"/>
      <c r="X1" s="132"/>
      <c r="Y1" s="132"/>
      <c r="Z1" s="132"/>
      <c r="AA1" s="132"/>
      <c r="AB1" s="132"/>
      <c r="AC1" s="132"/>
      <c r="AD1" s="132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</row>
    <row r="2" customFormat="false" ht="12.8" hidden="false" customHeight="true" outlineLevel="0" collapsed="false">
      <c r="A2" s="132"/>
      <c r="B2" s="133"/>
      <c r="C2" s="132"/>
      <c r="D2" s="132"/>
      <c r="E2" s="132"/>
      <c r="F2" s="135" t="s">
        <v>164</v>
      </c>
      <c r="G2" s="135" t="s">
        <v>165</v>
      </c>
      <c r="H2" s="132"/>
      <c r="I2" s="132"/>
      <c r="J2" s="137"/>
      <c r="K2" s="137"/>
      <c r="L2" s="132"/>
      <c r="M2" s="136"/>
      <c r="N2" s="137" t="s">
        <v>166</v>
      </c>
      <c r="O2" s="132"/>
      <c r="P2" s="133"/>
      <c r="Q2" s="132"/>
      <c r="R2" s="132"/>
      <c r="S2" s="132"/>
      <c r="T2" s="132"/>
      <c r="U2" s="133"/>
      <c r="V2" s="132"/>
      <c r="W2" s="132"/>
      <c r="X2" s="132"/>
      <c r="Y2" s="132"/>
      <c r="Z2" s="132"/>
      <c r="AA2" s="132"/>
      <c r="AB2" s="132"/>
      <c r="AC2" s="132"/>
      <c r="AD2" s="132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</row>
    <row r="3" customFormat="false" ht="50.25" hidden="false" customHeight="true" outlineLevel="0" collapsed="false">
      <c r="A3" s="139" t="s">
        <v>167</v>
      </c>
      <c r="B3" s="140"/>
      <c r="C3" s="139" t="s">
        <v>168</v>
      </c>
      <c r="D3" s="139" t="s">
        <v>169</v>
      </c>
      <c r="E3" s="139" t="s">
        <v>170</v>
      </c>
      <c r="F3" s="141" t="s">
        <v>171</v>
      </c>
      <c r="G3" s="141" t="s">
        <v>172</v>
      </c>
      <c r="H3" s="139" t="s">
        <v>173</v>
      </c>
      <c r="I3" s="139" t="s">
        <v>174</v>
      </c>
      <c r="J3" s="141" t="s">
        <v>175</v>
      </c>
      <c r="K3" s="141" t="s">
        <v>176</v>
      </c>
      <c r="L3" s="139" t="s">
        <v>177</v>
      </c>
      <c r="M3" s="142" t="s">
        <v>178</v>
      </c>
      <c r="N3" s="141" t="s">
        <v>179</v>
      </c>
      <c r="O3" s="139" t="s">
        <v>180</v>
      </c>
      <c r="P3" s="140" t="s">
        <v>181</v>
      </c>
      <c r="Q3" s="139" t="s">
        <v>182</v>
      </c>
      <c r="R3" s="139" t="s">
        <v>183</v>
      </c>
      <c r="S3" s="139" t="s">
        <v>184</v>
      </c>
      <c r="T3" s="139" t="s">
        <v>185</v>
      </c>
      <c r="U3" s="140" t="s">
        <v>186</v>
      </c>
      <c r="V3" s="139" t="s">
        <v>187</v>
      </c>
      <c r="W3" s="139" t="s">
        <v>188</v>
      </c>
      <c r="X3" s="139" t="s">
        <v>189</v>
      </c>
      <c r="Y3" s="139" t="s">
        <v>190</v>
      </c>
      <c r="Z3" s="139" t="s">
        <v>191</v>
      </c>
      <c r="AA3" s="139"/>
      <c r="AB3" s="139"/>
      <c r="AC3" s="139"/>
      <c r="AD3" s="139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</row>
    <row r="4" customFormat="false" ht="12.8" hidden="false" customHeight="false" outlineLevel="0" collapsed="false">
      <c r="A4" s="144" t="s">
        <v>192</v>
      </c>
      <c r="B4" s="145"/>
      <c r="C4" s="144" t="n">
        <v>2014</v>
      </c>
      <c r="D4" s="144" t="n">
        <v>1</v>
      </c>
      <c r="E4" s="144" t="n">
        <v>1005</v>
      </c>
      <c r="F4" s="146" t="n">
        <v>13919743</v>
      </c>
      <c r="G4" s="146" t="n">
        <v>13367098</v>
      </c>
      <c r="H4" s="147" t="n">
        <f aca="false">F4-J4</f>
        <v>13919743</v>
      </c>
      <c r="I4" s="147" t="n">
        <f aca="false">G4-K4</f>
        <v>13367098</v>
      </c>
      <c r="J4" s="148"/>
      <c r="K4" s="148"/>
      <c r="L4" s="147" t="n">
        <f aca="false">H4-I4</f>
        <v>552645</v>
      </c>
      <c r="M4" s="147" t="n">
        <f aca="false">J4-K4</f>
        <v>0</v>
      </c>
      <c r="N4" s="146" t="n">
        <v>2431521</v>
      </c>
      <c r="O4" s="149" t="n">
        <v>68064666.1181856</v>
      </c>
      <c r="P4" s="144" t="n">
        <f aca="false">O4/I4</f>
        <v>5.09195534574412</v>
      </c>
      <c r="Q4" s="147" t="n">
        <f aca="false">I4*5.5017049523</f>
        <v>73541829.2644794</v>
      </c>
      <c r="R4" s="147" t="n">
        <v>11018747.8054275</v>
      </c>
      <c r="S4" s="147" t="n">
        <v>2463940.91347832</v>
      </c>
      <c r="T4" s="149" t="n">
        <v>13733232.3112091</v>
      </c>
      <c r="U4" s="144" t="n">
        <f aca="false">R4/N4</f>
        <v>4.53162765422445</v>
      </c>
      <c r="V4" s="145"/>
      <c r="W4" s="145"/>
      <c r="X4" s="147" t="n">
        <f aca="false">N4*U12+L4*P13</f>
        <v>15657663.7612308</v>
      </c>
      <c r="Y4" s="147" t="n">
        <f aca="false">N4*5.1890047538</f>
        <v>12617174.0279645</v>
      </c>
      <c r="Z4" s="147" t="n">
        <f aca="false">L4*5.5017049523</f>
        <v>3040489.73336383</v>
      </c>
      <c r="AA4" s="147"/>
      <c r="AB4" s="147"/>
      <c r="AC4" s="147"/>
      <c r="AD4" s="147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</row>
    <row r="5" customFormat="false" ht="12.8" hidden="false" customHeight="false" outlineLevel="0" collapsed="false">
      <c r="B5" s="145"/>
      <c r="C5" s="144" t="n">
        <v>2014</v>
      </c>
      <c r="D5" s="144" t="n">
        <v>2</v>
      </c>
      <c r="E5" s="144" t="n">
        <v>1004</v>
      </c>
      <c r="F5" s="146" t="n">
        <v>14482790</v>
      </c>
      <c r="G5" s="146" t="n">
        <v>13911325</v>
      </c>
      <c r="H5" s="147" t="n">
        <f aca="false">F5-J5</f>
        <v>14482790</v>
      </c>
      <c r="I5" s="147" t="n">
        <f aca="false">G5-K5</f>
        <v>13911325</v>
      </c>
      <c r="J5" s="148"/>
      <c r="K5" s="148"/>
      <c r="L5" s="147" t="n">
        <f aca="false">H5-I5</f>
        <v>571465</v>
      </c>
      <c r="M5" s="147" t="n">
        <f aca="false">J5-K5</f>
        <v>0</v>
      </c>
      <c r="N5" s="146" t="n">
        <v>2156056</v>
      </c>
      <c r="O5" s="149" t="n">
        <v>80470827.8892677</v>
      </c>
      <c r="P5" s="144" t="n">
        <f aca="false">O5/I5</f>
        <v>5.78455523749662</v>
      </c>
      <c r="Q5" s="147" t="n">
        <f aca="false">I5*5.5017049523</f>
        <v>76536005.6455548</v>
      </c>
      <c r="R5" s="147" t="n">
        <v>13090128.797517</v>
      </c>
      <c r="S5" s="147" t="n">
        <v>2913043.96959149</v>
      </c>
      <c r="T5" s="149" t="n">
        <v>16270046.9661959</v>
      </c>
      <c r="U5" s="144" t="n">
        <f aca="false">R5/N5</f>
        <v>6.07133061363759</v>
      </c>
      <c r="V5" s="145"/>
      <c r="W5" s="145"/>
      <c r="X5" s="147" t="n">
        <f aca="false">N5*5.1890047538+L5*5.5017049523</f>
        <v>14331816.6540251</v>
      </c>
      <c r="Y5" s="147" t="n">
        <f aca="false">N5*5.1890047538</f>
        <v>11187784.833459</v>
      </c>
      <c r="Z5" s="147" t="n">
        <f aca="false">L5*5.5017049523</f>
        <v>3144031.82056612</v>
      </c>
      <c r="AA5" s="147"/>
      <c r="AB5" s="147"/>
      <c r="AC5" s="147"/>
      <c r="AD5" s="147"/>
    </row>
    <row r="6" customFormat="false" ht="12.8" hidden="false" customHeight="false" outlineLevel="0" collapsed="false">
      <c r="B6" s="145"/>
      <c r="C6" s="144" t="n">
        <v>2014</v>
      </c>
      <c r="D6" s="144" t="n">
        <v>3</v>
      </c>
      <c r="E6" s="144" t="n">
        <v>1003</v>
      </c>
      <c r="F6" s="146" t="n">
        <v>15149966</v>
      </c>
      <c r="G6" s="146" t="n">
        <v>14531608</v>
      </c>
      <c r="H6" s="147" t="n">
        <f aca="false">F6-J6</f>
        <v>15149966</v>
      </c>
      <c r="I6" s="147" t="n">
        <f aca="false">G6-K6</f>
        <v>14531608</v>
      </c>
      <c r="J6" s="148"/>
      <c r="K6" s="148"/>
      <c r="L6" s="147" t="n">
        <f aca="false">H6-I6</f>
        <v>618358</v>
      </c>
      <c r="M6" s="147" t="n">
        <f aca="false">J6-K6</f>
        <v>0</v>
      </c>
      <c r="N6" s="146" t="n">
        <v>2697106</v>
      </c>
      <c r="O6" s="149" t="n">
        <v>71025009.1540406</v>
      </c>
      <c r="P6" s="144" t="n">
        <f aca="false">O6/I6</f>
        <v>4.88762215124717</v>
      </c>
      <c r="Q6" s="147" t="n">
        <f aca="false">I6*5.5017049523</f>
        <v>79948619.6984823</v>
      </c>
      <c r="R6" s="147" t="n">
        <v>13303482.9648562</v>
      </c>
      <c r="S6" s="147" t="n">
        <v>2571105.33137627</v>
      </c>
      <c r="T6" s="149" t="n">
        <v>17670963.688597</v>
      </c>
      <c r="U6" s="144" t="n">
        <f aca="false">R6/N6</f>
        <v>4.93250282519716</v>
      </c>
      <c r="V6" s="145"/>
      <c r="W6" s="145"/>
      <c r="X6" s="147" t="n">
        <f aca="false">N6*5.1890047538+L6*5.5017049523</f>
        <v>17397319.1263968</v>
      </c>
      <c r="Y6" s="147" t="n">
        <f aca="false">N6*5.1890047538</f>
        <v>13995295.8555025</v>
      </c>
      <c r="Z6" s="147" t="n">
        <f aca="false">L6*5.5017049523</f>
        <v>3402023.27089432</v>
      </c>
      <c r="AA6" s="147"/>
      <c r="AB6" s="147"/>
      <c r="AC6" s="147"/>
      <c r="AD6" s="147"/>
    </row>
    <row r="7" customFormat="false" ht="12.8" hidden="false" customHeight="false" outlineLevel="0" collapsed="false">
      <c r="C7" s="144" t="n">
        <v>2014</v>
      </c>
      <c r="D7" s="144" t="n">
        <v>4</v>
      </c>
      <c r="E7" s="144" t="n">
        <v>160</v>
      </c>
      <c r="F7" s="146" t="n">
        <v>15745971</v>
      </c>
      <c r="G7" s="146" t="n">
        <v>15148486</v>
      </c>
      <c r="H7" s="147" t="n">
        <f aca="false">F7-J7</f>
        <v>15745971</v>
      </c>
      <c r="I7" s="147" t="n">
        <f aca="false">G7-K7</f>
        <v>15148486</v>
      </c>
      <c r="J7" s="148"/>
      <c r="K7" s="148"/>
      <c r="L7" s="147" t="n">
        <f aca="false">H7-I7</f>
        <v>597485</v>
      </c>
      <c r="M7" s="147" t="n">
        <f aca="false">J7-K7</f>
        <v>0</v>
      </c>
      <c r="N7" s="146" t="n">
        <v>2598761</v>
      </c>
      <c r="O7" s="149" t="n">
        <v>90838150.786</v>
      </c>
      <c r="P7" s="144" t="n">
        <f aca="false">O7/I7</f>
        <v>5.99651679950062</v>
      </c>
      <c r="Q7" s="147" t="n">
        <f aca="false">I7*5.5017049523</f>
        <v>83342500.4460472</v>
      </c>
      <c r="R7" s="147" t="n">
        <v>12713686.068</v>
      </c>
      <c r="S7" s="147" t="n">
        <v>3288341.0584532</v>
      </c>
      <c r="T7" s="149" t="n">
        <v>17161490.7544532</v>
      </c>
      <c r="U7" s="144" t="n">
        <f aca="false">R7/N7</f>
        <v>4.89221058342803</v>
      </c>
      <c r="V7" s="145"/>
      <c r="W7" s="145"/>
      <c r="X7" s="147" t="n">
        <f aca="false">N7*5.1890047538+L7*5.5017049523</f>
        <v>16772169.366415</v>
      </c>
      <c r="Y7" s="147" t="n">
        <f aca="false">N7*5.1890047538</f>
        <v>13484983.18299</v>
      </c>
      <c r="Z7" s="147" t="n">
        <f aca="false">L7*5.5017049523</f>
        <v>3287186.18342497</v>
      </c>
      <c r="AA7" s="147"/>
      <c r="AB7" s="147"/>
      <c r="AC7" s="147"/>
      <c r="AD7" s="147"/>
    </row>
    <row r="8" customFormat="false" ht="12.8" hidden="false" customHeight="false" outlineLevel="0" collapsed="false">
      <c r="B8" s="145"/>
      <c r="C8" s="144" t="n">
        <f aca="false">C4+1</f>
        <v>2015</v>
      </c>
      <c r="D8" s="144" t="n">
        <f aca="false">D4</f>
        <v>1</v>
      </c>
      <c r="E8" s="144" t="n">
        <v>1001</v>
      </c>
      <c r="F8" s="146" t="n">
        <v>16507879</v>
      </c>
      <c r="G8" s="146" t="n">
        <v>15853349</v>
      </c>
      <c r="H8" s="147" t="n">
        <f aca="false">F8-J8</f>
        <v>16507879</v>
      </c>
      <c r="I8" s="147" t="n">
        <f aca="false">G8-K8</f>
        <v>15853349</v>
      </c>
      <c r="J8" s="148"/>
      <c r="K8" s="148"/>
      <c r="L8" s="147" t="n">
        <f aca="false">H8-I8</f>
        <v>654530</v>
      </c>
      <c r="M8" s="147" t="n">
        <f aca="false">J8-K8</f>
        <v>0</v>
      </c>
      <c r="N8" s="146" t="n">
        <v>3002195</v>
      </c>
      <c r="O8" s="149" t="n">
        <v>81897043.9675653</v>
      </c>
      <c r="P8" s="144" t="n">
        <f aca="false">O8/I8</f>
        <v>5.16591440506137</v>
      </c>
      <c r="Q8" s="147" t="n">
        <f aca="false">I8*5.5017049523</f>
        <v>87220448.7038403</v>
      </c>
      <c r="R8" s="147" t="n">
        <v>13986686.083894</v>
      </c>
      <c r="S8" s="147" t="n">
        <v>2964672.99162586</v>
      </c>
      <c r="T8" s="149" t="n">
        <v>18231627.4986104</v>
      </c>
      <c r="U8" s="144" t="n">
        <f aca="false">R8/N8</f>
        <v>4.65881999133767</v>
      </c>
      <c r="V8" s="145"/>
      <c r="W8" s="145"/>
      <c r="X8" s="147" t="n">
        <f aca="false">N8*5.1890047538+L8*5.5017049523</f>
        <v>19179435.0692635</v>
      </c>
      <c r="Y8" s="147" t="n">
        <f aca="false">N8*5.1890047538</f>
        <v>15578404.1268346</v>
      </c>
      <c r="Z8" s="147" t="n">
        <f aca="false">L8*5.5017049523</f>
        <v>3601030.94242892</v>
      </c>
      <c r="AA8" s="147"/>
      <c r="AB8" s="147"/>
      <c r="AC8" s="147"/>
      <c r="AD8" s="147"/>
    </row>
    <row r="9" customFormat="false" ht="12.8" hidden="false" customHeight="false" outlineLevel="0" collapsed="false">
      <c r="B9" s="145"/>
      <c r="C9" s="144" t="n">
        <f aca="false">C5+1</f>
        <v>2015</v>
      </c>
      <c r="D9" s="144" t="n">
        <f aca="false">D5</f>
        <v>2</v>
      </c>
      <c r="E9" s="144" t="n">
        <v>1000</v>
      </c>
      <c r="F9" s="146" t="n">
        <v>17877475</v>
      </c>
      <c r="G9" s="146" t="n">
        <v>17180984</v>
      </c>
      <c r="H9" s="147" t="n">
        <f aca="false">F9-J9</f>
        <v>17877475</v>
      </c>
      <c r="I9" s="147" t="n">
        <f aca="false">G9-K9</f>
        <v>17180984</v>
      </c>
      <c r="J9" s="148"/>
      <c r="K9" s="148"/>
      <c r="L9" s="147" t="n">
        <f aca="false">H9-I9</f>
        <v>696491</v>
      </c>
      <c r="M9" s="147" t="n">
        <f aca="false">J9-K9</f>
        <v>0</v>
      </c>
      <c r="N9" s="146" t="n">
        <v>2371185</v>
      </c>
      <c r="O9" s="149" t="n">
        <v>104523364.336654</v>
      </c>
      <c r="P9" s="144" t="n">
        <f aca="false">O9/I9</f>
        <v>6.08366577471081</v>
      </c>
      <c r="Q9" s="147" t="n">
        <f aca="false">I9*5.5017049523</f>
        <v>94524704.7581871</v>
      </c>
      <c r="R9" s="147" t="n">
        <v>14339828.6769147</v>
      </c>
      <c r="S9" s="147" t="n">
        <v>3783745.78898687</v>
      </c>
      <c r="T9" s="149" t="n">
        <v>19687951.5296409</v>
      </c>
      <c r="U9" s="144" t="n">
        <f aca="false">R9/N9</f>
        <v>6.04753685474339</v>
      </c>
      <c r="V9" s="145"/>
      <c r="W9" s="145"/>
      <c r="X9" s="147" t="n">
        <f aca="false">N9*5.1890047538+L9*5.5017049523</f>
        <v>16135978.2210716</v>
      </c>
      <c r="Y9" s="147" t="n">
        <f aca="false">N9*5.1890047538</f>
        <v>12304090.2371393</v>
      </c>
      <c r="Z9" s="147" t="n">
        <f aca="false">L9*5.5017049523</f>
        <v>3831887.98393238</v>
      </c>
      <c r="AA9" s="147"/>
      <c r="AB9" s="147"/>
      <c r="AC9" s="147"/>
      <c r="AD9" s="147"/>
    </row>
    <row r="10" customFormat="false" ht="12.8" hidden="false" customHeight="false" outlineLevel="0" collapsed="false">
      <c r="B10" s="145"/>
      <c r="C10" s="144" t="n">
        <v>2016</v>
      </c>
      <c r="D10" s="144" t="n">
        <v>2</v>
      </c>
      <c r="E10" s="144" t="n">
        <v>996</v>
      </c>
      <c r="F10" s="146" t="n">
        <v>18529945</v>
      </c>
      <c r="G10" s="146" t="n">
        <v>17797215</v>
      </c>
      <c r="H10" s="147" t="n">
        <f aca="false">F10-J10</f>
        <v>18529945</v>
      </c>
      <c r="I10" s="147" t="n">
        <f aca="false">G10-K10</f>
        <v>17797215</v>
      </c>
      <c r="J10" s="148"/>
      <c r="K10" s="148"/>
      <c r="L10" s="147" t="n">
        <f aca="false">H10-I10</f>
        <v>732730</v>
      </c>
      <c r="M10" s="147" t="n">
        <f aca="false">J10-K10</f>
        <v>0</v>
      </c>
      <c r="N10" s="148"/>
      <c r="O10" s="145"/>
      <c r="P10" s="145"/>
      <c r="Q10" s="147" t="n">
        <f aca="false">I10*5.5017049523</f>
        <v>97915025.9026478</v>
      </c>
      <c r="R10" s="147"/>
      <c r="S10" s="147"/>
      <c r="T10" s="145"/>
      <c r="U10" s="145"/>
      <c r="V10" s="145"/>
      <c r="W10" s="145"/>
      <c r="X10" s="147"/>
      <c r="Y10" s="147"/>
      <c r="Z10" s="147"/>
      <c r="AA10" s="147"/>
      <c r="AB10" s="147"/>
      <c r="AC10" s="147"/>
      <c r="AD10" s="147"/>
    </row>
    <row r="11" customFormat="false" ht="12.8" hidden="false" customHeight="false" outlineLevel="0" collapsed="false">
      <c r="B11" s="145"/>
      <c r="C11" s="144" t="n">
        <v>2016</v>
      </c>
      <c r="D11" s="144" t="n">
        <v>3</v>
      </c>
      <c r="E11" s="144" t="n">
        <v>995</v>
      </c>
      <c r="F11" s="146" t="n">
        <v>19118239</v>
      </c>
      <c r="G11" s="146" t="n">
        <v>18342944</v>
      </c>
      <c r="H11" s="147" t="n">
        <f aca="false">F11-J11</f>
        <v>19118239</v>
      </c>
      <c r="I11" s="147" t="n">
        <f aca="false">G11-K11</f>
        <v>18342944</v>
      </c>
      <c r="J11" s="148"/>
      <c r="K11" s="148"/>
      <c r="L11" s="147" t="n">
        <f aca="false">H11-I11</f>
        <v>775295</v>
      </c>
      <c r="M11" s="147" t="n">
        <f aca="false">J11-K11</f>
        <v>0</v>
      </c>
      <c r="N11" s="148"/>
      <c r="O11" s="145"/>
      <c r="P11" s="145"/>
      <c r="Q11" s="147" t="n">
        <f aca="false">I11*5.5017049523</f>
        <v>100917465.844562</v>
      </c>
      <c r="R11" s="147"/>
      <c r="S11" s="147"/>
      <c r="T11" s="145"/>
      <c r="U11" s="145"/>
      <c r="V11" s="145"/>
      <c r="W11" s="145"/>
      <c r="X11" s="147"/>
      <c r="Y11" s="147"/>
      <c r="Z11" s="147"/>
      <c r="AA11" s="147"/>
      <c r="AB11" s="147"/>
      <c r="AC11" s="147"/>
      <c r="AD11" s="147"/>
    </row>
    <row r="12" customFormat="false" ht="12.8" hidden="false" customHeight="false" outlineLevel="0" collapsed="false">
      <c r="B12" s="145"/>
      <c r="C12" s="144" t="n">
        <v>2016</v>
      </c>
      <c r="D12" s="144" t="n">
        <v>4</v>
      </c>
      <c r="E12" s="144" t="n">
        <v>994</v>
      </c>
      <c r="F12" s="146" t="n">
        <v>20592277</v>
      </c>
      <c r="G12" s="146" t="n">
        <v>19759371</v>
      </c>
      <c r="H12" s="147" t="n">
        <f aca="false">F12-J12</f>
        <v>20592277</v>
      </c>
      <c r="I12" s="147" t="n">
        <f aca="false">G12-K12</f>
        <v>19759371</v>
      </c>
      <c r="J12" s="148"/>
      <c r="K12" s="148"/>
      <c r="L12" s="147" t="n">
        <f aca="false">H12-I12</f>
        <v>832906</v>
      </c>
      <c r="M12" s="147" t="n">
        <f aca="false">J12-K12</f>
        <v>0</v>
      </c>
      <c r="N12" s="148"/>
      <c r="O12" s="145"/>
      <c r="P12" s="145" t="s">
        <v>193</v>
      </c>
      <c r="Q12" s="147" t="n">
        <f aca="false">I12*5.5017049523</f>
        <v>108710229.285033</v>
      </c>
      <c r="R12" s="147"/>
      <c r="S12" s="147"/>
      <c r="T12" s="145"/>
      <c r="U12" s="144" t="n">
        <f aca="false">AVERAGE(U4:U9)</f>
        <v>5.18900475376138</v>
      </c>
      <c r="V12" s="145"/>
      <c r="W12" s="145"/>
      <c r="X12" s="147"/>
      <c r="Y12" s="147"/>
      <c r="Z12" s="147"/>
      <c r="AA12" s="147"/>
      <c r="AB12" s="147"/>
      <c r="AC12" s="147"/>
      <c r="AD12" s="147"/>
    </row>
    <row r="13" customFormat="false" ht="12.8" hidden="false" customHeight="false" outlineLevel="0" collapsed="false">
      <c r="B13" s="145"/>
      <c r="C13" s="144" t="n">
        <v>2017</v>
      </c>
      <c r="D13" s="144" t="n">
        <v>1</v>
      </c>
      <c r="E13" s="144" t="n">
        <v>993</v>
      </c>
      <c r="F13" s="146" t="n">
        <v>20242858</v>
      </c>
      <c r="G13" s="146" t="n">
        <v>19409870</v>
      </c>
      <c r="H13" s="147" t="n">
        <f aca="false">F13-J13</f>
        <v>20242858</v>
      </c>
      <c r="I13" s="147" t="n">
        <f aca="false">G13-K13</f>
        <v>19409870</v>
      </c>
      <c r="J13" s="148"/>
      <c r="K13" s="148"/>
      <c r="L13" s="147" t="n">
        <f aca="false">H13-I13</f>
        <v>832988</v>
      </c>
      <c r="M13" s="147" t="n">
        <f aca="false">J13-K13</f>
        <v>0</v>
      </c>
      <c r="N13" s="148"/>
      <c r="O13" s="145"/>
      <c r="P13" s="144" t="n">
        <f aca="false">AVERAGE(P4:P9)</f>
        <v>5.50170495229345</v>
      </c>
      <c r="Q13" s="147" t="n">
        <f aca="false">I13*5.5017049523</f>
        <v>106787377.902499</v>
      </c>
      <c r="R13" s="147"/>
      <c r="S13" s="147"/>
      <c r="T13" s="145"/>
      <c r="U13" s="145"/>
      <c r="V13" s="145"/>
      <c r="W13" s="145"/>
      <c r="X13" s="147"/>
      <c r="Y13" s="147"/>
      <c r="Z13" s="147"/>
      <c r="AA13" s="147"/>
      <c r="AB13" s="147"/>
      <c r="AC13" s="147"/>
      <c r="AD13" s="147"/>
    </row>
    <row r="14" customFormat="false" ht="12.8" hidden="false" customHeight="false" outlineLevel="0" collapsed="false">
      <c r="A14" s="65" t="s">
        <v>194</v>
      </c>
      <c r="B14" s="5"/>
      <c r="C14" s="65" t="n">
        <v>2015</v>
      </c>
      <c r="D14" s="65" t="n">
        <v>1</v>
      </c>
      <c r="E14" s="65" t="n">
        <v>161</v>
      </c>
      <c r="F14" s="150" t="n">
        <v>17715091.2971215</v>
      </c>
      <c r="G14" s="150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1" t="n">
        <v>0</v>
      </c>
      <c r="K14" s="151" t="n">
        <v>0</v>
      </c>
      <c r="L14" s="8" t="n">
        <f aca="false">H14-I14</f>
        <v>691939.443819597</v>
      </c>
      <c r="M14" s="8" t="n">
        <f aca="false">J14-K14</f>
        <v>0</v>
      </c>
      <c r="N14" s="151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8"/>
      <c r="AB14" s="8"/>
      <c r="AC14" s="8"/>
      <c r="AD14" s="8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2" t="n">
        <v>20422747.1350974</v>
      </c>
      <c r="G15" s="152" t="n"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3" t="n">
        <v>0</v>
      </c>
      <c r="K15" s="153" t="n">
        <v>0</v>
      </c>
      <c r="L15" s="67" t="n">
        <f aca="false">H15-I15</f>
        <v>799976.431236599</v>
      </c>
      <c r="M15" s="67" t="n">
        <f aca="false">J15-K15</f>
        <v>0</v>
      </c>
      <c r="N15" s="153" t="n"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17260864.0964791</v>
      </c>
      <c r="Y15" s="67" t="n">
        <f aca="false">N15*5.1890047538</f>
        <v>12859629.8030215</v>
      </c>
      <c r="Z15" s="67" t="n">
        <f aca="false">L15*5.5017049523</f>
        <v>4401234.29345768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2" t="n">
        <v>19803746.8364793</v>
      </c>
      <c r="G16" s="152" t="n"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3" t="n">
        <v>0</v>
      </c>
      <c r="K16" s="153" t="n">
        <v>0</v>
      </c>
      <c r="L16" s="67" t="n">
        <f aca="false">H16-I16</f>
        <v>777485.531692199</v>
      </c>
      <c r="M16" s="67" t="n">
        <f aca="false">J16-K16</f>
        <v>0</v>
      </c>
      <c r="N16" s="153" t="n">
        <v>2919136.76234831</v>
      </c>
      <c r="O16" s="154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4" t="n">
        <v>22190060.6351791</v>
      </c>
      <c r="U16" s="7" t="n">
        <f aca="false">R22/N16</f>
        <v>7.11783128484033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19424910.5368703</v>
      </c>
      <c r="Y16" s="67" t="n">
        <f aca="false">N16*5.1890047538</f>
        <v>15147414.5368177</v>
      </c>
      <c r="Z16" s="67" t="n">
        <f aca="false">L16*5.5017049523</f>
        <v>4277496.00005257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2" t="n">
        <v>21428421.3166265</v>
      </c>
      <c r="G17" s="152" t="n">
        <v>20585938.194183</v>
      </c>
      <c r="H17" s="67" t="n">
        <f aca="false">F17-J17</f>
        <v>21428421.3166265</v>
      </c>
      <c r="I17" s="67" t="n">
        <f aca="false">G17-K17</f>
        <v>20585938.194183</v>
      </c>
      <c r="J17" s="153" t="n">
        <v>0</v>
      </c>
      <c r="K17" s="153" t="n">
        <v>0</v>
      </c>
      <c r="L17" s="67" t="n">
        <f aca="false">H17-I17</f>
        <v>842483.122443501</v>
      </c>
      <c r="M17" s="67" t="n">
        <f aca="false">J17-K17</f>
        <v>0</v>
      </c>
      <c r="N17" s="153" t="n">
        <v>2757062.56989139</v>
      </c>
      <c r="O17" s="154" t="n">
        <v>111875162.875528</v>
      </c>
      <c r="Q17" s="67" t="n">
        <f aca="false">I17*5.5017049523</f>
        <v>113257758.110678</v>
      </c>
      <c r="R17" s="67" t="n">
        <v>16337001.0457356</v>
      </c>
      <c r="S17" s="67" t="n">
        <v>4049880.89609411</v>
      </c>
      <c r="T17" s="15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18941504.348667</v>
      </c>
      <c r="Y17" s="67" t="n">
        <f aca="false">N17*5.1890047538</f>
        <v>14306410.7816905</v>
      </c>
      <c r="Z17" s="67" t="n">
        <f aca="false">L17*5.5017049523</f>
        <v>4635093.56697658</v>
      </c>
      <c r="AA17" s="67"/>
      <c r="AB17" s="67"/>
      <c r="AC17" s="67"/>
      <c r="AD17" s="67"/>
    </row>
    <row r="18" customFormat="false" ht="12.8" hidden="false" customHeight="false" outlineLevel="0" collapsed="false">
      <c r="A18" s="65"/>
      <c r="B18" s="5"/>
      <c r="C18" s="65" t="n">
        <f aca="false">C14+1</f>
        <v>2016</v>
      </c>
      <c r="D18" s="65" t="n">
        <f aca="false">D14</f>
        <v>1</v>
      </c>
      <c r="E18" s="65" t="n">
        <v>165</v>
      </c>
      <c r="F18" s="150" t="n">
        <v>18797781.9121755</v>
      </c>
      <c r="G18" s="150" t="n"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1" t="n">
        <v>0</v>
      </c>
      <c r="K18" s="151" t="n">
        <v>0</v>
      </c>
      <c r="L18" s="8" t="n">
        <f aca="false">H18-I18</f>
        <v>737462.751726598</v>
      </c>
      <c r="M18" s="8" t="n">
        <f aca="false">J18-K18</f>
        <v>0</v>
      </c>
      <c r="N18" s="151" t="n">
        <v>2795658.97722293</v>
      </c>
      <c r="O18" s="155" t="n">
        <v>91414555.2301573</v>
      </c>
      <c r="P18" s="5"/>
      <c r="Q18" s="8" t="n">
        <f aca="false">I18*5.5017049523</f>
        <v>99362547.3651603</v>
      </c>
      <c r="R18" s="8" t="n">
        <v>17527446.3296216</v>
      </c>
      <c r="S18" s="8" t="n">
        <v>3309206.89933169</v>
      </c>
      <c r="T18" s="15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18563990.1961244</v>
      </c>
      <c r="Y18" s="8" t="n">
        <f aca="false">N18*5.1890047538</f>
        <v>14506687.7228134</v>
      </c>
      <c r="Z18" s="8" t="n">
        <f aca="false">L18*5.5017049523</f>
        <v>4057302.47331101</v>
      </c>
      <c r="AA18" s="8"/>
      <c r="AB18" s="8"/>
      <c r="AC18" s="8"/>
      <c r="AD18" s="8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2" t="n">
        <v>19382726.663389</v>
      </c>
      <c r="G19" s="152" t="n">
        <v>18620395.5505172</v>
      </c>
      <c r="H19" s="67" t="n">
        <f aca="false">F19-J19</f>
        <v>19382726.663389</v>
      </c>
      <c r="I19" s="67" t="n">
        <f aca="false">G19-K19</f>
        <v>18620395.5505172</v>
      </c>
      <c r="J19" s="153" t="n">
        <v>0</v>
      </c>
      <c r="K19" s="153" t="n">
        <v>0</v>
      </c>
      <c r="L19" s="67" t="n">
        <f aca="false">H19-I19</f>
        <v>762331.1128718</v>
      </c>
      <c r="M19" s="67" t="n">
        <f aca="false">J19-K19</f>
        <v>0</v>
      </c>
      <c r="N19" s="153" t="n">
        <v>2828183.68633319</v>
      </c>
      <c r="O19" s="154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4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18869579.4519817</v>
      </c>
      <c r="Y19" s="67" t="n">
        <f aca="false">N19*5.1890047538</f>
        <v>14675458.5930025</v>
      </c>
      <c r="Z19" s="67" t="n">
        <f aca="false">L19*5.5017049523</f>
        <v>4194120.85897915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3" t="n">
        <v>18504303.1925063</v>
      </c>
      <c r="G20" s="153" t="n"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3" t="n">
        <v>0</v>
      </c>
      <c r="K20" s="153" t="n">
        <v>0</v>
      </c>
      <c r="L20" s="67" t="n">
        <f aca="false">H20-I20</f>
        <v>730280.3389313</v>
      </c>
      <c r="M20" s="67" t="n">
        <f aca="false">J20-K20</f>
        <v>0</v>
      </c>
      <c r="N20" s="153" t="n">
        <v>2477813.00409058</v>
      </c>
      <c r="O20" s="154" t="n">
        <v>90764685.8571572</v>
      </c>
      <c r="P20" s="7" t="n">
        <v>5.43</v>
      </c>
      <c r="Q20" s="67" t="n">
        <f aca="false">I20*5.5017049523</f>
        <v>97787429.555807</v>
      </c>
      <c r="R20" s="67" t="n">
        <v>16989362.3248539</v>
      </c>
      <c r="S20" s="67" t="n">
        <v>3285681.62802909</v>
      </c>
      <c r="T20" s="154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16875170.4145191</v>
      </c>
      <c r="Y20" s="67" t="n">
        <f aca="false">N20*5.1890047538</f>
        <v>12857383.4572535</v>
      </c>
      <c r="Z20" s="67" t="n">
        <f aca="false">L20*5.5017049523</f>
        <v>4017786.95726565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3" t="n">
        <v>20255770.5244997</v>
      </c>
      <c r="G21" s="153" t="n">
        <v>19454044.6742435</v>
      </c>
      <c r="H21" s="67" t="n">
        <f aca="false">F21-J21</f>
        <v>20218322.2317033</v>
      </c>
      <c r="I21" s="67" t="n">
        <f aca="false">G21-K21</f>
        <v>19417719.830231</v>
      </c>
      <c r="J21" s="153" t="n">
        <v>37448.2927964077</v>
      </c>
      <c r="K21" s="153" t="n">
        <v>36324.8440125154</v>
      </c>
      <c r="L21" s="67" t="n">
        <f aca="false">H21-I21</f>
        <v>800602.401472308</v>
      </c>
      <c r="M21" s="67" t="n">
        <f aca="false">J21-K21</f>
        <v>1123.4487838923</v>
      </c>
      <c r="N21" s="153" t="n">
        <v>3910348.4398605</v>
      </c>
      <c r="O21" s="154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4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6180.88373799569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4404678.19700347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65"/>
      <c r="B22" s="5"/>
      <c r="C22" s="65" t="n">
        <f aca="false">C18+1</f>
        <v>2017</v>
      </c>
      <c r="D22" s="65" t="n">
        <f aca="false">D18</f>
        <v>1</v>
      </c>
      <c r="E22" s="65" t="n">
        <v>169</v>
      </c>
      <c r="F22" s="151" t="n">
        <v>19378703.2560285</v>
      </c>
      <c r="G22" s="151" t="n">
        <v>18611555.0477446</v>
      </c>
      <c r="H22" s="8" t="n">
        <f aca="false">F22-J22</f>
        <v>19309958.771897</v>
      </c>
      <c r="I22" s="8" t="n">
        <f aca="false">G22-K22</f>
        <v>18544872.898137</v>
      </c>
      <c r="J22" s="151" t="n">
        <v>68744.4841315014</v>
      </c>
      <c r="K22" s="151" t="n">
        <v>66682.1496075563</v>
      </c>
      <c r="L22" s="8" t="n">
        <f aca="false">H22-I22</f>
        <v>765085.873759959</v>
      </c>
      <c r="M22" s="8" t="n">
        <f aca="false">J22-K22</f>
        <v>2062.3345239451</v>
      </c>
      <c r="N22" s="151" t="n">
        <v>4299591.36744104</v>
      </c>
      <c r="O22" s="15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5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26519876.7856489</v>
      </c>
      <c r="Y22" s="8" t="n">
        <f aca="false">N22*5.1890047538</f>
        <v>22310600.045049</v>
      </c>
      <c r="Z22" s="8" t="n">
        <f aca="false">L22*5.5017049523</f>
        <v>4209276.74059994</v>
      </c>
      <c r="AA22" s="8"/>
      <c r="AB22" s="8"/>
      <c r="AC22" s="8"/>
      <c r="AD22" s="8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3" t="n">
        <v>20711369.2321362</v>
      </c>
      <c r="G23" s="153" t="n">
        <v>19889627.5289472</v>
      </c>
      <c r="H23" s="67" t="n">
        <f aca="false">F23-J23</f>
        <v>20605962.8217596</v>
      </c>
      <c r="I23" s="67" t="n">
        <f aca="false">G23-K23</f>
        <v>19787383.3108819</v>
      </c>
      <c r="J23" s="153" t="n">
        <v>105406.410376622</v>
      </c>
      <c r="K23" s="153" t="n">
        <v>102244.218065323</v>
      </c>
      <c r="L23" s="67" t="n">
        <f aca="false">H23-I23</f>
        <v>818579.510877699</v>
      </c>
      <c r="M23" s="67" t="n">
        <f aca="false">J23-K23</f>
        <v>3162.192311299</v>
      </c>
      <c r="N23" s="153" t="n">
        <v>3939404.98436416</v>
      </c>
      <c r="O23" s="154" t="n">
        <v>118311548.494431</v>
      </c>
      <c r="P23" s="7"/>
      <c r="Q23" s="67" t="n">
        <f aca="false">I23*5.5017049523</f>
        <v>108864344.754537</v>
      </c>
      <c r="R23" s="67" t="n">
        <v>18535352.9612218</v>
      </c>
      <c r="S23" s="67" t="n">
        <v>4282878.0554984</v>
      </c>
      <c r="T23" s="154" t="n">
        <v>24020927.7863425</v>
      </c>
      <c r="U23" s="7" t="n">
        <f aca="false">R23/N23</f>
        <v>4.70511486754731</v>
      </c>
      <c r="V23" s="67" t="n">
        <f aca="false">K23*5.5017049523</f>
        <v>562517.520874029</v>
      </c>
      <c r="W23" s="67" t="n">
        <f aca="false">M23*5.5017049523</f>
        <v>17397.4490991987</v>
      </c>
      <c r="X23" s="67" t="n">
        <f aca="false">N23*5.1890047538+L23*5.5017049523</f>
        <v>24945174.1398562</v>
      </c>
      <c r="Y23" s="67" t="n">
        <f aca="false">N23*5.1890047538</f>
        <v>20441591.191009</v>
      </c>
      <c r="Z23" s="67" t="n">
        <f aca="false">L23*5.5017049523</f>
        <v>4503582.94884715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3" t="n">
        <v>19898364.4949311</v>
      </c>
      <c r="G24" s="153" t="n">
        <v>19108228.3816652</v>
      </c>
      <c r="H24" s="67" t="n">
        <f aca="false">F24-J24</f>
        <v>19745296.2237905</v>
      </c>
      <c r="I24" s="67" t="n">
        <f aca="false">G24-K24</f>
        <v>18959752.1586589</v>
      </c>
      <c r="J24" s="153" t="n">
        <v>153068.271140567</v>
      </c>
      <c r="K24" s="153" t="n">
        <v>148476.22300635</v>
      </c>
      <c r="L24" s="67" t="n">
        <f aca="false">H24-I24</f>
        <v>785544.065131683</v>
      </c>
      <c r="M24" s="67" t="n">
        <f aca="false">J24-K24</f>
        <v>4592.04813421701</v>
      </c>
      <c r="N24" s="153" t="n">
        <v>3599614.55233288</v>
      </c>
      <c r="O24" s="154" t="n">
        <v>103254577.736778</v>
      </c>
      <c r="P24" s="7"/>
      <c r="Q24" s="67" t="n">
        <f aca="false">I24*5.5017049523</f>
        <v>104310962.345674</v>
      </c>
      <c r="R24" s="67" t="n">
        <v>18516776.2102264</v>
      </c>
      <c r="S24" s="67" t="n">
        <v>3737815.71407136</v>
      </c>
      <c r="T24" s="154" t="n">
        <v>24278813.7103198</v>
      </c>
      <c r="U24" s="7" t="n">
        <f aca="false">R24/N24</f>
        <v>5.14409971985079</v>
      </c>
      <c r="V24" s="67" t="n">
        <f aca="false">K24*5.5017049523</f>
        <v>816872.371412835</v>
      </c>
      <c r="W24" s="67" t="n">
        <f aca="false">M24*5.5017049523</f>
        <v>25264.0939612217</v>
      </c>
      <c r="X24" s="67" t="n">
        <f aca="false">N24*5.1890047538+L24*5.5017049523</f>
        <v>23000248.6972878</v>
      </c>
      <c r="Y24" s="67" t="n">
        <f aca="false">N24*5.1890047538</f>
        <v>18678417.023903</v>
      </c>
      <c r="Z24" s="67" t="n">
        <f aca="false">L24*5.5017049523</f>
        <v>4321831.67338485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3" t="n">
        <v>21659293.098367</v>
      </c>
      <c r="G25" s="153" t="n">
        <v>20796911.2885284</v>
      </c>
      <c r="H25" s="67" t="n">
        <f aca="false">F25-J25</f>
        <v>21463576.1140758</v>
      </c>
      <c r="I25" s="67" t="n">
        <f aca="false">G25-K25</f>
        <v>20607065.8137659</v>
      </c>
      <c r="J25" s="153" t="n">
        <v>195716.984291222</v>
      </c>
      <c r="K25" s="153" t="n">
        <v>189845.474762486</v>
      </c>
      <c r="L25" s="67" t="n">
        <f aca="false">H25-I25</f>
        <v>856510.300309863</v>
      </c>
      <c r="M25" s="67" t="n">
        <f aca="false">J25-K25</f>
        <v>5871.509528736</v>
      </c>
      <c r="N25" s="153" t="n">
        <v>4012507.36812272</v>
      </c>
      <c r="O25" s="76" t="n">
        <v>124728426.724285</v>
      </c>
      <c r="Q25" s="67" t="n">
        <f aca="false">I25*5.5017049523</f>
        <v>113373996.039968</v>
      </c>
      <c r="R25" s="67" t="n">
        <v>18747481.3987943</v>
      </c>
      <c r="S25" s="67" t="n">
        <v>4515169.04741912</v>
      </c>
      <c r="T25" s="76" t="n">
        <v>24785174.0476736</v>
      </c>
      <c r="V25" s="67" t="n">
        <f aca="false">K25*5.5017049523</f>
        <v>1044473.78867251</v>
      </c>
      <c r="W25" s="67" t="n">
        <f aca="false">M25*5.5017049523</f>
        <v>32303.3130517235</v>
      </c>
      <c r="X25" s="67" t="n">
        <f aca="false">N25*5.1890047538+L25*5.5017049523</f>
        <v>25533186.7687571</v>
      </c>
      <c r="Y25" s="67" t="n">
        <f aca="false">N25*5.1890047538</f>
        <v>20820919.8078463</v>
      </c>
      <c r="Z25" s="67" t="n">
        <f aca="false">L25*5.5017049523</f>
        <v>4712266.96091073</v>
      </c>
      <c r="AA25" s="67"/>
      <c r="AB25" s="67"/>
      <c r="AC25" s="67"/>
      <c r="AD25" s="67"/>
    </row>
    <row r="26" customFormat="false" ht="12.8" hidden="false" customHeight="false" outlineLevel="0" collapsed="false">
      <c r="A26" s="65"/>
      <c r="B26" s="5"/>
      <c r="C26" s="65" t="n">
        <f aca="false">C22+1</f>
        <v>2018</v>
      </c>
      <c r="D26" s="65" t="n">
        <f aca="false">D22</f>
        <v>1</v>
      </c>
      <c r="E26" s="65" t="n">
        <v>173</v>
      </c>
      <c r="F26" s="151" t="n">
        <v>20174391.26279</v>
      </c>
      <c r="G26" s="151" t="n">
        <v>19371112.7687214</v>
      </c>
      <c r="H26" s="8" t="n">
        <f aca="false">F26-J26</f>
        <v>19974770.1617219</v>
      </c>
      <c r="I26" s="8" t="n">
        <f aca="false">G26-K26</f>
        <v>19177480.3006854</v>
      </c>
      <c r="J26" s="151" t="n">
        <v>199621.10106806</v>
      </c>
      <c r="K26" s="151" t="n">
        <v>193632.468036018</v>
      </c>
      <c r="L26" s="8" t="n">
        <f aca="false">H26-I26</f>
        <v>797289.861036554</v>
      </c>
      <c r="M26" s="8" t="n">
        <f aca="false">J26-K26</f>
        <v>5988.63303204201</v>
      </c>
      <c r="N26" s="151" t="n"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26523936.1366116</v>
      </c>
      <c r="Y26" s="8" t="n">
        <f aca="false">N26*5.1890047538</f>
        <v>22137482.5597282</v>
      </c>
      <c r="Z26" s="8" t="n">
        <f aca="false">L26*5.5017049523</f>
        <v>4386453.57688339</v>
      </c>
      <c r="AA26" s="8"/>
      <c r="AB26" s="8"/>
      <c r="AC26" s="8"/>
      <c r="AD26" s="8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3" t="n">
        <v>20014710.2499966</v>
      </c>
      <c r="G27" s="153" t="n">
        <v>19217190.4754933</v>
      </c>
      <c r="H27" s="67" t="n">
        <f aca="false">F27-J27</f>
        <v>19796948.3514157</v>
      </c>
      <c r="I27" s="67" t="n">
        <f aca="false">G27-K27</f>
        <v>19005961.4338698</v>
      </c>
      <c r="J27" s="153" t="n">
        <v>217761.898580891</v>
      </c>
      <c r="K27" s="153" t="n">
        <v>211229.041623464</v>
      </c>
      <c r="L27" s="67" t="n">
        <f aca="false">H27-I27</f>
        <v>790986.917545874</v>
      </c>
      <c r="M27" s="67" t="n">
        <f aca="false">J27-K27</f>
        <v>6532.85695742699</v>
      </c>
      <c r="N27" s="153" t="n">
        <v>3669736.53404985</v>
      </c>
      <c r="O27" s="7"/>
      <c r="P27" s="7"/>
      <c r="Q27" s="67" t="n">
        <f aca="false">I27*5.5017049523</f>
        <v>104565192.143944</v>
      </c>
      <c r="R27" s="67"/>
      <c r="S27" s="67"/>
      <c r="T27" s="7"/>
      <c r="U27" s="7"/>
      <c r="V27" s="67" t="n">
        <f aca="false">K27*5.5017049523</f>
        <v>1162119.86436939</v>
      </c>
      <c r="W27" s="67" t="n">
        <f aca="false">M27*5.5017049523</f>
        <v>35941.8514753436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3" t="n">
        <v>19050994.9160722</v>
      </c>
      <c r="G28" s="153" t="n">
        <v>18292973.2702277</v>
      </c>
      <c r="H28" s="67" t="n">
        <f aca="false">F28-J28</f>
        <v>18815947.792848</v>
      </c>
      <c r="I28" s="67" t="n">
        <f aca="false">G28-K28</f>
        <v>18064977.5607003</v>
      </c>
      <c r="J28" s="153" t="n">
        <v>235047.123224172</v>
      </c>
      <c r="K28" s="153" t="n">
        <v>227995.709527446</v>
      </c>
      <c r="L28" s="67" t="n">
        <f aca="false">H28-I28</f>
        <v>750970.232147776</v>
      </c>
      <c r="M28" s="67" t="n">
        <f aca="false">J28-K28</f>
        <v>7051.41369672603</v>
      </c>
      <c r="N28" s="153" t="n">
        <v>3308279.04526512</v>
      </c>
      <c r="O28" s="7"/>
      <c r="P28" s="7"/>
      <c r="Q28" s="67" t="n">
        <f aca="false">I28*5.5017049523</f>
        <v>99388176.508893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38794.7976559936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3" t="n">
        <v>17490439.3900687</v>
      </c>
      <c r="G29" s="153" t="n">
        <v>16796377.2975098</v>
      </c>
      <c r="H29" s="67" t="n">
        <f aca="false">F29-J29</f>
        <v>17250048.0680316</v>
      </c>
      <c r="I29" s="67" t="n">
        <f aca="false">G29-K29</f>
        <v>16563197.7151338</v>
      </c>
      <c r="J29" s="153" t="n">
        <v>240391.322037069</v>
      </c>
      <c r="K29" s="153" t="n">
        <v>233179.582375956</v>
      </c>
      <c r="L29" s="67" t="n">
        <f aca="false">H29-I29</f>
        <v>686850.352897787</v>
      </c>
      <c r="M29" s="67" t="n">
        <f aca="false">J29-K29</f>
        <v>7211.73966111301</v>
      </c>
      <c r="N29" s="153" t="n">
        <v>3051396.7057971</v>
      </c>
      <c r="O29" s="7"/>
      <c r="P29" s="7"/>
      <c r="Q29" s="67" t="n">
        <f aca="false">I29*5.5017049523</f>
        <v>91125826.8952759</v>
      </c>
      <c r="R29" s="67"/>
      <c r="S29" s="67"/>
      <c r="T29" s="7"/>
      <c r="U29" s="7"/>
      <c r="V29" s="67" t="n">
        <f aca="false">K29*5.5017049523</f>
        <v>1282885.26313304</v>
      </c>
      <c r="W29" s="67" t="n">
        <f aca="false">M29*5.5017049523</f>
        <v>39676.8638082438</v>
      </c>
      <c r="X29" s="67" t="n">
        <f aca="false">N29*5.1890047538+L29*5.5017049523</f>
        <v>19612560.0001376</v>
      </c>
      <c r="Y29" s="67" t="n">
        <f aca="false">N29*5.1890047538</f>
        <v>15833712.0121108</v>
      </c>
      <c r="Z29" s="67" t="n">
        <f aca="false">L29*5.5017049523</f>
        <v>3778847.98802676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65"/>
      <c r="B30" s="5"/>
      <c r="C30" s="65" t="n">
        <f aca="false">C26+1</f>
        <v>2019</v>
      </c>
      <c r="D30" s="65" t="n">
        <f aca="false">D26</f>
        <v>1</v>
      </c>
      <c r="E30" s="65" t="n">
        <v>177</v>
      </c>
      <c r="F30" s="151" t="n">
        <v>17349305.2240574</v>
      </c>
      <c r="G30" s="151" t="n"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51" t="n">
        <v>195752.530770185</v>
      </c>
      <c r="K30" s="151" t="n">
        <v>189879.95484708</v>
      </c>
      <c r="L30" s="8" t="n">
        <f aca="false">H30-I30</f>
        <v>683471.593930794</v>
      </c>
      <c r="M30" s="8" t="n">
        <f aca="false">J30-K30</f>
        <v>5872.575923105</v>
      </c>
      <c r="N30" s="151" t="n"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22308447.4919884</v>
      </c>
      <c r="Y30" s="8" t="n">
        <f aca="false">N30*5.1890047538</f>
        <v>18548188.438903</v>
      </c>
      <c r="Z30" s="8" t="n">
        <f aca="false">L30*5.5017049523</f>
        <v>3760259.05308542</v>
      </c>
      <c r="AA30" s="8"/>
      <c r="AB30" s="8"/>
      <c r="AC30" s="8"/>
      <c r="AD30" s="8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3" t="n">
        <v>17520986.58392</v>
      </c>
      <c r="G31" s="153" t="n">
        <v>16823832.6850283</v>
      </c>
      <c r="H31" s="67" t="n">
        <f aca="false">F31-J31</f>
        <v>17320128.5894144</v>
      </c>
      <c r="I31" s="67" t="n">
        <f aca="false">G31-K31</f>
        <v>16629000.4303579</v>
      </c>
      <c r="J31" s="153" t="n">
        <v>200857.994505559</v>
      </c>
      <c r="K31" s="153" t="n">
        <v>194832.254670393</v>
      </c>
      <c r="L31" s="67" t="n">
        <f aca="false">H31-I31</f>
        <v>691128.159056533</v>
      </c>
      <c r="M31" s="67" t="n">
        <f aca="false">J31-K31</f>
        <v>6025.73983516599</v>
      </c>
      <c r="N31" s="153" t="n">
        <v>3250287.77850783</v>
      </c>
      <c r="O31" s="7"/>
      <c r="P31" s="7"/>
      <c r="Q31" s="67" t="n">
        <f aca="false">I31*5.5017049523</f>
        <v>91487854.0194989</v>
      </c>
      <c r="R31" s="67"/>
      <c r="S31" s="67"/>
      <c r="T31" s="7"/>
      <c r="U31" s="7"/>
      <c r="V31" s="67" t="n">
        <f aca="false">K31*5.5017049523</f>
        <v>1071909.58038788</v>
      </c>
      <c r="W31" s="67" t="n">
        <f aca="false">M31*5.5017049523</f>
        <v>33151.8426924041</v>
      </c>
      <c r="X31" s="67" t="n">
        <f aca="false">N31*5.1890047538+L31*5.5017049523</f>
        <v>20668141.9492505</v>
      </c>
      <c r="Y31" s="67" t="n">
        <f aca="false">N31*5.1890047538</f>
        <v>16865758.7338952</v>
      </c>
      <c r="Z31" s="67" t="n">
        <f aca="false">L31*5.5017049523</f>
        <v>3802383.21535531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3" t="n">
        <v>17915077.6973653</v>
      </c>
      <c r="G32" s="153" t="n">
        <v>17200747.3101925</v>
      </c>
      <c r="H32" s="67" t="n">
        <f aca="false">F32-J32</f>
        <v>17723220.7026303</v>
      </c>
      <c r="I32" s="67" t="n">
        <f aca="false">G32-K32</f>
        <v>17014646.0252995</v>
      </c>
      <c r="J32" s="153" t="n">
        <v>191856.994735014</v>
      </c>
      <c r="K32" s="153" t="n">
        <v>186101.284892964</v>
      </c>
      <c r="L32" s="67" t="n">
        <f aca="false">H32-I32</f>
        <v>708574.677330751</v>
      </c>
      <c r="M32" s="67" t="n">
        <f aca="false">J32-K32</f>
        <v>5755.70984205001</v>
      </c>
      <c r="N32" s="153" t="n">
        <v>3177620.63583764</v>
      </c>
      <c r="O32" s="7"/>
      <c r="P32" s="7"/>
      <c r="Q32" s="67" t="n">
        <f aca="false">I32*5.5017049523</f>
        <v>93609562.299022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31666.2173420084</v>
      </c>
      <c r="X32" s="67" t="n">
        <f aca="false">N32*5.1890047538+L32*5.5017049523</f>
        <v>20387057.3964795</v>
      </c>
      <c r="Y32" s="67" t="n">
        <f aca="false">N32*5.1890047538</f>
        <v>16488688.5851345</v>
      </c>
      <c r="Z32" s="67" t="n">
        <f aca="false">L32*5.5017049523</f>
        <v>3898368.81134497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3" t="n">
        <v>17719542.0514623</v>
      </c>
      <c r="G33" s="153" t="n">
        <v>17011789.1241134</v>
      </c>
      <c r="H33" s="67" t="n">
        <f aca="false">F33-J33</f>
        <v>17512877.2293108</v>
      </c>
      <c r="I33" s="67" t="n">
        <f aca="false">G33-K33</f>
        <v>16811324.2466264</v>
      </c>
      <c r="J33" s="153" t="n">
        <v>206664.82215155</v>
      </c>
      <c r="K33" s="153" t="n">
        <v>200464.877487003</v>
      </c>
      <c r="L33" s="67" t="n">
        <f aca="false">H33-I33</f>
        <v>701552.982684355</v>
      </c>
      <c r="M33" s="67" t="n">
        <f aca="false">J33-K33</f>
        <v>6199.94466454702</v>
      </c>
      <c r="N33" s="153" t="n">
        <v>3280735.81389867</v>
      </c>
      <c r="O33" s="7"/>
      <c r="P33" s="7"/>
      <c r="Q33" s="67" t="n">
        <f aca="false">I33*5.5017049523</f>
        <v>92490945.8623855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34110.2662649243</v>
      </c>
      <c r="X33" s="67" t="n">
        <f aca="false">N33*5.1890047538+L33*5.5017049523</f>
        <v>20883491.2534175</v>
      </c>
      <c r="Y33" s="67" t="n">
        <f aca="false">N33*5.1890047538</f>
        <v>17023753.7342821</v>
      </c>
      <c r="Z33" s="67" t="n">
        <f aca="false">L33*5.5017049523</f>
        <v>3859737.51913535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65"/>
      <c r="B34" s="5"/>
      <c r="C34" s="65" t="n">
        <f aca="false">C30+1</f>
        <v>2020</v>
      </c>
      <c r="D34" s="65" t="n">
        <f aca="false">D30</f>
        <v>1</v>
      </c>
      <c r="E34" s="65" t="n">
        <v>181</v>
      </c>
      <c r="F34" s="151" t="n">
        <v>18148262.1549834</v>
      </c>
      <c r="G34" s="151" t="n">
        <v>17422794.5113602</v>
      </c>
      <c r="H34" s="8" t="n">
        <f aca="false">F34-J34</f>
        <v>17914634.045567</v>
      </c>
      <c r="I34" s="8" t="n">
        <f aca="false">G34-K34</f>
        <v>17196175.2452263</v>
      </c>
      <c r="J34" s="151" t="n">
        <v>233628.109416373</v>
      </c>
      <c r="K34" s="151" t="n">
        <v>226619.266133882</v>
      </c>
      <c r="L34" s="8" t="n">
        <f aca="false">H34-I34</f>
        <v>718458.800340712</v>
      </c>
      <c r="M34" s="8" t="n">
        <f aca="false">J34-K34</f>
        <v>7008.843282491</v>
      </c>
      <c r="N34" s="151" t="n">
        <v>3554860.4242964</v>
      </c>
      <c r="O34" s="5"/>
      <c r="P34" s="5"/>
      <c r="Q34" s="8" t="n">
        <f aca="false">I34*5.5017049523</f>
        <v>94608282.5072803</v>
      </c>
      <c r="R34" s="8"/>
      <c r="S34" s="8"/>
      <c r="T34" s="5"/>
      <c r="U34" s="5"/>
      <c r="V34" s="8" t="n">
        <f aca="false">K34*5.5017049523</f>
        <v>1246792.33877537</v>
      </c>
      <c r="W34" s="8" t="n">
        <f aca="false">M34*5.5017049523</f>
        <v>38560.5877971753</v>
      </c>
      <c r="X34" s="8" t="n">
        <f aca="false">N34*5.1890047538+L34*5.5017049523</f>
        <v>22398935.9806275</v>
      </c>
      <c r="Y34" s="8" t="n">
        <f aca="false">N34*5.1890047538</f>
        <v>18446187.6407695</v>
      </c>
      <c r="Z34" s="8" t="n">
        <f aca="false">L34*5.5017049523</f>
        <v>3952748.33985801</v>
      </c>
      <c r="AA34" s="8"/>
      <c r="AB34" s="8"/>
      <c r="AC34" s="8"/>
      <c r="AD34" s="8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3" t="n">
        <v>18569231.1322003</v>
      </c>
      <c r="G35" s="153" t="n">
        <v>17826112.1271423</v>
      </c>
      <c r="H35" s="67" t="n">
        <f aca="false">F35-J35</f>
        <v>18303257.9595913</v>
      </c>
      <c r="I35" s="67" t="n">
        <f aca="false">G35-K35</f>
        <v>17568118.1497116</v>
      </c>
      <c r="J35" s="153" t="n">
        <v>265973.172608978</v>
      </c>
      <c r="K35" s="153" t="n">
        <v>257993.977430709</v>
      </c>
      <c r="L35" s="67" t="n">
        <f aca="false">H35-I35</f>
        <v>735139.809879731</v>
      </c>
      <c r="M35" s="67" t="n">
        <f aca="false">J35-K35</f>
        <v>7979.195178269</v>
      </c>
      <c r="N35" s="153" t="n">
        <v>3093033.19155661</v>
      </c>
      <c r="O35" s="7"/>
      <c r="P35" s="7"/>
      <c r="Q35" s="67" t="n">
        <f aca="false">I35*5.5017049523</f>
        <v>96654602.6268598</v>
      </c>
      <c r="R35" s="67"/>
      <c r="S35" s="67"/>
      <c r="T35" s="7"/>
      <c r="U35" s="7"/>
      <c r="V35" s="67" t="n">
        <f aca="false">K35*5.5017049523</f>
        <v>1419406.74329411</v>
      </c>
      <c r="W35" s="67" t="n">
        <f aca="false">M35*5.5017049523</f>
        <v>43899.1776276508</v>
      </c>
      <c r="X35" s="67" t="n">
        <f aca="false">N35*5.1890047538+L35*5.5017049523</f>
        <v>20094286.2672966</v>
      </c>
      <c r="Y35" s="67" t="n">
        <f aca="false">N35*5.1890047538</f>
        <v>16049763.9346484</v>
      </c>
      <c r="Z35" s="67" t="n">
        <f aca="false">L35*5.5017049523</f>
        <v>4044522.3326482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3" t="n">
        <v>19580805.0526602</v>
      </c>
      <c r="G36" s="153" t="n">
        <v>18795281.9784389</v>
      </c>
      <c r="H36" s="67" t="n">
        <f aca="false">F36-J36</f>
        <v>19285765.3995271</v>
      </c>
      <c r="I36" s="67" t="n">
        <f aca="false">G36-K36</f>
        <v>18509093.5148998</v>
      </c>
      <c r="J36" s="153" t="n">
        <v>295039.653133062</v>
      </c>
      <c r="K36" s="153" t="n">
        <v>286188.46353907</v>
      </c>
      <c r="L36" s="67" t="n">
        <f aca="false">H36-I36</f>
        <v>776671.884627312</v>
      </c>
      <c r="M36" s="67" t="n">
        <f aca="false">J36-K36</f>
        <v>8851.18959399202</v>
      </c>
      <c r="N36" s="153" t="n">
        <v>3328107.81497963</v>
      </c>
      <c r="O36" s="7"/>
      <c r="P36" s="7"/>
      <c r="Q36" s="67" t="n">
        <f aca="false">I36*5.5017049523</f>
        <v>101831571.453508</v>
      </c>
      <c r="R36" s="67"/>
      <c r="S36" s="67"/>
      <c r="T36" s="7"/>
      <c r="U36" s="7"/>
      <c r="V36" s="67" t="n">
        <f aca="false">K36*5.5017049523</f>
        <v>1574524.48714403</v>
      </c>
      <c r="W36" s="67" t="n">
        <f aca="false">M36*5.5017049523</f>
        <v>48696.6336230121</v>
      </c>
      <c r="X36" s="67" t="n">
        <f aca="false">N36*5.1890047538+L36*5.5017049523</f>
        <v>21542586.8270545</v>
      </c>
      <c r="Y36" s="67" t="n">
        <f aca="false">N36*5.1890047538</f>
        <v>17269567.2730882</v>
      </c>
      <c r="Z36" s="67" t="n">
        <f aca="false">L36*5.5017049523</f>
        <v>4273019.55396626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3" t="n">
        <v>19539580.0078867</v>
      </c>
      <c r="G37" s="153" t="n">
        <v>18754748.8824228</v>
      </c>
      <c r="H37" s="67" t="n">
        <f aca="false">F37-J37</f>
        <v>19216086.7494908</v>
      </c>
      <c r="I37" s="67" t="n">
        <f aca="false">G37-K37</f>
        <v>18440960.4217788</v>
      </c>
      <c r="J37" s="153" t="n">
        <v>323493.258395862</v>
      </c>
      <c r="K37" s="153" t="n">
        <v>313788.460643986</v>
      </c>
      <c r="L37" s="67" t="n">
        <f aca="false">H37-I37</f>
        <v>775126.327712022</v>
      </c>
      <c r="M37" s="67" t="n">
        <f aca="false">J37-K37</f>
        <v>9704.797751876</v>
      </c>
      <c r="N37" s="153" t="n">
        <v>3344163.3398412</v>
      </c>
      <c r="O37" s="7"/>
      <c r="P37" s="7"/>
      <c r="Q37" s="67" t="n">
        <f aca="false">I37*5.5017049523</f>
        <v>101456723.277669</v>
      </c>
      <c r="R37" s="67"/>
      <c r="S37" s="67"/>
      <c r="T37" s="7"/>
      <c r="U37" s="7"/>
      <c r="V37" s="67" t="n">
        <f aca="false">K37*5.5017049523</f>
        <v>1726371.52789961</v>
      </c>
      <c r="W37" s="67" t="n">
        <f aca="false">M37*5.5017049523</f>
        <v>53392.9338525661</v>
      </c>
      <c r="X37" s="67" t="n">
        <f aca="false">N37*5.1890047538+L37*5.5017049523</f>
        <v>21617395.823751</v>
      </c>
      <c r="Y37" s="67" t="n">
        <f aca="false">N37*5.1890047538</f>
        <v>17352879.4679197</v>
      </c>
      <c r="Z37" s="67" t="n">
        <f aca="false">L37*5.5017049523</f>
        <v>4264516.35583134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65"/>
      <c r="B38" s="5"/>
      <c r="C38" s="65" t="n">
        <f aca="false">C34+1</f>
        <v>2021</v>
      </c>
      <c r="D38" s="65" t="n">
        <f aca="false">D34</f>
        <v>1</v>
      </c>
      <c r="E38" s="65" t="n">
        <v>185</v>
      </c>
      <c r="F38" s="151" t="n">
        <v>18772261.6411345</v>
      </c>
      <c r="G38" s="151" t="n">
        <v>18014968.6662717</v>
      </c>
      <c r="H38" s="8" t="n">
        <f aca="false">F38-J38</f>
        <v>18437753.6363412</v>
      </c>
      <c r="I38" s="8" t="n">
        <f aca="false">G38-K38</f>
        <v>17690495.9016222</v>
      </c>
      <c r="J38" s="151" t="n">
        <v>334508.004793326</v>
      </c>
      <c r="K38" s="151" t="n">
        <v>324472.764649526</v>
      </c>
      <c r="L38" s="8" t="n">
        <f aca="false">H38-I38</f>
        <v>747257.734718997</v>
      </c>
      <c r="M38" s="8" t="n">
        <f aca="false">J38-K38</f>
        <v>10035.2401438</v>
      </c>
      <c r="N38" s="151" t="n">
        <v>3649165.11175392</v>
      </c>
      <c r="O38" s="5"/>
      <c r="P38" s="5"/>
      <c r="Q38" s="8" t="n">
        <f aca="false">I38*5.5017049523</f>
        <v>97327888.9105976</v>
      </c>
      <c r="R38" s="8"/>
      <c r="S38" s="8"/>
      <c r="T38" s="5"/>
      <c r="U38" s="5"/>
      <c r="V38" s="8" t="n">
        <f aca="false">K38*5.5017049523</f>
        <v>1785153.41615877</v>
      </c>
      <c r="W38" s="8" t="n">
        <f aca="false">M38*5.5017049523</f>
        <v>55210.9303966644</v>
      </c>
      <c r="X38" s="8" t="n">
        <f aca="false">N38*5.1890047538+L38*5.5017049523</f>
        <v>23046726.6920402</v>
      </c>
      <c r="Y38" s="8" t="n">
        <f aca="false">N38*5.1890047538</f>
        <v>18935535.1122922</v>
      </c>
      <c r="Z38" s="8" t="n">
        <f aca="false">L38*5.5017049523</f>
        <v>4111191.57974799</v>
      </c>
      <c r="AA38" s="8"/>
      <c r="AB38" s="8"/>
      <c r="AC38" s="8"/>
      <c r="AD38" s="8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3" t="n">
        <v>18703901.5840677</v>
      </c>
      <c r="G39" s="153" t="n">
        <v>17947732.4404049</v>
      </c>
      <c r="H39" s="67" t="n">
        <f aca="false">F39-J39</f>
        <v>18360553.2509001</v>
      </c>
      <c r="I39" s="67" t="n">
        <f aca="false">G39-K39</f>
        <v>17614684.5572324</v>
      </c>
      <c r="J39" s="153" t="n">
        <v>343348.333167555</v>
      </c>
      <c r="K39" s="153" t="n">
        <v>333047.883172528</v>
      </c>
      <c r="L39" s="67" t="n">
        <f aca="false">H39-I39</f>
        <v>745868.693667769</v>
      </c>
      <c r="M39" s="67" t="n">
        <f aca="false">J39-K39</f>
        <v>10300.449995027</v>
      </c>
      <c r="N39" s="153" t="n">
        <v>2971107.34131711</v>
      </c>
      <c r="O39" s="7"/>
      <c r="P39" s="7"/>
      <c r="Q39" s="67" t="n">
        <f aca="false">I39*5.5017049523</f>
        <v>96910797.2617277</v>
      </c>
      <c r="R39" s="67"/>
      <c r="S39" s="67"/>
      <c r="T39" s="7"/>
      <c r="U39" s="7"/>
      <c r="V39" s="67" t="n">
        <f aca="false">K39*5.5017049523</f>
        <v>1832331.18820333</v>
      </c>
      <c r="W39" s="67" t="n">
        <f aca="false">M39*5.5017049523</f>
        <v>56670.0367485585</v>
      </c>
      <c r="X39" s="67" t="n">
        <f aca="false">N39*5.1890047538+L39*5.5017049523</f>
        <v>19520639.6038621</v>
      </c>
      <c r="Y39" s="67" t="n">
        <f aca="false">N39*5.1890047538</f>
        <v>15417090.1181446</v>
      </c>
      <c r="Z39" s="67" t="n">
        <f aca="false">L39*5.5017049523</f>
        <v>4103549.4857175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3" t="n">
        <v>19184541.4760179</v>
      </c>
      <c r="G40" s="153" t="n">
        <v>18407744.9235273</v>
      </c>
      <c r="H40" s="67" t="n">
        <f aca="false">F40-J40</f>
        <v>18815294.992314</v>
      </c>
      <c r="I40" s="67" t="n">
        <f aca="false">G40-K40</f>
        <v>18049575.8343345</v>
      </c>
      <c r="J40" s="153" t="n">
        <v>369246.483703933</v>
      </c>
      <c r="K40" s="153" t="n">
        <v>358169.089192815</v>
      </c>
      <c r="L40" s="67" t="n">
        <f aca="false">H40-I40</f>
        <v>765719.157979481</v>
      </c>
      <c r="M40" s="67" t="n">
        <f aca="false">J40-K40</f>
        <v>11077.394511118</v>
      </c>
      <c r="N40" s="153" t="n">
        <v>3019119.33187803</v>
      </c>
      <c r="O40" s="7"/>
      <c r="P40" s="7"/>
      <c r="Q40" s="67" t="n">
        <f aca="false">I40*5.5017049523</f>
        <v>99303440.7546724</v>
      </c>
      <c r="R40" s="67"/>
      <c r="S40" s="67"/>
      <c r="T40" s="7"/>
      <c r="U40" s="7"/>
      <c r="V40" s="67" t="n">
        <f aca="false">K40*5.5017049523</f>
        <v>1970540.65177289</v>
      </c>
      <c r="W40" s="67" t="n">
        <f aca="false">M40*5.5017049523</f>
        <v>60944.5562403988</v>
      </c>
      <c r="X40" s="67" t="n">
        <f aca="false">N40*5.1890047538+L40*5.5017049523</f>
        <v>19878985.4489313</v>
      </c>
      <c r="Y40" s="67" t="n">
        <f aca="false">N40*5.1890047538</f>
        <v>15666224.5654046</v>
      </c>
      <c r="Z40" s="67" t="n">
        <f aca="false">L40*5.5017049523</f>
        <v>4212760.8835267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3" t="n">
        <v>19599223.6797591</v>
      </c>
      <c r="G41" s="153" t="n">
        <v>18803885.2104029</v>
      </c>
      <c r="H41" s="67" t="n">
        <f aca="false">F41-J41</f>
        <v>19188245.1396504</v>
      </c>
      <c r="I41" s="67" t="n">
        <f aca="false">G41-K41</f>
        <v>18405236.0264974</v>
      </c>
      <c r="J41" s="153" t="n">
        <v>410978.540108714</v>
      </c>
      <c r="K41" s="153" t="n">
        <v>398649.183905453</v>
      </c>
      <c r="L41" s="67" t="n">
        <f aca="false">H41-I41</f>
        <v>783009.11315294</v>
      </c>
      <c r="M41" s="67" t="n">
        <f aca="false">J41-K41</f>
        <v>12329.356203261</v>
      </c>
      <c r="N41" s="153" t="n">
        <v>3044084.07201444</v>
      </c>
      <c r="O41" s="7"/>
      <c r="P41" s="7"/>
      <c r="Q41" s="67" t="n">
        <f aca="false">I41*5.5017049523</f>
        <v>101260178.195231</v>
      </c>
      <c r="R41" s="67"/>
      <c r="S41" s="67"/>
      <c r="T41" s="7"/>
      <c r="U41" s="7"/>
      <c r="V41" s="67" t="n">
        <f aca="false">K41*5.5017049523</f>
        <v>2193250.18932298</v>
      </c>
      <c r="W41" s="67" t="n">
        <f aca="false">M41*5.5017049523</f>
        <v>67832.4800821518</v>
      </c>
      <c r="X41" s="67" t="n">
        <f aca="false">N41*5.1890047538+L41*5.5017049523</f>
        <v>20103651.8361793</v>
      </c>
      <c r="Y41" s="67" t="n">
        <f aca="false">N41*5.1890047538</f>
        <v>15795766.7206498</v>
      </c>
      <c r="Z41" s="67" t="n">
        <f aca="false">L41*5.5017049523</f>
        <v>4307885.11552956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65"/>
      <c r="B42" s="5"/>
      <c r="C42" s="65" t="n">
        <f aca="false">C38+1</f>
        <v>2022</v>
      </c>
      <c r="D42" s="65" t="n">
        <f aca="false">D38</f>
        <v>1</v>
      </c>
      <c r="E42" s="65" t="n">
        <v>189</v>
      </c>
      <c r="F42" s="151" t="n">
        <v>19908736.4015129</v>
      </c>
      <c r="G42" s="151" t="n">
        <v>19099104.127075</v>
      </c>
      <c r="H42" s="8" t="n">
        <f aca="false">F42-J42</f>
        <v>19486291.3850681</v>
      </c>
      <c r="I42" s="8" t="n">
        <f aca="false">G42-K42</f>
        <v>18689332.4611235</v>
      </c>
      <c r="J42" s="151" t="n">
        <v>422445.016444812</v>
      </c>
      <c r="K42" s="151" t="n">
        <v>409771.665951467</v>
      </c>
      <c r="L42" s="8" t="n">
        <f aca="false">H42-I42</f>
        <v>796958.923944552</v>
      </c>
      <c r="M42" s="8" t="n">
        <f aca="false">J42-K42</f>
        <v>12673.350493345</v>
      </c>
      <c r="N42" s="151" t="n">
        <v>3743497.99745317</v>
      </c>
      <c r="O42" s="5"/>
      <c r="P42" s="5"/>
      <c r="Q42" s="8" t="n">
        <f aca="false">I42*5.5017049523</f>
        <v>102823192.956545</v>
      </c>
      <c r="R42" s="8"/>
      <c r="S42" s="8"/>
      <c r="T42" s="5"/>
      <c r="U42" s="5"/>
      <c r="V42" s="8" t="n">
        <f aca="false">K42*5.5017049523</f>
        <v>2254442.80387741</v>
      </c>
      <c r="W42" s="8" t="n">
        <f aca="false">M42*5.5017049523</f>
        <v>69725.0351714698</v>
      </c>
      <c r="X42" s="8" t="n">
        <f aca="false">N42*5.1890047538+L42*5.5017049523</f>
        <v>23809661.7632707</v>
      </c>
      <c r="Y42" s="8" t="n">
        <f aca="false">N42*5.1890047538</f>
        <v>19425028.9046253</v>
      </c>
      <c r="Z42" s="8" t="n">
        <f aca="false">L42*5.5017049523</f>
        <v>4384632.85864542</v>
      </c>
      <c r="AA42" s="8"/>
      <c r="AB42" s="8"/>
      <c r="AC42" s="8"/>
      <c r="AD42" s="8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3" t="n">
        <v>20145261.8101639</v>
      </c>
      <c r="G43" s="153" t="n">
        <v>19324232.2500069</v>
      </c>
      <c r="H43" s="67" t="n">
        <f aca="false">F43-J43</f>
        <v>19686134.9016253</v>
      </c>
      <c r="I43" s="67" t="n">
        <f aca="false">G43-K43</f>
        <v>18878879.1487245</v>
      </c>
      <c r="J43" s="153" t="n">
        <v>459126.908538592</v>
      </c>
      <c r="K43" s="153" t="n">
        <v>445353.101282434</v>
      </c>
      <c r="L43" s="67" t="n">
        <f aca="false">H43-I43</f>
        <v>807255.752900843</v>
      </c>
      <c r="M43" s="67" t="n">
        <f aca="false">J43-K43</f>
        <v>13773.807256158</v>
      </c>
      <c r="N43" s="153" t="n">
        <v>3135121.42698075</v>
      </c>
      <c r="O43" s="7"/>
      <c r="P43" s="7"/>
      <c r="Q43" s="67" t="n">
        <f aca="false">I43*5.5017049523</f>
        <v>103866022.906411</v>
      </c>
      <c r="R43" s="67"/>
      <c r="S43" s="67"/>
      <c r="T43" s="7"/>
      <c r="U43" s="7"/>
      <c r="V43" s="67" t="n">
        <f aca="false">K43*5.5017049523</f>
        <v>2450201.36284773</v>
      </c>
      <c r="W43" s="67" t="n">
        <f aca="false">M43*5.5017049523</f>
        <v>75779.42359323</v>
      </c>
      <c r="X43" s="67" t="n">
        <f aca="false">N43*5.1890047538+L43*5.5017049523</f>
        <v>20709442.9618506</v>
      </c>
      <c r="Y43" s="67" t="n">
        <f aca="false">N43*5.1890047538</f>
        <v>16268159.9883434</v>
      </c>
      <c r="Z43" s="67" t="n">
        <f aca="false">L43*5.5017049523</f>
        <v>4441282.97350723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3" t="n">
        <v>20314614.1708468</v>
      </c>
      <c r="G44" s="153" t="n">
        <v>19485598.4934969</v>
      </c>
      <c r="H44" s="67" t="n">
        <f aca="false">F44-J44</f>
        <v>19823159.6878731</v>
      </c>
      <c r="I44" s="67" t="n">
        <f aca="false">G44-K44</f>
        <v>19008887.6450124</v>
      </c>
      <c r="J44" s="153" t="n">
        <v>491454.482973752</v>
      </c>
      <c r="K44" s="153" t="n">
        <v>476710.848484539</v>
      </c>
      <c r="L44" s="67" t="n">
        <f aca="false">H44-I44</f>
        <v>814272.042860691</v>
      </c>
      <c r="M44" s="67" t="n">
        <f aca="false">J44-K44</f>
        <v>14743.634489213</v>
      </c>
      <c r="N44" s="153" t="n">
        <v>3083457.42293143</v>
      </c>
      <c r="O44" s="7"/>
      <c r="P44" s="7"/>
      <c r="Q44" s="67" t="n">
        <f aca="false">I44*5.5017049523</f>
        <v>104581291.294279</v>
      </c>
      <c r="R44" s="67"/>
      <c r="S44" s="67"/>
      <c r="T44" s="7"/>
      <c r="U44" s="7"/>
      <c r="V44" s="67" t="n">
        <f aca="false">K44*5.5017049523</f>
        <v>2622722.43592252</v>
      </c>
      <c r="W44" s="67" t="n">
        <f aca="false">M44*5.5017049523</f>
        <v>81115.1268842042</v>
      </c>
      <c r="X44" s="67" t="n">
        <f aca="false">N44*5.1890047538+L44*5.5017049523</f>
        <v>20479959.7564572</v>
      </c>
      <c r="Y44" s="67" t="n">
        <f aca="false">N44*5.1890047538</f>
        <v>16000075.2257311</v>
      </c>
      <c r="Z44" s="67" t="n">
        <f aca="false">L44*5.5017049523</f>
        <v>4479884.5307261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3" t="n">
        <v>20535993.6939137</v>
      </c>
      <c r="G45" s="153" t="n">
        <v>19696019.6682845</v>
      </c>
      <c r="H45" s="67" t="n">
        <f aca="false">F45-J45</f>
        <v>20030791.2502727</v>
      </c>
      <c r="I45" s="67" t="n">
        <f aca="false">G45-K45</f>
        <v>19205973.2979527</v>
      </c>
      <c r="J45" s="153" t="n">
        <v>505202.443641015</v>
      </c>
      <c r="K45" s="153" t="n">
        <v>490046.370331785</v>
      </c>
      <c r="L45" s="67" t="n">
        <f aca="false">H45-I45</f>
        <v>824817.952319972</v>
      </c>
      <c r="M45" s="67" t="n">
        <f aca="false">J45-K45</f>
        <v>15156.07330923</v>
      </c>
      <c r="N45" s="153" t="n">
        <v>3064427.69913962</v>
      </c>
      <c r="O45" s="7"/>
      <c r="P45" s="7"/>
      <c r="Q45" s="67" t="n">
        <f aca="false">I45*5.5017049523</f>
        <v>105665598.407088</v>
      </c>
      <c r="R45" s="67"/>
      <c r="S45" s="67"/>
      <c r="T45" s="7"/>
      <c r="U45" s="7"/>
      <c r="V45" s="67" t="n">
        <f aca="false">K45*5.5017049523</f>
        <v>2696090.54251102</v>
      </c>
      <c r="W45" s="67" t="n">
        <f aca="false">M45*5.5017049523</f>
        <v>83384.2435828124</v>
      </c>
      <c r="X45" s="67" t="n">
        <f aca="false">N45*5.1890047538+L45*5.5017049523</f>
        <v>20439234.9115366</v>
      </c>
      <c r="Y45" s="67" t="n">
        <f aca="false">N45*5.1890047538</f>
        <v>15901329.8985119</v>
      </c>
      <c r="Z45" s="67" t="n">
        <f aca="false">L45*5.5017049523</f>
        <v>4537905.01302474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65"/>
      <c r="B46" s="5"/>
      <c r="C46" s="65" t="n">
        <f aca="false">C42+1</f>
        <v>2023</v>
      </c>
      <c r="D46" s="65" t="n">
        <f aca="false">D42</f>
        <v>1</v>
      </c>
      <c r="E46" s="65" t="n">
        <v>193</v>
      </c>
      <c r="F46" s="151" t="n">
        <v>20680243.1109726</v>
      </c>
      <c r="G46" s="151" t="n">
        <v>19833132.824539</v>
      </c>
      <c r="H46" s="8" t="n">
        <f aca="false">F46-J46</f>
        <v>20162336.8277641</v>
      </c>
      <c r="I46" s="8" t="n">
        <f aca="false">G46-K46</f>
        <v>19330763.7298267</v>
      </c>
      <c r="J46" s="151" t="n">
        <v>517906.283208534</v>
      </c>
      <c r="K46" s="151" t="n">
        <v>502369.094712278</v>
      </c>
      <c r="L46" s="8" t="n">
        <f aca="false">H46-I46</f>
        <v>831573.097937346</v>
      </c>
      <c r="M46" s="8" t="n">
        <f aca="false">J46-K46</f>
        <v>15537.188496256</v>
      </c>
      <c r="N46" s="151" t="n">
        <v>3714207.19963554</v>
      </c>
      <c r="O46" s="5"/>
      <c r="P46" s="5"/>
      <c r="Q46" s="8" t="n">
        <f aca="false">I46*5.5017049523</f>
        <v>106352158.544129</v>
      </c>
      <c r="R46" s="8"/>
      <c r="S46" s="8"/>
      <c r="T46" s="5"/>
      <c r="U46" s="5"/>
      <c r="V46" s="8" t="n">
        <f aca="false">K46*5.5017049523</f>
        <v>2763886.53626101</v>
      </c>
      <c r="W46" s="8" t="n">
        <f aca="false">M46*5.5017049523</f>
        <v>85481.0268946703</v>
      </c>
      <c r="X46" s="8" t="n">
        <f aca="false">N46*5.1890047538+L46*5.5017049523</f>
        <v>23848108.6466283</v>
      </c>
      <c r="Y46" s="8" t="n">
        <f aca="false">N46*5.1890047538</f>
        <v>19273038.815507</v>
      </c>
      <c r="Z46" s="8" t="n">
        <f aca="false">L46*5.5017049523</f>
        <v>4575069.83112135</v>
      </c>
      <c r="AA46" s="8"/>
      <c r="AB46" s="8"/>
      <c r="AC46" s="8"/>
      <c r="AD46" s="8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3" t="n">
        <v>20820592.6354408</v>
      </c>
      <c r="G47" s="153" t="n">
        <v>19966494.243072</v>
      </c>
      <c r="H47" s="67" t="n">
        <f aca="false">F47-J47</f>
        <v>20297944.9250212</v>
      </c>
      <c r="I47" s="67" t="n">
        <f aca="false">G47-K47</f>
        <v>19459525.963965</v>
      </c>
      <c r="J47" s="153" t="n">
        <v>522647.710419563</v>
      </c>
      <c r="K47" s="153" t="n">
        <v>506968.279106976</v>
      </c>
      <c r="L47" s="67" t="n">
        <f aca="false">H47-I47</f>
        <v>838418.961056214</v>
      </c>
      <c r="M47" s="67" t="n">
        <f aca="false">J47-K47</f>
        <v>15679.431312587</v>
      </c>
      <c r="N47" s="153" t="n">
        <v>3097882.10150735</v>
      </c>
      <c r="O47" s="7"/>
      <c r="P47" s="7"/>
      <c r="Q47" s="67" t="n">
        <f aca="false">I47*5.5017049523</f>
        <v>107060570.365357</v>
      </c>
      <c r="R47" s="67"/>
      <c r="S47" s="67"/>
      <c r="T47" s="7"/>
      <c r="U47" s="7"/>
      <c r="V47" s="67" t="n">
        <f aca="false">K47*5.5017049523</f>
        <v>2789189.89182186</v>
      </c>
      <c r="W47" s="67" t="n">
        <f aca="false">M47*5.5017049523</f>
        <v>86263.6049017076</v>
      </c>
      <c r="X47" s="67" t="n">
        <f aca="false">N47*5.1890047538+L47*5.5017049523</f>
        <v>20687658.7015788</v>
      </c>
      <c r="Y47" s="67" t="n">
        <f aca="false">N47*5.1890047538</f>
        <v>16074924.9514336</v>
      </c>
      <c r="Z47" s="67" t="n">
        <f aca="false">L47*5.5017049523</f>
        <v>4612733.75014519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3" t="n">
        <v>21003919.5616826</v>
      </c>
      <c r="G48" s="153" t="n">
        <v>20141059.468423</v>
      </c>
      <c r="H48" s="67" t="n">
        <f aca="false">F48-J48</f>
        <v>20463279.2302247</v>
      </c>
      <c r="I48" s="67" t="n">
        <f aca="false">G48-K48</f>
        <v>19616638.3469088</v>
      </c>
      <c r="J48" s="153" t="n">
        <v>540640.331457914</v>
      </c>
      <c r="K48" s="153" t="n">
        <v>524421.121514177</v>
      </c>
      <c r="L48" s="67" t="n">
        <f aca="false">H48-I48</f>
        <v>846640.883315865</v>
      </c>
      <c r="M48" s="67" t="n">
        <f aca="false">J48-K48</f>
        <v>16219.209943737</v>
      </c>
      <c r="N48" s="153" t="n">
        <v>3028447.95119986</v>
      </c>
      <c r="O48" s="7"/>
      <c r="P48" s="7"/>
      <c r="Q48" s="67" t="n">
        <f aca="false">I48*5.5017049523</f>
        <v>107924956.340666</v>
      </c>
      <c r="R48" s="67"/>
      <c r="S48" s="67"/>
      <c r="T48" s="7"/>
      <c r="U48" s="7"/>
      <c r="V48" s="67" t="n">
        <f aca="false">K48*5.5017049523</f>
        <v>2885210.28132527</v>
      </c>
      <c r="W48" s="67" t="n">
        <f aca="false">M48*5.5017049523</f>
        <v>89233.3076698514</v>
      </c>
      <c r="X48" s="67" t="n">
        <f aca="false">N48*5.1890047538+L48*5.5017049523</f>
        <v>20372599.1559705</v>
      </c>
      <c r="Y48" s="67" t="n">
        <f aca="false">N48*5.1890047538</f>
        <v>15714630.8154119</v>
      </c>
      <c r="Z48" s="67" t="n">
        <f aca="false">L48*5.5017049523</f>
        <v>4657968.34055854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3" t="n">
        <v>21193038.5873538</v>
      </c>
      <c r="G49" s="153" t="n">
        <v>20320629.0228432</v>
      </c>
      <c r="H49" s="67" t="n">
        <f aca="false">F49-J49</f>
        <v>20628436.7505425</v>
      </c>
      <c r="I49" s="67" t="n">
        <f aca="false">G49-K49</f>
        <v>19772965.2411362</v>
      </c>
      <c r="J49" s="153" t="n">
        <v>564601.836811307</v>
      </c>
      <c r="K49" s="153" t="n">
        <v>547663.781706968</v>
      </c>
      <c r="L49" s="67" t="n">
        <f aca="false">H49-I49</f>
        <v>855471.509406257</v>
      </c>
      <c r="M49" s="67" t="n">
        <f aca="false">J49-K49</f>
        <v>16938.055104339</v>
      </c>
      <c r="N49" s="153" t="n">
        <v>3055517.14917229</v>
      </c>
      <c r="O49" s="7"/>
      <c r="P49" s="7"/>
      <c r="Q49" s="67" t="n">
        <f aca="false">I49*5.5017049523</f>
        <v>108785020.788815</v>
      </c>
      <c r="R49" s="67"/>
      <c r="S49" s="67"/>
      <c r="T49" s="7"/>
      <c r="U49" s="7"/>
      <c r="V49" s="67" t="n">
        <f aca="false">K49*5.5017049523</f>
        <v>3013084.54001257</v>
      </c>
      <c r="W49" s="67" t="n">
        <f aca="false">M49*5.5017049523</f>
        <v>93188.1816498723</v>
      </c>
      <c r="X49" s="67" t="n">
        <f aca="false">N49*5.1890047538+L49*5.5017049523</f>
        <v>20561644.8522244</v>
      </c>
      <c r="Y49" s="67" t="n">
        <f aca="false">N49*5.1890047538</f>
        <v>15855093.0123724</v>
      </c>
      <c r="Z49" s="67" t="n">
        <f aca="false">L49*5.5017049523</f>
        <v>4706551.83985196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65"/>
      <c r="B50" s="5"/>
      <c r="C50" s="65" t="n">
        <f aca="false">C46+1</f>
        <v>2024</v>
      </c>
      <c r="D50" s="65" t="n">
        <f aca="false">D46</f>
        <v>1</v>
      </c>
      <c r="E50" s="65" t="n">
        <v>197</v>
      </c>
      <c r="F50" s="151" t="n">
        <v>21385604.6599173</v>
      </c>
      <c r="G50" s="151" t="n">
        <v>20503475.2605873</v>
      </c>
      <c r="H50" s="8" t="n">
        <f aca="false">F50-J50</f>
        <v>20795832.5324699</v>
      </c>
      <c r="I50" s="8" t="n">
        <f aca="false">G50-K50</f>
        <v>19931396.2969633</v>
      </c>
      <c r="J50" s="151" t="n">
        <v>589772.12744741</v>
      </c>
      <c r="K50" s="151" t="n">
        <v>572078.963623987</v>
      </c>
      <c r="L50" s="8" t="n">
        <f aca="false">H50-I50</f>
        <v>864436.235506572</v>
      </c>
      <c r="M50" s="8" t="n">
        <f aca="false">J50-K50</f>
        <v>17693.163823423</v>
      </c>
      <c r="N50" s="151" t="n">
        <v>3741122.50739086</v>
      </c>
      <c r="O50" s="5"/>
      <c r="P50" s="5"/>
      <c r="Q50" s="8" t="n">
        <f aca="false">I50*5.5017049523</f>
        <v>109656661.713257</v>
      </c>
      <c r="R50" s="8"/>
      <c r="S50" s="8"/>
      <c r="T50" s="5"/>
      <c r="U50" s="5"/>
      <c r="V50" s="8" t="n">
        <f aca="false">K50*5.5017049523</f>
        <v>3147409.66727674</v>
      </c>
      <c r="W50" s="8" t="n">
        <f aca="false">M50*5.5017049523</f>
        <v>97342.5670291814</v>
      </c>
      <c r="X50" s="8" t="n">
        <f aca="false">N50*5.1890047538+L50*5.5017049523</f>
        <v>24168575.5932334</v>
      </c>
      <c r="Y50" s="8" t="n">
        <f aca="false">N50*5.1890047538</f>
        <v>19412702.4753993</v>
      </c>
      <c r="Z50" s="8" t="n">
        <f aca="false">L50*5.5017049523</f>
        <v>4755873.11783408</v>
      </c>
      <c r="AA50" s="8"/>
      <c r="AB50" s="8"/>
      <c r="AC50" s="8"/>
      <c r="AD50" s="8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3" t="n">
        <v>21680327.9265315</v>
      </c>
      <c r="G51" s="153" t="n">
        <v>20783719.4372429</v>
      </c>
      <c r="H51" s="67" t="n">
        <f aca="false">F51-J51</f>
        <v>21073498.81244</v>
      </c>
      <c r="I51" s="67" t="n">
        <f aca="false">G51-K51</f>
        <v>20195095.1965742</v>
      </c>
      <c r="J51" s="153" t="n">
        <v>606829.114091474</v>
      </c>
      <c r="K51" s="153" t="n">
        <v>588624.24066873</v>
      </c>
      <c r="L51" s="67" t="n">
        <f aca="false">H51-I51</f>
        <v>878403.615865856</v>
      </c>
      <c r="M51" s="67" t="n">
        <f aca="false">J51-K51</f>
        <v>18204.873422744</v>
      </c>
      <c r="N51" s="153" t="n">
        <v>3130468.05154936</v>
      </c>
      <c r="O51" s="7"/>
      <c r="P51" s="7"/>
      <c r="Q51" s="67" t="n">
        <f aca="false">I51*5.5017049523</f>
        <v>111107455.255162</v>
      </c>
      <c r="R51" s="67"/>
      <c r="S51" s="67"/>
      <c r="T51" s="7"/>
      <c r="U51" s="7"/>
      <c r="V51" s="67" t="n">
        <f aca="false">K51*5.5017049523</f>
        <v>3238436.89993098</v>
      </c>
      <c r="W51" s="67" t="n">
        <f aca="false">M51*5.5017049523</f>
        <v>100157.842265905</v>
      </c>
      <c r="X51" s="67" t="n">
        <f aca="false">N51*5.1890047538+L51*5.5017049523</f>
        <v>21076731.1246361</v>
      </c>
      <c r="Y51" s="67" t="n">
        <f aca="false">N51*5.1890047538</f>
        <v>16244013.6011087</v>
      </c>
      <c r="Z51" s="67" t="n">
        <f aca="false">L51*5.5017049523</f>
        <v>4832717.52352741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3" t="n">
        <v>21953905.6992105</v>
      </c>
      <c r="G52" s="153" t="n">
        <v>21044244.5586706</v>
      </c>
      <c r="H52" s="67" t="n">
        <f aca="false">F52-J52</f>
        <v>21322835.3722468</v>
      </c>
      <c r="I52" s="67" t="n">
        <f aca="false">G52-K52</f>
        <v>20432106.3415158</v>
      </c>
      <c r="J52" s="153" t="n">
        <v>631070.326963708</v>
      </c>
      <c r="K52" s="153" t="n">
        <v>612138.217154796</v>
      </c>
      <c r="L52" s="67" t="n">
        <f aca="false">H52-I52</f>
        <v>890729.030730989</v>
      </c>
      <c r="M52" s="67" t="n">
        <f aca="false">J52-K52</f>
        <v>18932.109808912</v>
      </c>
      <c r="N52" s="153" t="n">
        <v>3129378.14414245</v>
      </c>
      <c r="O52" s="7"/>
      <c r="P52" s="7"/>
      <c r="Q52" s="67" t="n">
        <f aca="false">I52*5.5017049523</f>
        <v>112411420.645038</v>
      </c>
      <c r="R52" s="67"/>
      <c r="S52" s="67"/>
      <c r="T52" s="7"/>
      <c r="U52" s="7"/>
      <c r="V52" s="67" t="n">
        <f aca="false">K52*5.5017049523</f>
        <v>3367803.86081263</v>
      </c>
      <c r="W52" s="67" t="n">
        <f aca="false">M52*5.5017049523</f>
        <v>104158.882293179</v>
      </c>
      <c r="X52" s="67" t="n">
        <f aca="false">N52*5.1890047538+L52*5.5017049523</f>
        <v>21138886.3859231</v>
      </c>
      <c r="Y52" s="67" t="n">
        <f aca="false">N52*5.1890047538</f>
        <v>16238358.066393</v>
      </c>
      <c r="Z52" s="67" t="n">
        <f aca="false">L52*5.5017049523</f>
        <v>4900528.31953006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3" t="n">
        <v>22121415.2529187</v>
      </c>
      <c r="G53" s="153" t="n">
        <v>21203619.4671871</v>
      </c>
      <c r="H53" s="67" t="n">
        <f aca="false">F53-J53</f>
        <v>21426302.7386762</v>
      </c>
      <c r="I53" s="67" t="n">
        <f aca="false">G53-K53</f>
        <v>20529360.3283718</v>
      </c>
      <c r="J53" s="153" t="n">
        <v>695112.514242545</v>
      </c>
      <c r="K53" s="153" t="n">
        <v>674259.138815269</v>
      </c>
      <c r="L53" s="67" t="n">
        <f aca="false">H53-I53</f>
        <v>896942.410304327</v>
      </c>
      <c r="M53" s="67" t="n">
        <f aca="false">J53-K53</f>
        <v>20853.375427276</v>
      </c>
      <c r="N53" s="153" t="n">
        <v>3100867.6674499</v>
      </c>
      <c r="O53" s="7"/>
      <c r="P53" s="7"/>
      <c r="Q53" s="67" t="n">
        <f aca="false">I53*5.5017049523</f>
        <v>112946483.386154</v>
      </c>
      <c r="R53" s="67"/>
      <c r="S53" s="67"/>
      <c r="T53" s="7"/>
      <c r="U53" s="7"/>
      <c r="V53" s="67" t="n">
        <f aca="false">K53*5.5017049523</f>
        <v>3709574.8431535</v>
      </c>
      <c r="W53" s="67" t="n">
        <f aca="false">M53*5.5017049523</f>
        <v>114729.118860416</v>
      </c>
      <c r="X53" s="67" t="n">
        <f aca="false">N53*5.1890047538+L53*5.5017049523</f>
        <v>21025129.5680015</v>
      </c>
      <c r="Y53" s="67" t="n">
        <f aca="false">N53*5.1890047538</f>
        <v>16090417.0673022</v>
      </c>
      <c r="Z53" s="67" t="n">
        <f aca="false">L53*5.5017049523</f>
        <v>4934712.50069921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65"/>
      <c r="B54" s="5"/>
      <c r="C54" s="65" t="n">
        <f aca="false">C50+1</f>
        <v>2025</v>
      </c>
      <c r="D54" s="65" t="n">
        <f aca="false">D50</f>
        <v>1</v>
      </c>
      <c r="E54" s="65" t="n">
        <v>201</v>
      </c>
      <c r="F54" s="151" t="n">
        <v>22239456.0689614</v>
      </c>
      <c r="G54" s="151" t="n">
        <v>21315550.663098</v>
      </c>
      <c r="H54" s="8" t="n">
        <f aca="false">F54-J54</f>
        <v>21473038.0904642</v>
      </c>
      <c r="I54" s="8" t="n">
        <f aca="false">G54-K54</f>
        <v>20572125.2239557</v>
      </c>
      <c r="J54" s="151" t="n">
        <v>766417.978497196</v>
      </c>
      <c r="K54" s="151" t="n">
        <v>743425.43914228</v>
      </c>
      <c r="L54" s="8" t="n">
        <f aca="false">H54-I54</f>
        <v>900912.866508484</v>
      </c>
      <c r="M54" s="8" t="n">
        <f aca="false">J54-K54</f>
        <v>22992.539354916</v>
      </c>
      <c r="N54" s="151" t="n">
        <v>3757513.61227016</v>
      </c>
      <c r="O54" s="5"/>
      <c r="P54" s="5"/>
      <c r="Q54" s="8" t="n">
        <f aca="false">I54*5.5017049523</f>
        <v>113181763.223973</v>
      </c>
      <c r="R54" s="8"/>
      <c r="S54" s="8"/>
      <c r="T54" s="5"/>
      <c r="U54" s="5"/>
      <c r="V54" s="8" t="n">
        <f aca="false">K54*5.5017049523</f>
        <v>4090107.42019488</v>
      </c>
      <c r="W54" s="8" t="n">
        <f aca="false">M54*5.5017049523</f>
        <v>126498.167634894</v>
      </c>
      <c r="X54" s="8" t="n">
        <f aca="false">N54*5.1890047538+L54*5.5017049523</f>
        <v>24454312.7757986</v>
      </c>
      <c r="Y54" s="8" t="n">
        <f aca="false">N54*5.1890047538</f>
        <v>19497755.9965381</v>
      </c>
      <c r="Z54" s="8" t="n">
        <f aca="false">L54*5.5017049523</f>
        <v>4956556.77926052</v>
      </c>
      <c r="AA54" s="8"/>
      <c r="AB54" s="8"/>
      <c r="AC54" s="8"/>
      <c r="AD54" s="8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3" t="n">
        <v>22495954.0382776</v>
      </c>
      <c r="G55" s="153" t="n">
        <v>21561040.5224942</v>
      </c>
      <c r="H55" s="67" t="n">
        <f aca="false">F55-J55</f>
        <v>21626750.7257504</v>
      </c>
      <c r="I55" s="67" t="n">
        <f aca="false">G55-K55</f>
        <v>20717913.3093428</v>
      </c>
      <c r="J55" s="153" t="n">
        <v>869203.312527232</v>
      </c>
      <c r="K55" s="153" t="n">
        <v>843127.213151415</v>
      </c>
      <c r="L55" s="67" t="n">
        <f aca="false">H55-I55</f>
        <v>908837.416407581</v>
      </c>
      <c r="M55" s="67" t="n">
        <f aca="false">J55-K55</f>
        <v>26076.099375817</v>
      </c>
      <c r="N55" s="153" t="n">
        <v>3172289.91947616</v>
      </c>
      <c r="O55" s="7"/>
      <c r="P55" s="7"/>
      <c r="Q55" s="67" t="n">
        <f aca="false">I55*5.5017049523</f>
        <v>113983846.255333</v>
      </c>
      <c r="R55" s="67"/>
      <c r="S55" s="67"/>
      <c r="T55" s="7"/>
      <c r="U55" s="7"/>
      <c r="V55" s="67" t="n">
        <f aca="false">K55*5.5017049523</f>
        <v>4638637.16401404</v>
      </c>
      <c r="W55" s="67" t="n">
        <f aca="false">M55*5.5017049523</f>
        <v>143463.005072599</v>
      </c>
      <c r="X55" s="67" t="n">
        <f aca="false">N55*5.1890047538+L55*5.5017049523</f>
        <v>21461182.7872787</v>
      </c>
      <c r="Y55" s="67" t="n">
        <f aca="false">N55*5.1890047538</f>
        <v>16461027.4725936</v>
      </c>
      <c r="Z55" s="67" t="n">
        <f aca="false">L55*5.5017049523</f>
        <v>5000155.31468513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3" t="n">
        <v>22751535.1672983</v>
      </c>
      <c r="G56" s="153" t="n">
        <v>21804490.4776091</v>
      </c>
      <c r="H56" s="67" t="n">
        <f aca="false">F56-J56</f>
        <v>21827446.0542556</v>
      </c>
      <c r="I56" s="67" t="n">
        <f aca="false">G56-K56</f>
        <v>20908124.0379577</v>
      </c>
      <c r="J56" s="153" t="n">
        <v>924089.113042679</v>
      </c>
      <c r="K56" s="153" t="n">
        <v>896366.439651399</v>
      </c>
      <c r="L56" s="67" t="n">
        <f aca="false">H56-I56</f>
        <v>919322.016297918</v>
      </c>
      <c r="M56" s="67" t="n">
        <f aca="false">J56-K56</f>
        <v>27722.67339128</v>
      </c>
      <c r="N56" s="153" t="n">
        <v>3135923.72728612</v>
      </c>
      <c r="O56" s="7"/>
      <c r="P56" s="7"/>
      <c r="Q56" s="67" t="n">
        <f aca="false">I56*5.5017049523</f>
        <v>115030329.562935</v>
      </c>
      <c r="R56" s="67"/>
      <c r="S56" s="67"/>
      <c r="T56" s="7"/>
      <c r="U56" s="7"/>
      <c r="V56" s="67" t="n">
        <f aca="false">K56*5.5017049523</f>
        <v>4931543.68010562</v>
      </c>
      <c r="W56" s="67" t="n">
        <f aca="false">M56*5.5017049523</f>
        <v>152521.969487801</v>
      </c>
      <c r="X56" s="67" t="n">
        <f aca="false">N56*5.1890047538+L56*5.5017049523</f>
        <v>21330161.6182666</v>
      </c>
      <c r="Y56" s="67" t="n">
        <f aca="false">N56*5.1890047538</f>
        <v>16272323.1284419</v>
      </c>
      <c r="Z56" s="67" t="n">
        <f aca="false">L56*5.5017049523</f>
        <v>5057838.48982468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3" t="n">
        <v>23029524.0729804</v>
      </c>
      <c r="G57" s="153" t="n">
        <v>22069102.6451287</v>
      </c>
      <c r="H57" s="67" t="n">
        <f aca="false">F57-J57</f>
        <v>22020492.7294001</v>
      </c>
      <c r="I57" s="67" t="n">
        <f aca="false">G57-K57</f>
        <v>21090342.2418558</v>
      </c>
      <c r="J57" s="153" t="n">
        <v>1009031.34358028</v>
      </c>
      <c r="K57" s="153" t="n">
        <v>978760.40327287</v>
      </c>
      <c r="L57" s="67" t="n">
        <f aca="false">H57-I57</f>
        <v>930150.487544291</v>
      </c>
      <c r="M57" s="67" t="n">
        <f aca="false">J57-K57</f>
        <v>30270.94030741</v>
      </c>
      <c r="N57" s="153" t="n">
        <v>3151019.96329411</v>
      </c>
      <c r="O57" s="7"/>
      <c r="P57" s="7"/>
      <c r="Q57" s="67" t="n">
        <f aca="false">I57*5.5017049523</f>
        <v>116032840.35772</v>
      </c>
      <c r="R57" s="67"/>
      <c r="S57" s="67"/>
      <c r="T57" s="7"/>
      <c r="U57" s="7"/>
      <c r="V57" s="67" t="n">
        <f aca="false">K57*5.5017049523</f>
        <v>5384850.95780149</v>
      </c>
      <c r="W57" s="67" t="n">
        <f aca="false">M57*5.5017049523</f>
        <v>166541.782200055</v>
      </c>
      <c r="X57" s="67" t="n">
        <f aca="false">N57*5.1890047538+L57*5.5017049523</f>
        <v>21468071.1125585</v>
      </c>
      <c r="Y57" s="67" t="n">
        <f aca="false">N57*5.1890047538</f>
        <v>16350657.5688518</v>
      </c>
      <c r="Z57" s="67" t="n">
        <f aca="false">L57*5.5017049523</f>
        <v>5117413.54370668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65"/>
      <c r="B58" s="5"/>
      <c r="C58" s="65" t="n">
        <f aca="false">C54+1</f>
        <v>2026</v>
      </c>
      <c r="D58" s="65" t="n">
        <f aca="false">D54</f>
        <v>1</v>
      </c>
      <c r="E58" s="65" t="n">
        <v>205</v>
      </c>
      <c r="F58" s="151" t="n">
        <v>23208850.0981661</v>
      </c>
      <c r="G58" s="151" t="n">
        <v>22240838.2354738</v>
      </c>
      <c r="H58" s="8" t="n">
        <f aca="false">F58-J58</f>
        <v>22100487.2951036</v>
      </c>
      <c r="I58" s="8" t="n">
        <f aca="false">G58-K58</f>
        <v>21165726.3165032</v>
      </c>
      <c r="J58" s="151" t="n">
        <v>1108362.80306247</v>
      </c>
      <c r="K58" s="151" t="n">
        <v>1075111.91897059</v>
      </c>
      <c r="L58" s="8" t="n">
        <f aca="false">H58-I58</f>
        <v>934760.97860042</v>
      </c>
      <c r="M58" s="8" t="n">
        <f aca="false">J58-K58</f>
        <v>33250.8840918799</v>
      </c>
      <c r="N58" s="151" t="n">
        <v>3751331.44518279</v>
      </c>
      <c r="O58" s="5"/>
      <c r="P58" s="5"/>
      <c r="Q58" s="8" t="n">
        <f aca="false">I58*5.5017049523</f>
        <v>116447581.294532</v>
      </c>
      <c r="R58" s="8"/>
      <c r="S58" s="8"/>
      <c r="T58" s="5"/>
      <c r="U58" s="5"/>
      <c r="V58" s="8" t="n">
        <f aca="false">K58*5.5017049523</f>
        <v>5914948.56887725</v>
      </c>
      <c r="W58" s="8" t="n">
        <f aca="false">M58*5.5017049523</f>
        <v>182936.553676649</v>
      </c>
      <c r="X58" s="8" t="n">
        <f aca="false">N58*5.1890047538+L58*5.5017049523</f>
        <v>24608455.8073156</v>
      </c>
      <c r="Y58" s="8" t="n">
        <f aca="false">N58*5.1890047538</f>
        <v>19465676.7021329</v>
      </c>
      <c r="Z58" s="8" t="n">
        <f aca="false">L58*5.5017049523</f>
        <v>5142779.10518273</v>
      </c>
      <c r="AA58" s="8"/>
      <c r="AB58" s="8"/>
      <c r="AC58" s="8"/>
      <c r="AD58" s="8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3" t="n">
        <v>23465049.5661125</v>
      </c>
      <c r="G59" s="153" t="n">
        <v>22485310.5171289</v>
      </c>
      <c r="H59" s="67" t="n">
        <f aca="false">F59-J59</f>
        <v>22264329.5737725</v>
      </c>
      <c r="I59" s="67" t="n">
        <f aca="false">G59-K59</f>
        <v>21320612.1245591</v>
      </c>
      <c r="J59" s="153" t="n">
        <v>1200719.99234002</v>
      </c>
      <c r="K59" s="153" t="n">
        <v>1164698.39256982</v>
      </c>
      <c r="L59" s="67" t="n">
        <f aca="false">H59-I59</f>
        <v>943717.449213401</v>
      </c>
      <c r="M59" s="67" t="n">
        <f aca="false">J59-K59</f>
        <v>36021.5997702</v>
      </c>
      <c r="N59" s="153" t="n">
        <v>3163742.46696385</v>
      </c>
      <c r="O59" s="7"/>
      <c r="P59" s="7"/>
      <c r="Q59" s="67" t="n">
        <f aca="false">I59*5.5017049523</f>
        <v>117299717.311754</v>
      </c>
      <c r="R59" s="67"/>
      <c r="S59" s="67"/>
      <c r="T59" s="7"/>
      <c r="U59" s="7"/>
      <c r="V59" s="67" t="n">
        <f aca="false">K59*5.5017049523</f>
        <v>6407826.91433723</v>
      </c>
      <c r="W59" s="67" t="n">
        <f aca="false">M59*5.5017049523</f>
        <v>198180.213845478</v>
      </c>
      <c r="X59" s="67" t="n">
        <f aca="false">N59*5.1890047538+L59*5.5017049523</f>
        <v>21608729.6647836</v>
      </c>
      <c r="Y59" s="67" t="n">
        <f aca="false">N59*5.1890047538</f>
        <v>16416674.7008744</v>
      </c>
      <c r="Z59" s="67" t="n">
        <f aca="false">L59*5.5017049523</f>
        <v>5192054.96390929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3" t="n">
        <v>23690644.9315165</v>
      </c>
      <c r="G60" s="153" t="n">
        <v>22700578.1745219</v>
      </c>
      <c r="H60" s="67" t="n">
        <f aca="false">F60-J60</f>
        <v>22417666.7958771</v>
      </c>
      <c r="I60" s="67" t="n">
        <f aca="false">G60-K60</f>
        <v>21465789.3829517</v>
      </c>
      <c r="J60" s="153" t="n">
        <v>1272978.13563941</v>
      </c>
      <c r="K60" s="153" t="n">
        <v>1234788.79157023</v>
      </c>
      <c r="L60" s="67" t="n">
        <f aca="false">H60-I60</f>
        <v>951877.412925419</v>
      </c>
      <c r="M60" s="67" t="n">
        <f aca="false">J60-K60</f>
        <v>38189.3440691801</v>
      </c>
      <c r="N60" s="153" t="n">
        <v>3200284.18639733</v>
      </c>
      <c r="O60" s="7"/>
      <c r="P60" s="7"/>
      <c r="Q60" s="67" t="n">
        <f aca="false">I60*5.5017049523</f>
        <v>118098439.753214</v>
      </c>
      <c r="R60" s="67"/>
      <c r="S60" s="67"/>
      <c r="T60" s="7"/>
      <c r="U60" s="7"/>
      <c r="V60" s="67" t="n">
        <f aca="false">K60*5.5017049523</f>
        <v>6793443.60962647</v>
      </c>
      <c r="W60" s="67" t="n">
        <f aca="false">M60*5.5017049523</f>
        <v>210106.503390497</v>
      </c>
      <c r="X60" s="67" t="n">
        <f aca="false">N60*5.1890047538+L60*5.5017049523</f>
        <v>21843238.533401</v>
      </c>
      <c r="Y60" s="67" t="n">
        <f aca="false">N60*5.1890047538</f>
        <v>16606289.8567267</v>
      </c>
      <c r="Z60" s="67" t="n">
        <f aca="false">L60*5.5017049523</f>
        <v>5236948.67667429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3" t="n">
        <v>23892746.1466848</v>
      </c>
      <c r="G61" s="153" t="n">
        <v>22892198.3041324</v>
      </c>
      <c r="H61" s="67" t="n">
        <f aca="false">F61-J61</f>
        <v>22545749.3184705</v>
      </c>
      <c r="I61" s="67" t="n">
        <f aca="false">G61-K61</f>
        <v>21585611.3807645</v>
      </c>
      <c r="J61" s="153" t="n">
        <v>1346996.8282143</v>
      </c>
      <c r="K61" s="153" t="n">
        <v>1306586.92336787</v>
      </c>
      <c r="L61" s="67" t="n">
        <f aca="false">H61-I61</f>
        <v>960137.937705971</v>
      </c>
      <c r="M61" s="67" t="n">
        <f aca="false">J61-K61</f>
        <v>40409.9048464301</v>
      </c>
      <c r="N61" s="153" t="n">
        <v>3124783.76254136</v>
      </c>
      <c r="O61" s="7"/>
      <c r="P61" s="7"/>
      <c r="Q61" s="67" t="n">
        <f aca="false">I61*5.5017049523</f>
        <v>118757665.031975</v>
      </c>
      <c r="R61" s="67"/>
      <c r="S61" s="67"/>
      <c r="T61" s="7"/>
      <c r="U61" s="7"/>
      <c r="V61" s="67" t="n">
        <f aca="false">K61*5.5017049523</f>
        <v>7188455.74690343</v>
      </c>
      <c r="W61" s="67" t="n">
        <f aca="false">M61*5.5017049523</f>
        <v>222323.373615576</v>
      </c>
      <c r="X61" s="67" t="n">
        <f aca="false">N61*5.1890047538+L61*5.5017049523</f>
        <v>21496913.4451922</v>
      </c>
      <c r="Y61" s="67" t="n">
        <f aca="false">N61*5.1890047538</f>
        <v>16214517.7984242</v>
      </c>
      <c r="Z61" s="67" t="n">
        <f aca="false">L61*5.5017049523</f>
        <v>5282395.64676805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65"/>
      <c r="B62" s="5"/>
      <c r="C62" s="65" t="n">
        <f aca="false">C58+1</f>
        <v>2027</v>
      </c>
      <c r="D62" s="65" t="n">
        <f aca="false">D58</f>
        <v>1</v>
      </c>
      <c r="E62" s="65" t="n">
        <v>209</v>
      </c>
      <c r="F62" s="151" t="n">
        <v>24020916.8242948</v>
      </c>
      <c r="G62" s="151" t="n">
        <v>23013511.5302217</v>
      </c>
      <c r="H62" s="8" t="n">
        <f aca="false">F62-J62</f>
        <v>22646355.6120178</v>
      </c>
      <c r="I62" s="8" t="n">
        <f aca="false">G62-K62</f>
        <v>21680187.154313</v>
      </c>
      <c r="J62" s="151" t="n">
        <v>1374561.21227703</v>
      </c>
      <c r="K62" s="151" t="n">
        <v>1333324.37590872</v>
      </c>
      <c r="L62" s="8" t="n">
        <f aca="false">H62-I62</f>
        <v>966168.457704794</v>
      </c>
      <c r="M62" s="8" t="n">
        <f aca="false">J62-K62</f>
        <v>41236.83636831</v>
      </c>
      <c r="N62" s="151" t="n">
        <v>3833139.90776968</v>
      </c>
      <c r="O62" s="5"/>
      <c r="P62" s="5"/>
      <c r="Q62" s="8" t="n">
        <f aca="false">I62*5.5017049523</f>
        <v>119277993.033675</v>
      </c>
      <c r="R62" s="8"/>
      <c r="S62" s="8"/>
      <c r="T62" s="5"/>
      <c r="U62" s="5"/>
      <c r="V62" s="8" t="n">
        <f aca="false">K62*5.5017049523</f>
        <v>7335557.32195931</v>
      </c>
      <c r="W62" s="8" t="n">
        <f aca="false">M62*5.5017049523</f>
        <v>226872.906864716</v>
      </c>
      <c r="X62" s="8" t="n">
        <f aca="false">N62*5.1890047538+L62*5.5017049523</f>
        <v>25205754.9919079</v>
      </c>
      <c r="Y62" s="8" t="n">
        <f aca="false">N62*5.1890047538</f>
        <v>19890181.2033974</v>
      </c>
      <c r="Z62" s="8" t="n">
        <f aca="false">L62*5.5017049523</f>
        <v>5315573.78851052</v>
      </c>
      <c r="AA62" s="8"/>
      <c r="AB62" s="8"/>
      <c r="AC62" s="8"/>
      <c r="AD62" s="8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3" t="n">
        <v>24107485.6500478</v>
      </c>
      <c r="G63" s="153" t="n">
        <v>23096556.7567677</v>
      </c>
      <c r="H63" s="67" t="n">
        <f aca="false">F63-J63</f>
        <v>22685746.570544</v>
      </c>
      <c r="I63" s="67" t="n">
        <f aca="false">G63-K63</f>
        <v>21717469.849649</v>
      </c>
      <c r="J63" s="153" t="n">
        <v>1421739.07950377</v>
      </c>
      <c r="K63" s="153" t="n">
        <v>1379086.90711866</v>
      </c>
      <c r="L63" s="67" t="n">
        <f aca="false">H63-I63</f>
        <v>968276.720894989</v>
      </c>
      <c r="M63" s="67" t="n">
        <f aca="false">J63-K63</f>
        <v>42652.1723851101</v>
      </c>
      <c r="N63" s="153" t="n">
        <v>3133790.78739828</v>
      </c>
      <c r="O63" s="7"/>
      <c r="P63" s="7"/>
      <c r="Q63" s="67" t="n">
        <f aca="false">I63*5.5017049523</f>
        <v>119483111.42324</v>
      </c>
      <c r="R63" s="67"/>
      <c r="S63" s="67"/>
      <c r="T63" s="7"/>
      <c r="U63" s="7"/>
      <c r="V63" s="67" t="n">
        <f aca="false">K63*5.5017049523</f>
        <v>7587329.26654682</v>
      </c>
      <c r="W63" s="67" t="n">
        <f aca="false">M63*5.5017049523</f>
        <v>234659.668037513</v>
      </c>
      <c r="X63" s="67" t="n">
        <f aca="false">N63*5.1890047538+L63*5.5017049523</f>
        <v>21588428.1237691</v>
      </c>
      <c r="Y63" s="67" t="n">
        <f aca="false">N63*5.1890047538</f>
        <v>16261255.2932243</v>
      </c>
      <c r="Z63" s="67" t="n">
        <f aca="false">L63*5.5017049523</f>
        <v>5327172.83054476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3" t="n">
        <v>24125343.2732078</v>
      </c>
      <c r="G64" s="153" t="n">
        <v>23113423.6072609</v>
      </c>
      <c r="H64" s="67" t="n">
        <f aca="false">F64-J64</f>
        <v>22627106.9186127</v>
      </c>
      <c r="I64" s="67" t="n">
        <f aca="false">G64-K64</f>
        <v>21660134.3433037</v>
      </c>
      <c r="J64" s="153" t="n">
        <v>1498236.35459505</v>
      </c>
      <c r="K64" s="153" t="n">
        <v>1453289.2639572</v>
      </c>
      <c r="L64" s="67" t="n">
        <f aca="false">H64-I64</f>
        <v>966972.575309046</v>
      </c>
      <c r="M64" s="67" t="n">
        <f aca="false">J64-K64</f>
        <v>44947.0906378499</v>
      </c>
      <c r="N64" s="153" t="n">
        <v>3070091.61313633</v>
      </c>
      <c r="O64" s="7"/>
      <c r="P64" s="7"/>
      <c r="Q64" s="67" t="n">
        <f aca="false">I64*5.5017049523</f>
        <v>119167668.384037</v>
      </c>
      <c r="R64" s="67"/>
      <c r="S64" s="67"/>
      <c r="T64" s="7"/>
      <c r="U64" s="7"/>
      <c r="V64" s="67" t="n">
        <f aca="false">K64*5.5017049523</f>
        <v>7995568.74063775</v>
      </c>
      <c r="W64" s="67" t="n">
        <f aca="false">M64*5.5017049523</f>
        <v>247285.631153736</v>
      </c>
      <c r="X64" s="67" t="n">
        <f aca="false">N64*5.1890047538+L64*5.5017049523</f>
        <v>21250717.781482</v>
      </c>
      <c r="Y64" s="67" t="n">
        <f aca="false">N64*5.1890047538</f>
        <v>15930719.9751659</v>
      </c>
      <c r="Z64" s="67" t="n">
        <f aca="false">L64*5.5017049523</f>
        <v>5319997.80631606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3" t="n">
        <v>24309580.5350025</v>
      </c>
      <c r="G65" s="153" t="n">
        <v>23289147.3889132</v>
      </c>
      <c r="H65" s="67" t="n">
        <f aca="false">F65-J65</f>
        <v>22748099.5864916</v>
      </c>
      <c r="I65" s="67" t="n">
        <f aca="false">G65-K65</f>
        <v>21774510.8688576</v>
      </c>
      <c r="J65" s="153" t="n">
        <v>1561480.94851088</v>
      </c>
      <c r="K65" s="153" t="n">
        <v>1514636.52005555</v>
      </c>
      <c r="L65" s="67" t="n">
        <f aca="false">H65-I65</f>
        <v>973588.71763397</v>
      </c>
      <c r="M65" s="67" t="n">
        <f aca="false">J65-K65</f>
        <v>46844.4284553302</v>
      </c>
      <c r="N65" s="153" t="n">
        <v>3051539.20765918</v>
      </c>
      <c r="O65" s="7"/>
      <c r="P65" s="7"/>
      <c r="Q65" s="67" t="n">
        <f aca="false">I65*5.5017049523</f>
        <v>119796934.281104</v>
      </c>
      <c r="R65" s="67"/>
      <c r="S65" s="67"/>
      <c r="T65" s="7"/>
      <c r="U65" s="7"/>
      <c r="V65" s="67" t="n">
        <f aca="false">K65*5.5017049523</f>
        <v>8333083.24332406</v>
      </c>
      <c r="W65" s="67" t="n">
        <f aca="false">M65*5.5017049523</f>
        <v>257724.224020353</v>
      </c>
      <c r="X65" s="67" t="n">
        <f aca="false">N65*5.1890047538+L65*5.5017049523</f>
        <v>21190849.3242608</v>
      </c>
      <c r="Y65" s="67" t="n">
        <f aca="false">N65*5.1890047538</f>
        <v>15834451.4549506</v>
      </c>
      <c r="Z65" s="67" t="n">
        <f aca="false">L65*5.5017049523</f>
        <v>5356397.86931022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65"/>
      <c r="B66" s="5"/>
      <c r="C66" s="65" t="n">
        <f aca="false">C62+1</f>
        <v>2028</v>
      </c>
      <c r="D66" s="65" t="n">
        <f aca="false">D62</f>
        <v>1</v>
      </c>
      <c r="E66" s="65" t="n">
        <v>213</v>
      </c>
      <c r="F66" s="151" t="n">
        <v>24556332.5777388</v>
      </c>
      <c r="G66" s="151" t="n">
        <v>23524641.6546545</v>
      </c>
      <c r="H66" s="8" t="n">
        <f aca="false">F66-J66</f>
        <v>22929295.6163712</v>
      </c>
      <c r="I66" s="8" t="n">
        <f aca="false">G66-K66</f>
        <v>21946415.8021279</v>
      </c>
      <c r="J66" s="151" t="n">
        <v>1627036.96136761</v>
      </c>
      <c r="K66" s="151" t="n">
        <v>1578225.85252659</v>
      </c>
      <c r="L66" s="8" t="n">
        <f aca="false">H66-I66</f>
        <v>982879.814243279</v>
      </c>
      <c r="M66" s="8" t="n">
        <f aca="false">J66-K66</f>
        <v>48811.1088410199</v>
      </c>
      <c r="N66" s="151" t="n">
        <v>3706697.79454412</v>
      </c>
      <c r="O66" s="5"/>
      <c r="P66" s="5"/>
      <c r="Q66" s="8" t="n">
        <f aca="false">I66*5.5017049523</f>
        <v>120742704.503802</v>
      </c>
      <c r="R66" s="8"/>
      <c r="S66" s="8"/>
      <c r="T66" s="5"/>
      <c r="U66" s="5"/>
      <c r="V66" s="8" t="n">
        <f aca="false">K66*5.5017049523</f>
        <v>8682932.98869343</v>
      </c>
      <c r="W66" s="8" t="n">
        <f aca="false">M66*5.5017049523</f>
        <v>268544.319237894</v>
      </c>
      <c r="X66" s="8" t="n">
        <f aca="false">N66*5.1890047538+L66*5.5017049523</f>
        <v>24641587.2183274</v>
      </c>
      <c r="Y66" s="8" t="n">
        <f aca="false">N66*5.1890047538</f>
        <v>19234072.4767894</v>
      </c>
      <c r="Z66" s="8" t="n">
        <f aca="false">L66*5.5017049523</f>
        <v>5407514.74153795</v>
      </c>
      <c r="AA66" s="8"/>
      <c r="AB66" s="8"/>
      <c r="AC66" s="8"/>
      <c r="AD66" s="8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3" t="n">
        <v>24719354.7729136</v>
      </c>
      <c r="G67" s="153" t="n">
        <v>23679191.1805347</v>
      </c>
      <c r="H67" s="67" t="n">
        <f aca="false">F67-J67</f>
        <v>23017261.4546117</v>
      </c>
      <c r="I67" s="67" t="n">
        <f aca="false">G67-K67</f>
        <v>22028160.6617819</v>
      </c>
      <c r="J67" s="153" t="n">
        <v>1702093.31830189</v>
      </c>
      <c r="K67" s="153" t="n">
        <v>1651030.51875284</v>
      </c>
      <c r="L67" s="67" t="n">
        <f aca="false">H67-I67</f>
        <v>989100.792829849</v>
      </c>
      <c r="M67" s="67" t="n">
        <f aca="false">J67-K67</f>
        <v>51062.7995490499</v>
      </c>
      <c r="N67" s="153" t="n">
        <v>3120322.10303429</v>
      </c>
      <c r="O67" s="7"/>
      <c r="P67" s="7"/>
      <c r="Q67" s="67" t="n">
        <f aca="false">I67*5.5017049523</f>
        <v>121192440.602985</v>
      </c>
      <c r="R67" s="67"/>
      <c r="S67" s="67"/>
      <c r="T67" s="7"/>
      <c r="U67" s="7"/>
      <c r="V67" s="67" t="n">
        <f aca="false">K67*5.5017049523</f>
        <v>9083482.78142094</v>
      </c>
      <c r="W67" s="67" t="n">
        <f aca="false">M67*5.5017049523</f>
        <v>280932.45715731</v>
      </c>
      <c r="X67" s="67" t="n">
        <f aca="false">N67*5.1890047538+L67*5.5017049523</f>
        <v>21633106.956268</v>
      </c>
      <c r="Y67" s="67" t="n">
        <f aca="false">N67*5.1890047538</f>
        <v>16191366.2260321</v>
      </c>
      <c r="Z67" s="67" t="n">
        <f aca="false">L67*5.5017049523</f>
        <v>5441740.73023584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3" t="n">
        <v>24842148.8884912</v>
      </c>
      <c r="G68" s="153" t="n">
        <v>23794727.227653</v>
      </c>
      <c r="H68" s="67" t="n">
        <f aca="false">F68-J68</f>
        <v>23113682.9057679</v>
      </c>
      <c r="I68" s="67" t="n">
        <f aca="false">G68-K68</f>
        <v>22118115.2244114</v>
      </c>
      <c r="J68" s="153" t="n">
        <v>1728465.98272327</v>
      </c>
      <c r="K68" s="153" t="n">
        <v>1676612.00324158</v>
      </c>
      <c r="L68" s="67" t="n">
        <f aca="false">H68-I68</f>
        <v>995567.681356508</v>
      </c>
      <c r="M68" s="67" t="n">
        <f aca="false">J68-K68</f>
        <v>51853.9794816901</v>
      </c>
      <c r="N68" s="153" t="n">
        <v>3086442.27252898</v>
      </c>
      <c r="O68" s="7"/>
      <c r="P68" s="7"/>
      <c r="Q68" s="67" t="n">
        <f aca="false">I68*5.5017049523</f>
        <v>121687344.065686</v>
      </c>
      <c r="R68" s="67"/>
      <c r="S68" s="67"/>
      <c r="T68" s="7"/>
      <c r="U68" s="7"/>
      <c r="V68" s="67" t="n">
        <f aca="false">K68*5.5017049523</f>
        <v>9224224.56131982</v>
      </c>
      <c r="W68" s="67" t="n">
        <f aca="false">M68*5.5017049523</f>
        <v>285285.295710877</v>
      </c>
      <c r="X68" s="67" t="n">
        <f aca="false">N68*5.1890047538+L68*5.5017049523</f>
        <v>21492883.2673511</v>
      </c>
      <c r="Y68" s="67" t="n">
        <f aca="false">N68*5.1890047538</f>
        <v>16015563.6244822</v>
      </c>
      <c r="Z68" s="67" t="n">
        <f aca="false">L68*5.5017049523</f>
        <v>5477319.64286893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3" t="n">
        <v>24902411.4179489</v>
      </c>
      <c r="G69" s="153" t="n">
        <v>23851368.6391773</v>
      </c>
      <c r="H69" s="67" t="n">
        <f aca="false">F69-J69</f>
        <v>23071921.9638021</v>
      </c>
      <c r="I69" s="67" t="n">
        <f aca="false">G69-K69</f>
        <v>22075793.8686549</v>
      </c>
      <c r="J69" s="153" t="n">
        <v>1830489.4541468</v>
      </c>
      <c r="K69" s="153" t="n">
        <v>1775574.7705224</v>
      </c>
      <c r="L69" s="67" t="n">
        <f aca="false">H69-I69</f>
        <v>996128.095147204</v>
      </c>
      <c r="M69" s="67" t="n">
        <f aca="false">J69-K69</f>
        <v>54914.6836244001</v>
      </c>
      <c r="N69" s="153" t="n">
        <v>3093845.77697919</v>
      </c>
      <c r="O69" s="7"/>
      <c r="P69" s="7"/>
      <c r="Q69" s="67" t="n">
        <f aca="false">I69*5.5017049523</f>
        <v>121454504.453133</v>
      </c>
      <c r="R69" s="67"/>
      <c r="S69" s="67"/>
      <c r="T69" s="7"/>
      <c r="U69" s="7"/>
      <c r="V69" s="67" t="n">
        <f aca="false">K69*5.5017049523</f>
        <v>9768688.50816202</v>
      </c>
      <c r="W69" s="67" t="n">
        <f aca="false">M69*5.5017049523</f>
        <v>302124.386850349</v>
      </c>
      <c r="X69" s="67" t="n">
        <f aca="false">N69*5.1890047538+L69*5.5017049523</f>
        <v>21534383.3184656</v>
      </c>
      <c r="Y69" s="67" t="n">
        <f aca="false">N69*5.1890047538</f>
        <v>16053980.4442691</v>
      </c>
      <c r="Z69" s="67" t="n">
        <f aca="false">L69*5.5017049523</f>
        <v>5480402.87419654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65"/>
      <c r="B70" s="5"/>
      <c r="C70" s="65" t="n">
        <f aca="false">C66+1</f>
        <v>2029</v>
      </c>
      <c r="D70" s="65" t="n">
        <f aca="false">D66</f>
        <v>1</v>
      </c>
      <c r="E70" s="65" t="n">
        <v>217</v>
      </c>
      <c r="F70" s="151" t="n">
        <v>25068601.2109085</v>
      </c>
      <c r="G70" s="151" t="n">
        <v>24009874.4916665</v>
      </c>
      <c r="H70" s="8" t="n">
        <f aca="false">F70-J70</f>
        <v>23132669.5057349</v>
      </c>
      <c r="I70" s="8" t="n">
        <f aca="false">G70-K70</f>
        <v>22132020.7376481</v>
      </c>
      <c r="J70" s="151" t="n">
        <v>1935931.70517363</v>
      </c>
      <c r="K70" s="151" t="n">
        <v>1877853.75401842</v>
      </c>
      <c r="L70" s="8" t="n">
        <f aca="false">H70-I70</f>
        <v>1000648.76808679</v>
      </c>
      <c r="M70" s="8" t="n">
        <f aca="false">J70-K70</f>
        <v>58077.9511552101</v>
      </c>
      <c r="N70" s="151" t="n">
        <v>3718617.66474102</v>
      </c>
      <c r="O70" s="5"/>
      <c r="P70" s="5"/>
      <c r="Q70" s="8" t="n">
        <f aca="false">I70*5.5017049523</f>
        <v>121763848.096725</v>
      </c>
      <c r="R70" s="8"/>
      <c r="S70" s="8"/>
      <c r="T70" s="5"/>
      <c r="U70" s="5"/>
      <c r="V70" s="8" t="n">
        <f aca="false">K70*5.5017049523</f>
        <v>10331397.2981783</v>
      </c>
      <c r="W70" s="8" t="n">
        <f aca="false">M70*5.5017049523</f>
        <v>319527.751490057</v>
      </c>
      <c r="X70" s="8" t="n">
        <f aca="false">N70*5.1890047538+L70*5.5017049523</f>
        <v>24801199.0228018</v>
      </c>
      <c r="Y70" s="8" t="n">
        <f aca="false">N70*5.1890047538</f>
        <v>19295924.7399058</v>
      </c>
      <c r="Z70" s="8" t="n">
        <f aca="false">L70*5.5017049523</f>
        <v>5505274.28289597</v>
      </c>
      <c r="AA70" s="8"/>
      <c r="AB70" s="8"/>
      <c r="AC70" s="8"/>
      <c r="AD70" s="8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3" t="n">
        <v>25216349.0321815</v>
      </c>
      <c r="G71" s="153" t="n">
        <v>24151014.7600098</v>
      </c>
      <c r="H71" s="67" t="n">
        <f aca="false">F71-J71</f>
        <v>23242136.4842196</v>
      </c>
      <c r="I71" s="67" t="n">
        <f aca="false">G71-K71</f>
        <v>22236028.5884868</v>
      </c>
      <c r="J71" s="153" t="n">
        <v>1974212.54796187</v>
      </c>
      <c r="K71" s="153" t="n">
        <v>1914986.17152302</v>
      </c>
      <c r="L71" s="67" t="n">
        <f aca="false">H71-I71</f>
        <v>1006107.89573285</v>
      </c>
      <c r="M71" s="67" t="n">
        <f aca="false">J71-K71</f>
        <v>59226.3764388501</v>
      </c>
      <c r="N71" s="153" t="n">
        <v>3026497.80860562</v>
      </c>
      <c r="O71" s="7"/>
      <c r="P71" s="7"/>
      <c r="Q71" s="67" t="n">
        <f aca="false">I71*5.5017049523</f>
        <v>122336068.604762</v>
      </c>
      <c r="R71" s="67"/>
      <c r="S71" s="67"/>
      <c r="T71" s="7"/>
      <c r="U71" s="7"/>
      <c r="V71" s="67" t="n">
        <f aca="false">K71*5.5017049523</f>
        <v>10535688.9034542</v>
      </c>
      <c r="W71" s="67" t="n">
        <f aca="false">M71*5.5017049523</f>
        <v>325846.048560405</v>
      </c>
      <c r="X71" s="67" t="n">
        <f aca="false">N71*5.1890047538+L71*5.5017049523</f>
        <v>21239820.3087214</v>
      </c>
      <c r="Y71" s="67" t="n">
        <f aca="false">N71*5.1890047538</f>
        <v>15704511.5162198</v>
      </c>
      <c r="Z71" s="67" t="n">
        <f aca="false">L71*5.5017049523</f>
        <v>5535308.79250157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3" t="n">
        <v>25271292.9566648</v>
      </c>
      <c r="G72" s="153" t="n">
        <v>24202911.4793868</v>
      </c>
      <c r="H72" s="67" t="n">
        <f aca="false">F72-J72</f>
        <v>23273741.063688</v>
      </c>
      <c r="I72" s="67" t="n">
        <f aca="false">G72-K72</f>
        <v>22265286.1431993</v>
      </c>
      <c r="J72" s="153" t="n">
        <v>1997551.89297683</v>
      </c>
      <c r="K72" s="153" t="n">
        <v>1937625.33618753</v>
      </c>
      <c r="L72" s="67" t="n">
        <f aca="false">H72-I72</f>
        <v>1008454.9204887</v>
      </c>
      <c r="M72" s="67" t="n">
        <f aca="false">J72-K72</f>
        <v>59926.5567892999</v>
      </c>
      <c r="N72" s="153" t="n">
        <v>2998823.64035062</v>
      </c>
      <c r="O72" s="7"/>
      <c r="P72" s="7"/>
      <c r="Q72" s="67" t="n">
        <f aca="false">I72*5.5017049523</f>
        <v>122497035.038416</v>
      </c>
      <c r="R72" s="67"/>
      <c r="S72" s="67"/>
      <c r="T72" s="7"/>
      <c r="U72" s="7"/>
      <c r="V72" s="67" t="n">
        <f aca="false">K72*5.5017049523</f>
        <v>10660242.9078049</v>
      </c>
      <c r="W72" s="67" t="n">
        <f aca="false">M72*5.5017049523</f>
        <v>329698.234261979</v>
      </c>
      <c r="X72" s="67" t="n">
        <f aca="false">N72*5.1890047538+L72*5.5017049523</f>
        <v>21109131.5558112</v>
      </c>
      <c r="Y72" s="67" t="n">
        <f aca="false">N72*5.1890047538</f>
        <v>15560910.1255872</v>
      </c>
      <c r="Z72" s="67" t="n">
        <f aca="false">L72*5.5017049523</f>
        <v>5548221.43022398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3" t="n">
        <v>25376763.8404585</v>
      </c>
      <c r="G73" s="153" t="n">
        <v>24304319.5067105</v>
      </c>
      <c r="H73" s="67" t="n">
        <f aca="false">F73-J73</f>
        <v>23329307.1282802</v>
      </c>
      <c r="I73" s="67" t="n">
        <f aca="false">G73-K73</f>
        <v>22318286.4958975</v>
      </c>
      <c r="J73" s="153" t="n">
        <v>2047456.7121783</v>
      </c>
      <c r="K73" s="153" t="n">
        <v>1986033.01081295</v>
      </c>
      <c r="L73" s="67" t="n">
        <f aca="false">H73-I73</f>
        <v>1011020.63238265</v>
      </c>
      <c r="M73" s="67" t="n">
        <f aca="false">J73-K73</f>
        <v>61423.7013653498</v>
      </c>
      <c r="N73" s="153" t="n">
        <v>2988668.65205898</v>
      </c>
      <c r="O73" s="7"/>
      <c r="P73" s="7"/>
      <c r="Q73" s="67" t="n">
        <f aca="false">I73*5.5017049523</f>
        <v>122788627.34133</v>
      </c>
      <c r="R73" s="67"/>
      <c r="S73" s="67"/>
      <c r="T73" s="7"/>
      <c r="U73" s="7"/>
      <c r="V73" s="67" t="n">
        <f aca="false">K73*5.5017049523</f>
        <v>10926567.6510209</v>
      </c>
      <c r="W73" s="67" t="n">
        <f aca="false">M73*5.5017049523</f>
        <v>337935.081990341</v>
      </c>
      <c r="X73" s="67" t="n">
        <f aca="false">N73*5.1890047538+L73*5.5017049523</f>
        <v>21070553.0631242</v>
      </c>
      <c r="Y73" s="67" t="n">
        <f aca="false">N73*5.1890047538</f>
        <v>15508215.8430671</v>
      </c>
      <c r="Z73" s="67" t="n">
        <f aca="false">L73*5.5017049523</f>
        <v>5562337.2200571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65"/>
      <c r="B74" s="5"/>
      <c r="C74" s="65" t="n">
        <f aca="false">C70+1</f>
        <v>2030</v>
      </c>
      <c r="D74" s="65" t="n">
        <f aca="false">D70</f>
        <v>1</v>
      </c>
      <c r="E74" s="65" t="n">
        <v>221</v>
      </c>
      <c r="F74" s="151" t="n">
        <v>25524916.1934992</v>
      </c>
      <c r="G74" s="151" t="n">
        <v>24444955.6186869</v>
      </c>
      <c r="H74" s="8" t="n">
        <f aca="false">F74-J74</f>
        <v>23406560.1739096</v>
      </c>
      <c r="I74" s="8" t="n">
        <f aca="false">G74-K74</f>
        <v>22390150.279685</v>
      </c>
      <c r="J74" s="151" t="n">
        <v>2118356.01958962</v>
      </c>
      <c r="K74" s="151" t="n">
        <v>2054805.33900193</v>
      </c>
      <c r="L74" s="8" t="n">
        <f aca="false">H74-I74</f>
        <v>1016409.89422461</v>
      </c>
      <c r="M74" s="8" t="n">
        <f aca="false">J74-K74</f>
        <v>63550.6805876901</v>
      </c>
      <c r="N74" s="151" t="n">
        <v>3646946.3424825</v>
      </c>
      <c r="O74" s="5"/>
      <c r="P74" s="5"/>
      <c r="Q74" s="8" t="n">
        <f aca="false">I74*5.5017049523</f>
        <v>123184000.676484</v>
      </c>
      <c r="R74" s="8"/>
      <c r="S74" s="8"/>
      <c r="T74" s="5"/>
      <c r="U74" s="5"/>
      <c r="V74" s="8" t="n">
        <f aca="false">K74*5.5017049523</f>
        <v>11304932.7095994</v>
      </c>
      <c r="W74" s="8" t="n">
        <f aca="false">M74*5.5017049523</f>
        <v>349637.09411133</v>
      </c>
      <c r="X74" s="8" t="n">
        <f aca="false">N74*5.1890047538+L74*5.5017049523</f>
        <v>24516009.2566175</v>
      </c>
      <c r="Y74" s="8" t="n">
        <f aca="false">N74*5.1890047538</f>
        <v>18924021.9079952</v>
      </c>
      <c r="Z74" s="8" t="n">
        <f aca="false">L74*5.5017049523</f>
        <v>5591987.34862226</v>
      </c>
      <c r="AA74" s="8"/>
      <c r="AB74" s="8"/>
      <c r="AC74" s="8"/>
      <c r="AD74" s="8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3" t="n">
        <v>25712438.9415551</v>
      </c>
      <c r="G75" s="153" t="n">
        <v>24623332.4605618</v>
      </c>
      <c r="H75" s="67" t="n">
        <f aca="false">F75-J75</f>
        <v>23538518.604562</v>
      </c>
      <c r="I75" s="67" t="n">
        <f aca="false">G75-K75</f>
        <v>22514629.7336785</v>
      </c>
      <c r="J75" s="153" t="n">
        <v>2173920.33699306</v>
      </c>
      <c r="K75" s="153" t="n">
        <v>2108702.72688327</v>
      </c>
      <c r="L75" s="67" t="n">
        <f aca="false">H75-I75</f>
        <v>1023888.87088351</v>
      </c>
      <c r="M75" s="67" t="n">
        <f aca="false">J75-K75</f>
        <v>65217.6101097902</v>
      </c>
      <c r="N75" s="153" t="n">
        <v>2977088.58618539</v>
      </c>
      <c r="O75" s="7"/>
      <c r="P75" s="7"/>
      <c r="Q75" s="67" t="n">
        <f aca="false">I75*5.5017049523</f>
        <v>123868849.90498</v>
      </c>
      <c r="R75" s="67"/>
      <c r="S75" s="67"/>
      <c r="T75" s="7"/>
      <c r="U75" s="7"/>
      <c r="V75" s="67" t="n">
        <f aca="false">K75*5.5017049523</f>
        <v>11601460.2354222</v>
      </c>
      <c r="W75" s="67" t="n">
        <f aca="false">M75*5.5017049523</f>
        <v>358808.048518203</v>
      </c>
      <c r="X75" s="67" t="n">
        <f aca="false">N75*5.1890047538+L75*5.5017049523</f>
        <v>21081261.2977444</v>
      </c>
      <c r="Y75" s="67" t="n">
        <f aca="false">N75*5.1890047538</f>
        <v>15448126.8261997</v>
      </c>
      <c r="Z75" s="67" t="n">
        <f aca="false">L75*5.5017049523</f>
        <v>5633134.47154466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3" t="n">
        <v>25858273.8196427</v>
      </c>
      <c r="G76" s="153" t="n">
        <v>24762550.4026888</v>
      </c>
      <c r="H76" s="67" t="n">
        <f aca="false">F76-J76</f>
        <v>23621436.9908399</v>
      </c>
      <c r="I76" s="67" t="n">
        <f aca="false">G76-K76</f>
        <v>22592818.6787501</v>
      </c>
      <c r="J76" s="153" t="n">
        <v>2236836.82880278</v>
      </c>
      <c r="K76" s="153" t="n">
        <v>2169731.72393869</v>
      </c>
      <c r="L76" s="67" t="n">
        <f aca="false">H76-I76</f>
        <v>1028618.31208981</v>
      </c>
      <c r="M76" s="67" t="n">
        <f aca="false">J76-K76</f>
        <v>67105.1048640897</v>
      </c>
      <c r="N76" s="153" t="n">
        <v>2990925.79380219</v>
      </c>
      <c r="O76" s="7"/>
      <c r="P76" s="7"/>
      <c r="Q76" s="67" t="n">
        <f aca="false">I76*5.5017049523</f>
        <v>124299022.411295</v>
      </c>
      <c r="R76" s="67"/>
      <c r="S76" s="67"/>
      <c r="T76" s="7"/>
      <c r="U76" s="7"/>
      <c r="V76" s="67" t="n">
        <f aca="false">K76*5.5017049523</f>
        <v>11937223.7707559</v>
      </c>
      <c r="W76" s="67" t="n">
        <f aca="false">M76*5.5017049523</f>
        <v>369192.487755373</v>
      </c>
      <c r="X76" s="67" t="n">
        <f aca="false">N76*5.1890047538+L76*5.5017049523</f>
        <v>21179082.6239536</v>
      </c>
      <c r="Y76" s="67" t="n">
        <f aca="false">N76*5.1890047538</f>
        <v>15519928.1623026</v>
      </c>
      <c r="Z76" s="67" t="n">
        <f aca="false">L76*5.5017049523</f>
        <v>5659154.46165096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3" t="n">
        <v>25966132.3053302</v>
      </c>
      <c r="G77" s="153" t="n">
        <v>24864868.4905382</v>
      </c>
      <c r="H77" s="67" t="n">
        <f aca="false">F77-J77</f>
        <v>23703601.1355559</v>
      </c>
      <c r="I77" s="67" t="n">
        <f aca="false">G77-K77</f>
        <v>22670213.2558571</v>
      </c>
      <c r="J77" s="153" t="n">
        <v>2262531.16977432</v>
      </c>
      <c r="K77" s="153" t="n">
        <v>2194655.23468109</v>
      </c>
      <c r="L77" s="67" t="n">
        <f aca="false">H77-I77</f>
        <v>1033387.87969877</v>
      </c>
      <c r="M77" s="67" t="n">
        <f aca="false">J77-K77</f>
        <v>67875.9350932301</v>
      </c>
      <c r="N77" s="153" t="n">
        <v>3006004.8769193</v>
      </c>
      <c r="O77" s="7"/>
      <c r="P77" s="7"/>
      <c r="Q77" s="67" t="n">
        <f aca="false">I77*5.5017049523</f>
        <v>124724824.539446</v>
      </c>
      <c r="R77" s="67"/>
      <c r="S77" s="67"/>
      <c r="T77" s="7"/>
      <c r="U77" s="7"/>
      <c r="V77" s="67" t="n">
        <f aca="false">K77*5.5017049523</f>
        <v>12074345.5732361</v>
      </c>
      <c r="W77" s="67" t="n">
        <f aca="false">M77*5.5017049523</f>
        <v>373433.368244417</v>
      </c>
      <c r="X77" s="67" t="n">
        <f aca="false">N77*5.1890047538+L77*5.5017049523</f>
        <v>21283568.8116657</v>
      </c>
      <c r="Y77" s="67" t="n">
        <f aca="false">N77*5.1890047538</f>
        <v>15598173.5962802</v>
      </c>
      <c r="Z77" s="67" t="n">
        <f aca="false">L77*5.5017049523</f>
        <v>5685395.21538551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65"/>
      <c r="B78" s="5"/>
      <c r="C78" s="65" t="n">
        <f aca="false">C74+1</f>
        <v>2031</v>
      </c>
      <c r="D78" s="65" t="n">
        <f aca="false">D74</f>
        <v>1</v>
      </c>
      <c r="E78" s="65" t="n">
        <v>225</v>
      </c>
      <c r="F78" s="151" t="n">
        <v>26147639.8443583</v>
      </c>
      <c r="G78" s="151" t="n">
        <v>25038271.0831</v>
      </c>
      <c r="H78" s="8" t="n">
        <f aca="false">F78-J78</f>
        <v>23787513.256978</v>
      </c>
      <c r="I78" s="8" t="n">
        <f aca="false">G78-K78</f>
        <v>22748948.2933411</v>
      </c>
      <c r="J78" s="151" t="n">
        <v>2360126.58738033</v>
      </c>
      <c r="K78" s="151" t="n">
        <v>2289322.78975892</v>
      </c>
      <c r="L78" s="8" t="n">
        <f aca="false">H78-I78</f>
        <v>1038564.96363689</v>
      </c>
      <c r="M78" s="8" t="n">
        <f aca="false">J78-K78</f>
        <v>70803.7976214099</v>
      </c>
      <c r="N78" s="151" t="n">
        <v>3535441.62803204</v>
      </c>
      <c r="O78" s="5"/>
      <c r="P78" s="5"/>
      <c r="Q78" s="8" t="n">
        <f aca="false">I78*5.5017049523</f>
        <v>125158001.485091</v>
      </c>
      <c r="R78" s="8"/>
      <c r="S78" s="8"/>
      <c r="T78" s="5"/>
      <c r="U78" s="5"/>
      <c r="V78" s="8" t="n">
        <f aca="false">K78*5.5017049523</f>
        <v>12595178.5298299</v>
      </c>
      <c r="W78" s="8" t="n">
        <f aca="false">M78*5.5017049523</f>
        <v>389541.604015358</v>
      </c>
      <c r="X78" s="8" t="n">
        <f aca="false">N78*5.1890047538+L78*5.5017049523</f>
        <v>24059301.418367</v>
      </c>
      <c r="Y78" s="8" t="n">
        <f aca="false">N78*5.1890047538</f>
        <v>18345423.4146407</v>
      </c>
      <c r="Z78" s="8" t="n">
        <f aca="false">L78*5.5017049523</f>
        <v>5713878.00372635</v>
      </c>
      <c r="AA78" s="8"/>
      <c r="AB78" s="8"/>
      <c r="AC78" s="8"/>
      <c r="AD78" s="8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3" t="n">
        <v>26158773.1880026</v>
      </c>
      <c r="G79" s="153" t="n">
        <v>25048890.9292994</v>
      </c>
      <c r="H79" s="67" t="n">
        <f aca="false">F79-J79</f>
        <v>23748442.6247375</v>
      </c>
      <c r="I79" s="67" t="n">
        <f aca="false">G79-K79</f>
        <v>22710870.2829323</v>
      </c>
      <c r="J79" s="153" t="n">
        <v>2410330.56326508</v>
      </c>
      <c r="K79" s="153" t="n">
        <v>2338020.64636713</v>
      </c>
      <c r="L79" s="67" t="n">
        <f aca="false">H79-I79</f>
        <v>1037572.34180525</v>
      </c>
      <c r="M79" s="67" t="n">
        <f aca="false">J79-K79</f>
        <v>72309.9168979502</v>
      </c>
      <c r="N79" s="153" t="n">
        <v>2856893.81585843</v>
      </c>
      <c r="O79" s="7"/>
      <c r="P79" s="7"/>
      <c r="Q79" s="67" t="n">
        <f aca="false">I79*5.5017049523</f>
        <v>124948507.506651</v>
      </c>
      <c r="R79" s="67"/>
      <c r="S79" s="67"/>
      <c r="T79" s="7"/>
      <c r="U79" s="7"/>
      <c r="V79" s="67" t="n">
        <f aca="false">K79*5.5017049523</f>
        <v>12863099.7686977</v>
      </c>
      <c r="W79" s="67" t="n">
        <f aca="false">M79*5.5017049523</f>
        <v>397827.827897854</v>
      </c>
      <c r="X79" s="67" t="n">
        <f aca="false">N79*5.1890047538+L79*5.5017049523</f>
        <v>20532852.4828707</v>
      </c>
      <c r="Y79" s="67" t="n">
        <f aca="false">N79*5.1890047538</f>
        <v>14824435.5915912</v>
      </c>
      <c r="Z79" s="67" t="n">
        <f aca="false">L79*5.5017049523</f>
        <v>5708416.89127945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3" t="n">
        <v>26249213.2848827</v>
      </c>
      <c r="G80" s="153" t="n">
        <v>25133972.9367832</v>
      </c>
      <c r="H80" s="67" t="n">
        <f aca="false">F80-J80</f>
        <v>23810965.8882733</v>
      </c>
      <c r="I80" s="67" t="n">
        <f aca="false">G80-K80</f>
        <v>22768872.9620721</v>
      </c>
      <c r="J80" s="153" t="n">
        <v>2438247.3966094</v>
      </c>
      <c r="K80" s="153" t="n">
        <v>2365099.97471112</v>
      </c>
      <c r="L80" s="67" t="n">
        <f aca="false">H80-I80</f>
        <v>1042092.92620122</v>
      </c>
      <c r="M80" s="67" t="n">
        <f aca="false">J80-K80</f>
        <v>73147.4218982798</v>
      </c>
      <c r="N80" s="153" t="n">
        <v>2824314.47312612</v>
      </c>
      <c r="O80" s="7"/>
      <c r="P80" s="7"/>
      <c r="Q80" s="67" t="n">
        <f aca="false">I80*5.5017049523</f>
        <v>125267621.133722</v>
      </c>
      <c r="R80" s="67"/>
      <c r="S80" s="67"/>
      <c r="T80" s="7"/>
      <c r="U80" s="7"/>
      <c r="V80" s="67" t="n">
        <f aca="false">K80*5.5017049523</f>
        <v>13012082.2435528</v>
      </c>
      <c r="W80" s="67" t="n">
        <f aca="false">M80*5.5017049523</f>
        <v>402435.533305744</v>
      </c>
      <c r="X80" s="67" t="n">
        <f aca="false">N80*5.1890047538+L80*5.5017049523</f>
        <v>20388669.0401156</v>
      </c>
      <c r="Y80" s="67" t="n">
        <f aca="false">N80*5.1890047538</f>
        <v>14655381.2272776</v>
      </c>
      <c r="Z80" s="67" t="n">
        <f aca="false">L80*5.5017049523</f>
        <v>5733287.81283805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3" t="n">
        <v>26360311.068552</v>
      </c>
      <c r="G81" s="153" t="n">
        <v>25240380.1477451</v>
      </c>
      <c r="H81" s="67" t="n">
        <f aca="false">F81-J81</f>
        <v>23838384.6155342</v>
      </c>
      <c r="I81" s="67" t="n">
        <f aca="false">G81-K81</f>
        <v>22794111.4883178</v>
      </c>
      <c r="J81" s="153" t="n">
        <v>2521926.45301784</v>
      </c>
      <c r="K81" s="153" t="n">
        <v>2446268.6594273</v>
      </c>
      <c r="L81" s="67" t="n">
        <f aca="false">H81-I81</f>
        <v>1044273.12721636</v>
      </c>
      <c r="M81" s="67" t="n">
        <f aca="false">J81-K81</f>
        <v>75657.7935905401</v>
      </c>
      <c r="N81" s="153" t="n">
        <v>2844324.73887467</v>
      </c>
      <c r="O81" s="7"/>
      <c r="P81" s="7"/>
      <c r="Q81" s="67" t="n">
        <f aca="false">I81*5.5017049523</f>
        <v>125406476.058556</v>
      </c>
      <c r="R81" s="67"/>
      <c r="S81" s="67"/>
      <c r="T81" s="7"/>
      <c r="U81" s="7"/>
      <c r="V81" s="67" t="n">
        <f aca="false">K81*5.5017049523</f>
        <v>13458648.3982275</v>
      </c>
      <c r="W81" s="67" t="n">
        <f aca="false">M81*5.5017049523</f>
        <v>416246.857677166</v>
      </c>
      <c r="X81" s="67" t="n">
        <f aca="false">N81*5.1890047538+L81*5.5017049523</f>
        <v>20504497.2269316</v>
      </c>
      <c r="Y81" s="67" t="n">
        <f aca="false">N81*5.1890047538</f>
        <v>14759214.5913716</v>
      </c>
      <c r="Z81" s="67" t="n">
        <f aca="false">L81*5.5017049523</f>
        <v>5745282.63556004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65"/>
      <c r="B82" s="5"/>
      <c r="C82" s="65" t="n">
        <f aca="false">C78+1</f>
        <v>2032</v>
      </c>
      <c r="D82" s="65" t="n">
        <f aca="false">D78</f>
        <v>1</v>
      </c>
      <c r="E82" s="65" t="n">
        <v>229</v>
      </c>
      <c r="F82" s="151" t="n">
        <v>26470206.1598927</v>
      </c>
      <c r="G82" s="151" t="n">
        <v>25344962.7394989</v>
      </c>
      <c r="H82" s="8" t="n">
        <f aca="false">F82-J82</f>
        <v>23855919.2319831</v>
      </c>
      <c r="I82" s="8" t="n">
        <f aca="false">G82-K82</f>
        <v>22809104.4194266</v>
      </c>
      <c r="J82" s="151" t="n">
        <v>2614286.92790956</v>
      </c>
      <c r="K82" s="151" t="n">
        <v>2535858.32007228</v>
      </c>
      <c r="L82" s="8" t="n">
        <f aca="false">H82-I82</f>
        <v>1046814.81255652</v>
      </c>
      <c r="M82" s="8" t="n">
        <f aca="false">J82-K82</f>
        <v>78428.6078372803</v>
      </c>
      <c r="N82" s="151" t="n">
        <v>3444354.70737903</v>
      </c>
      <c r="O82" s="5"/>
      <c r="P82" s="5"/>
      <c r="Q82" s="8" t="n">
        <f aca="false">I82*5.5017049523</f>
        <v>125488962.741887</v>
      </c>
      <c r="R82" s="8"/>
      <c r="S82" s="8"/>
      <c r="T82" s="5"/>
      <c r="U82" s="5"/>
      <c r="V82" s="8" t="n">
        <f aca="false">K82*5.5017049523</f>
        <v>13951544.2778728</v>
      </c>
      <c r="W82" s="8" t="n">
        <f aca="false">M82*5.5017049523</f>
        <v>431491.060140359</v>
      </c>
      <c r="X82" s="8" t="n">
        <f aca="false">N82*5.1890047538+L82*5.5017049523</f>
        <v>23632039.1887464</v>
      </c>
      <c r="Y82" s="8" t="n">
        <f aca="false">N82*5.1890047538</f>
        <v>17872772.9503632</v>
      </c>
      <c r="Z82" s="8" t="n">
        <f aca="false">L82*5.5017049523</f>
        <v>5759266.2383832</v>
      </c>
      <c r="AA82" s="8"/>
      <c r="AB82" s="8"/>
      <c r="AC82" s="8"/>
      <c r="AD82" s="8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3" t="n">
        <v>26612248.0791439</v>
      </c>
      <c r="G83" s="153" t="n">
        <v>25479650.8450774</v>
      </c>
      <c r="H83" s="67" t="n">
        <f aca="false">F83-J83</f>
        <v>23914292.579299</v>
      </c>
      <c r="I83" s="67" t="n">
        <f aca="false">G83-K83</f>
        <v>22862634.0102278</v>
      </c>
      <c r="J83" s="153" t="n">
        <v>2697955.49984492</v>
      </c>
      <c r="K83" s="153" t="n">
        <v>2617016.83484957</v>
      </c>
      <c r="L83" s="67" t="n">
        <f aca="false">H83-I83</f>
        <v>1051658.56907115</v>
      </c>
      <c r="M83" s="67" t="n">
        <f aca="false">J83-K83</f>
        <v>80938.66499535</v>
      </c>
      <c r="N83" s="153" t="n">
        <v>2769617.00209895</v>
      </c>
      <c r="O83" s="7"/>
      <c r="P83" s="7"/>
      <c r="Q83" s="67" t="n">
        <f aca="false">I83*5.5017049523</f>
        <v>125783466.756693</v>
      </c>
      <c r="R83" s="67"/>
      <c r="S83" s="67"/>
      <c r="T83" s="7"/>
      <c r="U83" s="7"/>
      <c r="V83" s="67" t="n">
        <f aca="false">K83*5.5017049523</f>
        <v>14398054.4805443</v>
      </c>
      <c r="W83" s="67" t="n">
        <f aca="false">M83*5.5017049523</f>
        <v>445300.654037467</v>
      </c>
      <c r="X83" s="67" t="n">
        <f aca="false">N83*5.1890047538+L83*5.5017049523</f>
        <v>20157470.9476842</v>
      </c>
      <c r="Y83" s="67" t="n">
        <f aca="false">N83*5.1890047538</f>
        <v>14371555.7900968</v>
      </c>
      <c r="Z83" s="67" t="n">
        <f aca="false">L83*5.5017049523</f>
        <v>5785915.15758748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3" t="n">
        <v>26805542.3545941</v>
      </c>
      <c r="G84" s="153" t="n">
        <v>25664127.0984743</v>
      </c>
      <c r="H84" s="67" t="n">
        <f aca="false">F84-J84</f>
        <v>23999244.0638418</v>
      </c>
      <c r="I84" s="67" t="n">
        <f aca="false">G84-K84</f>
        <v>22942017.7564445</v>
      </c>
      <c r="J84" s="153" t="n">
        <v>2806298.29075234</v>
      </c>
      <c r="K84" s="153" t="n">
        <v>2722109.34202977</v>
      </c>
      <c r="L84" s="67" t="n">
        <f aca="false">H84-I84</f>
        <v>1057226.30739723</v>
      </c>
      <c r="M84" s="67" t="n">
        <f aca="false">J84-K84</f>
        <v>84188.9487225702</v>
      </c>
      <c r="N84" s="153" t="n">
        <v>2834320.76781347</v>
      </c>
      <c r="O84" s="7"/>
      <c r="P84" s="7"/>
      <c r="Q84" s="67" t="n">
        <f aca="false">I84*5.5017049523</f>
        <v>126220212.706385</v>
      </c>
      <c r="R84" s="67"/>
      <c r="S84" s="67"/>
      <c r="T84" s="7"/>
      <c r="U84" s="7"/>
      <c r="V84" s="67" t="n">
        <f aca="false">K84*5.5017049523</f>
        <v>14976242.4477473</v>
      </c>
      <c r="W84" s="67" t="n">
        <f aca="false">M84*5.5017049523</f>
        <v>463182.756115895</v>
      </c>
      <c r="X84" s="67" t="n">
        <f aca="false">N84*5.1890047538+L84*5.5017049523</f>
        <v>20523851.1490873</v>
      </c>
      <c r="Y84" s="67" t="n">
        <f aca="false">N84*5.1890047538</f>
        <v>14707303.9379782</v>
      </c>
      <c r="Z84" s="67" t="n">
        <f aca="false">L84*5.5017049523</f>
        <v>5816547.21110917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3" t="n">
        <v>26900437.396918</v>
      </c>
      <c r="G85" s="153" t="n">
        <v>25754338.9144816</v>
      </c>
      <c r="H85" s="67" t="n">
        <f aca="false">F85-J85</f>
        <v>24023001.2224057</v>
      </c>
      <c r="I85" s="67" t="n">
        <f aca="false">G85-K85</f>
        <v>22963225.8252047</v>
      </c>
      <c r="J85" s="153" t="n">
        <v>2877436.17451231</v>
      </c>
      <c r="K85" s="153" t="n">
        <v>2791113.08927694</v>
      </c>
      <c r="L85" s="67" t="n">
        <f aca="false">H85-I85</f>
        <v>1059775.39720103</v>
      </c>
      <c r="M85" s="67" t="n">
        <f aca="false">J85-K85</f>
        <v>86323.0852353699</v>
      </c>
      <c r="N85" s="153" t="n">
        <v>2793819.88139458</v>
      </c>
      <c r="O85" s="7"/>
      <c r="P85" s="7"/>
      <c r="Q85" s="67" t="n">
        <f aca="false">I85*5.5017049523</f>
        <v>126336893.243312</v>
      </c>
      <c r="R85" s="67"/>
      <c r="S85" s="67"/>
      <c r="T85" s="7"/>
      <c r="U85" s="7"/>
      <c r="V85" s="67" t="n">
        <f aca="false">K85*5.5017049523</f>
        <v>15355880.7057043</v>
      </c>
      <c r="W85" s="67" t="n">
        <f aca="false">M85*5.5017049523</f>
        <v>474924.145537249</v>
      </c>
      <c r="X85" s="67" t="n">
        <f aca="false">N85*5.1890047538+L85*5.5017049523</f>
        <v>20327716.196924</v>
      </c>
      <c r="Y85" s="67" t="n">
        <f aca="false">N85*5.1890047538</f>
        <v>14497144.6458174</v>
      </c>
      <c r="Z85" s="67" t="n">
        <f aca="false">L85*5.5017049523</f>
        <v>5830571.55110659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65"/>
      <c r="B86" s="5"/>
      <c r="C86" s="65" t="n">
        <f aca="false">C82+1</f>
        <v>2033</v>
      </c>
      <c r="D86" s="65" t="n">
        <f aca="false">D82</f>
        <v>1</v>
      </c>
      <c r="E86" s="65" t="n">
        <v>233</v>
      </c>
      <c r="F86" s="151" t="n">
        <v>26988644.2825858</v>
      </c>
      <c r="G86" s="151" t="n">
        <v>25839381.1444147</v>
      </c>
      <c r="H86" s="8" t="n">
        <f aca="false">F86-J86</f>
        <v>24043283.5864767</v>
      </c>
      <c r="I86" s="8" t="n">
        <f aca="false">G86-K86</f>
        <v>22982381.2691889</v>
      </c>
      <c r="J86" s="151" t="n">
        <v>2945360.69610911</v>
      </c>
      <c r="K86" s="151" t="n">
        <v>2856999.87522584</v>
      </c>
      <c r="L86" s="8" t="n">
        <f aca="false">H86-I86</f>
        <v>1060902.31728783</v>
      </c>
      <c r="M86" s="8" t="n">
        <f aca="false">J86-K86</f>
        <v>88360.8208832699</v>
      </c>
      <c r="N86" s="151" t="n">
        <v>3360604.53333141</v>
      </c>
      <c r="O86" s="5"/>
      <c r="P86" s="5"/>
      <c r="Q86" s="8" t="n">
        <f aca="false">I86*5.5017049523</f>
        <v>126442280.844343</v>
      </c>
      <c r="R86" s="8"/>
      <c r="S86" s="8"/>
      <c r="T86" s="5"/>
      <c r="U86" s="5"/>
      <c r="V86" s="8" t="n">
        <f aca="false">K86*5.5017049523</f>
        <v>15718370.3622505</v>
      </c>
      <c r="W86" s="8" t="n">
        <f aca="false">M86*5.5017049523</f>
        <v>486135.165842779</v>
      </c>
      <c r="X86" s="8" t="n">
        <f aca="false">N86*5.1890047538+L86*5.5017049523</f>
        <v>23274964.4320275</v>
      </c>
      <c r="Y86" s="8" t="n">
        <f aca="false">N86*5.1890047538</f>
        <v>17438192.8990985</v>
      </c>
      <c r="Z86" s="8" t="n">
        <f aca="false">L86*5.5017049523</f>
        <v>5836771.53292901</v>
      </c>
      <c r="AA86" s="8"/>
      <c r="AB86" s="8"/>
      <c r="AC86" s="8"/>
      <c r="AD86" s="8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3" t="n">
        <v>27118519.8805174</v>
      </c>
      <c r="G87" s="153" t="n">
        <v>25963035.4741059</v>
      </c>
      <c r="H87" s="67" t="n">
        <f aca="false">F87-J87</f>
        <v>24086072.9751413</v>
      </c>
      <c r="I87" s="67" t="n">
        <f aca="false">G87-K87</f>
        <v>23021561.9758911</v>
      </c>
      <c r="J87" s="153" t="n">
        <v>3032446.9053761</v>
      </c>
      <c r="K87" s="153" t="n">
        <v>2941473.49821482</v>
      </c>
      <c r="L87" s="67" t="n">
        <f aca="false">H87-I87</f>
        <v>1064510.99925022</v>
      </c>
      <c r="M87" s="67" t="n">
        <f aca="false">J87-K87</f>
        <v>90973.40716128</v>
      </c>
      <c r="N87" s="153" t="n">
        <v>2750600.62359516</v>
      </c>
      <c r="O87" s="7"/>
      <c r="P87" s="7"/>
      <c r="Q87" s="67" t="n">
        <f aca="false">I87*5.5017049523</f>
        <v>126657841.532441</v>
      </c>
      <c r="R87" s="67"/>
      <c r="S87" s="67"/>
      <c r="T87" s="7"/>
      <c r="U87" s="7"/>
      <c r="V87" s="67" t="n">
        <f aca="false">K87*5.5017049523</f>
        <v>16183119.3121877</v>
      </c>
      <c r="W87" s="67" t="n">
        <f aca="false">M87*5.5017049523</f>
        <v>500508.844706819</v>
      </c>
      <c r="X87" s="67" t="n">
        <f aca="false">N87*5.1890047538+L87*5.5017049523</f>
        <v>20129505.1479933</v>
      </c>
      <c r="Y87" s="67" t="n">
        <f aca="false">N87*5.1890047538</f>
        <v>14272879.7116405</v>
      </c>
      <c r="Z87" s="67" t="n">
        <f aca="false">L87*5.5017049523</f>
        <v>5856625.43635277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3" t="n">
        <v>27261283.2234101</v>
      </c>
      <c r="G88" s="153" t="n">
        <v>26098876.5242668</v>
      </c>
      <c r="H88" s="67" t="n">
        <f aca="false">F88-J88</f>
        <v>24145936.348815</v>
      </c>
      <c r="I88" s="67" t="n">
        <f aca="false">G88-K88</f>
        <v>23076990.0559095</v>
      </c>
      <c r="J88" s="153" t="n">
        <v>3115346.87459514</v>
      </c>
      <c r="K88" s="153" t="n">
        <v>3021886.46835728</v>
      </c>
      <c r="L88" s="67" t="n">
        <f aca="false">H88-I88</f>
        <v>1068946.29290544</v>
      </c>
      <c r="M88" s="67" t="n">
        <f aca="false">J88-K88</f>
        <v>93460.4062378602</v>
      </c>
      <c r="N88" s="153" t="n">
        <v>2686546.88748016</v>
      </c>
      <c r="O88" s="7"/>
      <c r="P88" s="7"/>
      <c r="Q88" s="67" t="n">
        <f aca="false">I88*5.5017049523</f>
        <v>126962790.474775</v>
      </c>
      <c r="R88" s="67"/>
      <c r="S88" s="67"/>
      <c r="T88" s="7"/>
      <c r="U88" s="7"/>
      <c r="V88" s="67" t="n">
        <f aca="false">K88*5.5017049523</f>
        <v>16625527.7482496</v>
      </c>
      <c r="W88" s="67" t="n">
        <f aca="false">M88*5.5017049523</f>
        <v>514191.579842805</v>
      </c>
      <c r="X88" s="67" t="n">
        <f aca="false">N88*5.1890047538+L88*5.5017049523</f>
        <v>19821531.6838617</v>
      </c>
      <c r="Y88" s="67" t="n">
        <f aca="false">N88*5.1890047538</f>
        <v>13940504.5704411</v>
      </c>
      <c r="Z88" s="67" t="n">
        <f aca="false">L88*5.5017049523</f>
        <v>5881027.11342058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3" t="n">
        <v>27366808.8799931</v>
      </c>
      <c r="G89" s="153" t="n">
        <v>26198763.8318363</v>
      </c>
      <c r="H89" s="67" t="n">
        <f aca="false">F89-J89</f>
        <v>24189725.796805</v>
      </c>
      <c r="I89" s="67" t="n">
        <f aca="false">G89-K89</f>
        <v>23116993.2411438</v>
      </c>
      <c r="J89" s="153" t="n">
        <v>3177083.0831881</v>
      </c>
      <c r="K89" s="153" t="n">
        <v>3081770.59069245</v>
      </c>
      <c r="L89" s="67" t="n">
        <f aca="false">H89-I89</f>
        <v>1072732.55566115</v>
      </c>
      <c r="M89" s="67" t="n">
        <f aca="false">J89-K89</f>
        <v>95312.49249565</v>
      </c>
      <c r="N89" s="153" t="n">
        <v>2718629.57128917</v>
      </c>
      <c r="O89" s="7"/>
      <c r="P89" s="7"/>
      <c r="Q89" s="67" t="n">
        <f aca="false">I89*5.5017049523</f>
        <v>127182876.197087</v>
      </c>
      <c r="R89" s="67"/>
      <c r="S89" s="67"/>
      <c r="T89" s="7"/>
      <c r="U89" s="7"/>
      <c r="V89" s="67" t="n">
        <f aca="false">K89*5.5017049523</f>
        <v>16954992.5206651</v>
      </c>
      <c r="W89" s="67" t="n">
        <f aca="false">M89*5.5017049523</f>
        <v>524381.211979374</v>
      </c>
      <c r="X89" s="67" t="n">
        <f aca="false">N89*5.1890047538+L89*5.5017049523</f>
        <v>20008839.7832151</v>
      </c>
      <c r="Y89" s="67" t="n">
        <f aca="false">N89*5.1890047538</f>
        <v>14106981.7692408</v>
      </c>
      <c r="Z89" s="67" t="n">
        <f aca="false">L89*5.5017049523</f>
        <v>5901858.01397438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65"/>
      <c r="B90" s="5"/>
      <c r="C90" s="65" t="n">
        <f aca="false">C86+1</f>
        <v>2034</v>
      </c>
      <c r="D90" s="65" t="n">
        <f aca="false">D86</f>
        <v>1</v>
      </c>
      <c r="E90" s="65" t="n">
        <v>237</v>
      </c>
      <c r="F90" s="151" t="n">
        <v>27510854.3195705</v>
      </c>
      <c r="G90" s="151" t="n">
        <v>26336723.011813</v>
      </c>
      <c r="H90" s="8" t="n">
        <f aca="false">F90-J90</f>
        <v>24248317.0221053</v>
      </c>
      <c r="I90" s="8" t="n">
        <f aca="false">G90-K90</f>
        <v>23172061.8332717</v>
      </c>
      <c r="J90" s="151" t="n">
        <v>3262537.29746524</v>
      </c>
      <c r="K90" s="151" t="n">
        <v>3164661.17854128</v>
      </c>
      <c r="L90" s="8" t="n">
        <f aca="false">H90-I90</f>
        <v>1076255.18883354</v>
      </c>
      <c r="M90" s="8" t="n">
        <f aca="false">J90-K90</f>
        <v>97876.1189239603</v>
      </c>
      <c r="N90" s="151" t="n">
        <v>3312548.04732642</v>
      </c>
      <c r="O90" s="5"/>
      <c r="P90" s="5"/>
      <c r="Q90" s="8" t="n">
        <f aca="false">I90*5.5017049523</f>
        <v>127485847.343113</v>
      </c>
      <c r="R90" s="8"/>
      <c r="S90" s="8"/>
      <c r="T90" s="5"/>
      <c r="U90" s="5"/>
      <c r="V90" s="8" t="n">
        <f aca="false">K90*5.5017049523</f>
        <v>17411032.0783321</v>
      </c>
      <c r="W90" s="8" t="n">
        <f aca="false">M90*5.5017049523</f>
        <v>538485.528195856</v>
      </c>
      <c r="X90" s="8" t="n">
        <f aca="false">N90*5.1890047538+L90*5.5017049523</f>
        <v>23110066.0671118</v>
      </c>
      <c r="Y90" s="8" t="n">
        <f aca="false">N90*5.1890047538</f>
        <v>17188827.5647677</v>
      </c>
      <c r="Z90" s="8" t="n">
        <f aca="false">L90*5.5017049523</f>
        <v>5921238.50234407</v>
      </c>
      <c r="AA90" s="8"/>
      <c r="AB90" s="8"/>
      <c r="AC90" s="8"/>
      <c r="AD90" s="8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3" t="n">
        <v>27653172.7839818</v>
      </c>
      <c r="G91" s="153" t="n">
        <v>26472363.1540318</v>
      </c>
      <c r="H91" s="67" t="n">
        <f aca="false">F91-J91</f>
        <v>24378886.5706647</v>
      </c>
      <c r="I91" s="67" t="n">
        <f aca="false">G91-K91</f>
        <v>23296305.5271142</v>
      </c>
      <c r="J91" s="153" t="n">
        <v>3274286.2133171</v>
      </c>
      <c r="K91" s="153" t="n">
        <v>3176057.62691758</v>
      </c>
      <c r="L91" s="67" t="n">
        <f aca="false">H91-I91</f>
        <v>1082581.04355048</v>
      </c>
      <c r="M91" s="67" t="n">
        <f aca="false">J91-K91</f>
        <v>98228.5863995198</v>
      </c>
      <c r="N91" s="153" t="n">
        <v>2728824.80142814</v>
      </c>
      <c r="O91" s="7"/>
      <c r="P91" s="7"/>
      <c r="Q91" s="67" t="n">
        <f aca="false">I91*5.5017049523</f>
        <v>128169399.488818</v>
      </c>
      <c r="R91" s="67"/>
      <c r="S91" s="67"/>
      <c r="T91" s="7"/>
      <c r="U91" s="7"/>
      <c r="V91" s="67" t="n">
        <f aca="false">K91*5.5017049523</f>
        <v>17473731.9748026</v>
      </c>
      <c r="W91" s="67" t="n">
        <f aca="false">M91*5.5017049523</f>
        <v>540424.700251667</v>
      </c>
      <c r="X91" s="67" t="n">
        <f aca="false">N91*5.1890047538+L91*5.5017049523</f>
        <v>20115926.3554657</v>
      </c>
      <c r="Y91" s="67" t="n">
        <f aca="false">N91*5.1890047538</f>
        <v>14159884.866898</v>
      </c>
      <c r="Z91" s="67" t="n">
        <f aca="false">L91*5.5017049523</f>
        <v>5956041.48856778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3" t="n">
        <v>27742274.8857358</v>
      </c>
      <c r="G92" s="153" t="n">
        <v>26557731.6345404</v>
      </c>
      <c r="H92" s="67" t="n">
        <f aca="false">F92-J92</f>
        <v>24419486.5003343</v>
      </c>
      <c r="I92" s="67" t="n">
        <f aca="false">G92-K92</f>
        <v>23334626.900701</v>
      </c>
      <c r="J92" s="153" t="n">
        <v>3322788.38540146</v>
      </c>
      <c r="K92" s="153" t="n">
        <v>3223104.73383942</v>
      </c>
      <c r="L92" s="67" t="n">
        <f aca="false">H92-I92</f>
        <v>1084859.59963335</v>
      </c>
      <c r="M92" s="67" t="n">
        <f aca="false">J92-K92</f>
        <v>99683.6515620397</v>
      </c>
      <c r="N92" s="153" t="n">
        <v>2704158.34835098</v>
      </c>
      <c r="O92" s="7"/>
      <c r="P92" s="7"/>
      <c r="Q92" s="67" t="n">
        <f aca="false">I92*5.5017049523</f>
        <v>128380232.379659</v>
      </c>
      <c r="R92" s="67"/>
      <c r="S92" s="67"/>
      <c r="T92" s="7"/>
      <c r="U92" s="7"/>
      <c r="V92" s="67" t="n">
        <f aca="false">K92*5.5017049523</f>
        <v>17732571.2759459</v>
      </c>
      <c r="W92" s="67" t="n">
        <f aca="false">M92*5.5017049523</f>
        <v>548430.039462222</v>
      </c>
      <c r="X92" s="67" t="n">
        <f aca="false">N92*5.1890047538+L92*5.5017049523</f>
        <v>20000467.9564742</v>
      </c>
      <c r="Y92" s="67" t="n">
        <f aca="false">N92*5.1890047538</f>
        <v>14031890.5246212</v>
      </c>
      <c r="Z92" s="67" t="n">
        <f aca="false">L92*5.5017049523</f>
        <v>5968577.43185302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3" t="n">
        <v>27763327.6437191</v>
      </c>
      <c r="G93" s="153" t="n">
        <v>26579287.5886609</v>
      </c>
      <c r="H93" s="67" t="n">
        <f aca="false">F93-J93</f>
        <v>24383599.6858183</v>
      </c>
      <c r="I93" s="67" t="n">
        <f aca="false">G93-K93</f>
        <v>23300951.4694971</v>
      </c>
      <c r="J93" s="153" t="n">
        <v>3379727.95790077</v>
      </c>
      <c r="K93" s="153" t="n">
        <v>3278336.11916375</v>
      </c>
      <c r="L93" s="67" t="n">
        <f aca="false">H93-I93</f>
        <v>1082648.21632118</v>
      </c>
      <c r="M93" s="67" t="n">
        <f aca="false">J93-K93</f>
        <v>101391.83873702</v>
      </c>
      <c r="N93" s="153" t="n">
        <v>2657027.95092625</v>
      </c>
      <c r="O93" s="7"/>
      <c r="P93" s="7"/>
      <c r="Q93" s="67" t="n">
        <f aca="false">I93*5.5017049523</f>
        <v>128194960.093034</v>
      </c>
      <c r="R93" s="67"/>
      <c r="S93" s="67"/>
      <c r="T93" s="7"/>
      <c r="U93" s="7"/>
      <c r="V93" s="67" t="n">
        <f aca="false">K93*5.5017049523</f>
        <v>18036438.0621072</v>
      </c>
      <c r="W93" s="67" t="n">
        <f aca="false">M93*5.5017049523</f>
        <v>557827.981302265</v>
      </c>
      <c r="X93" s="67" t="n">
        <f aca="false">N93*5.1890047538+L93*5.5017049523</f>
        <v>19743741.7216688</v>
      </c>
      <c r="Y93" s="67" t="n">
        <f aca="false">N93*5.1890047538</f>
        <v>13787330.6683358</v>
      </c>
      <c r="Z93" s="67" t="n">
        <f aca="false">L93*5.5017049523</f>
        <v>5956411.05333301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65"/>
      <c r="B94" s="5"/>
      <c r="C94" s="65" t="n">
        <f aca="false">C90+1</f>
        <v>2035</v>
      </c>
      <c r="D94" s="65" t="n">
        <f aca="false">D90</f>
        <v>1</v>
      </c>
      <c r="E94" s="65" t="n">
        <v>241</v>
      </c>
      <c r="F94" s="151" t="n">
        <v>27926657.0930938</v>
      </c>
      <c r="G94" s="151" t="n">
        <v>26736699.3351788</v>
      </c>
      <c r="H94" s="8" t="n">
        <f aca="false">F94-J94</f>
        <v>24482179.1397137</v>
      </c>
      <c r="I94" s="8" t="n">
        <f aca="false">G94-K94</f>
        <v>23395555.7204002</v>
      </c>
      <c r="J94" s="151" t="n">
        <v>3444477.95338005</v>
      </c>
      <c r="K94" s="151" t="n">
        <v>3341143.61477865</v>
      </c>
      <c r="L94" s="8" t="n">
        <f aca="false">H94-I94</f>
        <v>1086623.4193136</v>
      </c>
      <c r="M94" s="8" t="n">
        <f aca="false">J94-K94</f>
        <v>103334.3386014</v>
      </c>
      <c r="N94" s="151" t="n">
        <v>3228329.31654905</v>
      </c>
      <c r="O94" s="5"/>
      <c r="P94" s="5"/>
      <c r="Q94" s="8" t="n">
        <f aca="false">I94*5.5017049523</f>
        <v>128715444.768736</v>
      </c>
      <c r="R94" s="8"/>
      <c r="S94" s="8"/>
      <c r="T94" s="5"/>
      <c r="U94" s="5"/>
      <c r="V94" s="8" t="n">
        <f aca="false">K94*5.5017049523</f>
        <v>18381986.3717732</v>
      </c>
      <c r="W94" s="8" t="n">
        <f aca="false">M94*5.5017049523</f>
        <v>568515.042425968</v>
      </c>
      <c r="X94" s="8" t="n">
        <f aca="false">N94*5.1890047538+L94*5.5017049523</f>
        <v>22730097.6177277</v>
      </c>
      <c r="Y94" s="8" t="n">
        <f aca="false">N94*5.1890047538</f>
        <v>16751816.1704049</v>
      </c>
      <c r="Z94" s="8" t="n">
        <f aca="false">L94*5.5017049523</f>
        <v>5978281.44732278</v>
      </c>
      <c r="AA94" s="8"/>
      <c r="AB94" s="8"/>
      <c r="AC94" s="8"/>
      <c r="AD94" s="8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3" t="n">
        <v>28042862.6273357</v>
      </c>
      <c r="G95" s="153" t="n">
        <v>26847890.600619</v>
      </c>
      <c r="H95" s="67" t="n">
        <f aca="false">F95-J95</f>
        <v>24516636.1861575</v>
      </c>
      <c r="I95" s="67" t="n">
        <f aca="false">G95-K95</f>
        <v>23427450.9526761</v>
      </c>
      <c r="J95" s="153" t="n">
        <v>3526226.44117819</v>
      </c>
      <c r="K95" s="153" t="n">
        <v>3420439.64794285</v>
      </c>
      <c r="L95" s="67" t="n">
        <f aca="false">H95-I95</f>
        <v>1089185.23348136</v>
      </c>
      <c r="M95" s="67" t="n">
        <f aca="false">J95-K95</f>
        <v>105786.79323534</v>
      </c>
      <c r="N95" s="153" t="n">
        <v>2707794.92060296</v>
      </c>
      <c r="O95" s="7"/>
      <c r="P95" s="7"/>
      <c r="Q95" s="67" t="n">
        <f aca="false">I95*5.5017049523</f>
        <v>128890922.926104</v>
      </c>
      <c r="R95" s="67"/>
      <c r="S95" s="67"/>
      <c r="T95" s="7"/>
      <c r="U95" s="7"/>
      <c r="V95" s="67" t="n">
        <f aca="false">K95*5.5017049523</f>
        <v>18818249.7501304</v>
      </c>
      <c r="W95" s="67" t="n">
        <f aca="false">M95*5.5017049523</f>
        <v>582007.724230807</v>
      </c>
      <c r="X95" s="67" t="n">
        <f aca="false">N95*5.1890047538+L95*5.5017049523</f>
        <v>20043136.5083407</v>
      </c>
      <c r="Y95" s="67" t="n">
        <f aca="false">N95*5.1890047538</f>
        <v>14050760.7153243</v>
      </c>
      <c r="Z95" s="67" t="n">
        <f aca="false">L95*5.5017049523</f>
        <v>5992375.79301642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3" t="n">
        <v>28110853.1356175</v>
      </c>
      <c r="G96" s="153" t="n">
        <v>26912366.4317201</v>
      </c>
      <c r="H96" s="67" t="n">
        <f aca="false">F96-J96</f>
        <v>24553507.9365025</v>
      </c>
      <c r="I96" s="67" t="n">
        <f aca="false">G96-K96</f>
        <v>23461741.5885785</v>
      </c>
      <c r="J96" s="153" t="n">
        <v>3557345.19911503</v>
      </c>
      <c r="K96" s="153" t="n">
        <v>3450624.84314158</v>
      </c>
      <c r="L96" s="67" t="n">
        <f aca="false">H96-I96</f>
        <v>1091766.34792395</v>
      </c>
      <c r="M96" s="67" t="n">
        <f aca="false">J96-K96</f>
        <v>106720.35597345</v>
      </c>
      <c r="N96" s="153" t="n">
        <v>2616514.01118906</v>
      </c>
      <c r="O96" s="7"/>
      <c r="P96" s="7"/>
      <c r="Q96" s="67" t="n">
        <f aca="false">I96*5.5017049523</f>
        <v>129079579.887465</v>
      </c>
      <c r="R96" s="67"/>
      <c r="S96" s="67"/>
      <c r="T96" s="7"/>
      <c r="U96" s="7"/>
      <c r="V96" s="67" t="n">
        <f aca="false">K96*5.5017049523</f>
        <v>18984319.7880414</v>
      </c>
      <c r="W96" s="67" t="n">
        <f aca="false">M96*5.5017049523</f>
        <v>587143.910970349</v>
      </c>
      <c r="X96" s="67" t="n">
        <f aca="false">N96*5.1890047538+L96*5.5017049523</f>
        <v>19583679.965572</v>
      </c>
      <c r="Y96" s="67" t="n">
        <f aca="false">N96*5.1890047538</f>
        <v>13577103.6424443</v>
      </c>
      <c r="Z96" s="67" t="n">
        <f aca="false">L96*5.5017049523</f>
        <v>6006576.32312766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3" t="n">
        <v>28115240.8997696</v>
      </c>
      <c r="G97" s="153" t="n">
        <v>26917275.7886733</v>
      </c>
      <c r="H97" s="67" t="n">
        <f aca="false">F97-J97</f>
        <v>24515382.1184441</v>
      </c>
      <c r="I97" s="67" t="n">
        <f aca="false">G97-K97</f>
        <v>23425412.7707876</v>
      </c>
      <c r="J97" s="153" t="n">
        <v>3599858.78132548</v>
      </c>
      <c r="K97" s="153" t="n">
        <v>3491863.01788572</v>
      </c>
      <c r="L97" s="67" t="n">
        <f aca="false">H97-I97</f>
        <v>1089969.34765654</v>
      </c>
      <c r="M97" s="67" t="n">
        <f aca="false">J97-K97</f>
        <v>107995.76343976</v>
      </c>
      <c r="N97" s="153" t="n">
        <v>2639515.74297079</v>
      </c>
      <c r="O97" s="7"/>
      <c r="P97" s="7"/>
      <c r="Q97" s="67" t="n">
        <f aca="false">I97*5.5017049523</f>
        <v>128879709.450714</v>
      </c>
      <c r="R97" s="67"/>
      <c r="S97" s="67"/>
      <c r="T97" s="7"/>
      <c r="U97" s="7"/>
      <c r="V97" s="67" t="n">
        <f aca="false">K97*5.5017049523</f>
        <v>19211200.0582551</v>
      </c>
      <c r="W97" s="67" t="n">
        <f aca="false">M97*5.5017049523</f>
        <v>594160.826543947</v>
      </c>
      <c r="X97" s="67" t="n">
        <f aca="false">N97*5.1890047538+L97*5.5017049523</f>
        <v>19693149.4958626</v>
      </c>
      <c r="Y97" s="67" t="n">
        <f aca="false">N97*5.1890047538</f>
        <v>13696459.7380054</v>
      </c>
      <c r="Z97" s="67" t="n">
        <f aca="false">L97*5.5017049523</f>
        <v>5996689.75785719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65"/>
      <c r="B98" s="5"/>
      <c r="C98" s="65" t="n">
        <f aca="false">C94+1</f>
        <v>2036</v>
      </c>
      <c r="D98" s="65" t="n">
        <f aca="false">D94</f>
        <v>1</v>
      </c>
      <c r="E98" s="65" t="n">
        <v>245</v>
      </c>
      <c r="F98" s="151" t="n">
        <v>28297134.4812334</v>
      </c>
      <c r="G98" s="151" t="n">
        <v>27091692.4209236</v>
      </c>
      <c r="H98" s="8" t="n">
        <f aca="false">F98-J98</f>
        <v>24637178.5399687</v>
      </c>
      <c r="I98" s="8" t="n">
        <f aca="false">G98-K98</f>
        <v>23541535.1578969</v>
      </c>
      <c r="J98" s="151" t="n">
        <v>3659955.94126466</v>
      </c>
      <c r="K98" s="151" t="n">
        <v>3550157.26302672</v>
      </c>
      <c r="L98" s="8" t="n">
        <f aca="false">H98-I98</f>
        <v>1095643.38207186</v>
      </c>
      <c r="M98" s="8" t="n">
        <f aca="false">J98-K98</f>
        <v>109798.67823794</v>
      </c>
      <c r="N98" s="151" t="n">
        <v>3208179.7458246</v>
      </c>
      <c r="O98" s="5"/>
      <c r="P98" s="5"/>
      <c r="Q98" s="8" t="n">
        <f aca="false">I98*5.5017049523</f>
        <v>129518580.562946</v>
      </c>
      <c r="R98" s="8"/>
      <c r="S98" s="8"/>
      <c r="T98" s="5"/>
      <c r="U98" s="5"/>
      <c r="V98" s="8" t="n">
        <f aca="false">K98*5.5017049523</f>
        <v>19531917.7954379</v>
      </c>
      <c r="W98" s="8" t="n">
        <f aca="false">M98*5.5017049523</f>
        <v>604079.93181767</v>
      </c>
      <c r="X98" s="8" t="n">
        <f aca="false">N98*5.1890047538+L98*5.5017049523</f>
        <v>22675166.5732282</v>
      </c>
      <c r="Y98" s="8" t="n">
        <f aca="false">N98*5.1890047538</f>
        <v>16647259.9521287</v>
      </c>
      <c r="Z98" s="8" t="n">
        <f aca="false">L98*5.5017049523</f>
        <v>6027906.62109945</v>
      </c>
      <c r="AA98" s="8"/>
      <c r="AB98" s="8"/>
      <c r="AC98" s="8"/>
      <c r="AD98" s="8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3" t="n">
        <v>28427054.9416975</v>
      </c>
      <c r="G99" s="153" t="n">
        <v>27216097.9107478</v>
      </c>
      <c r="H99" s="67" t="n">
        <f aca="false">F99-J99</f>
        <v>24672211.0954721</v>
      </c>
      <c r="I99" s="67" t="n">
        <f aca="false">G99-K99</f>
        <v>23573899.3799092</v>
      </c>
      <c r="J99" s="153" t="n">
        <v>3754843.84622541</v>
      </c>
      <c r="K99" s="153" t="n">
        <v>3642198.53083864</v>
      </c>
      <c r="L99" s="67" t="n">
        <f aca="false">H99-I99</f>
        <v>1098311.71556293</v>
      </c>
      <c r="M99" s="67" t="n">
        <f aca="false">J99-K99</f>
        <v>112645.31538677</v>
      </c>
      <c r="N99" s="153" t="n">
        <v>2671137.89270212</v>
      </c>
      <c r="O99" s="7"/>
      <c r="P99" s="7"/>
      <c r="Q99" s="67" t="n">
        <f aca="false">I99*5.5017049523</f>
        <v>129696638.963468</v>
      </c>
      <c r="R99" s="67"/>
      <c r="S99" s="67"/>
      <c r="T99" s="7"/>
      <c r="U99" s="7"/>
      <c r="V99" s="67" t="n">
        <f aca="false">K99*5.5017049523</f>
        <v>20038301.6943747</v>
      </c>
      <c r="W99" s="67" t="n">
        <f aca="false">M99*5.5017049523</f>
        <v>619741.289516787</v>
      </c>
      <c r="X99" s="67" t="n">
        <f aca="false">N99*5.1890047538+L99*5.5017049523</f>
        <v>19903134.2279683</v>
      </c>
      <c r="Y99" s="67" t="n">
        <f aca="false">N99*5.1890047538</f>
        <v>13860547.2232866</v>
      </c>
      <c r="Z99" s="67" t="n">
        <f aca="false">L99*5.5017049523</f>
        <v>6042587.00468167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3" t="n">
        <v>28469309.0532476</v>
      </c>
      <c r="G100" s="153" t="n">
        <v>27256427.7138183</v>
      </c>
      <c r="H100" s="67" t="n">
        <f aca="false">F100-J100</f>
        <v>24673357.6451538</v>
      </c>
      <c r="I100" s="67" t="n">
        <f aca="false">G100-K100</f>
        <v>23574354.8479673</v>
      </c>
      <c r="J100" s="153" t="n">
        <v>3795951.40809381</v>
      </c>
      <c r="K100" s="153" t="n">
        <v>3682072.865851</v>
      </c>
      <c r="L100" s="67" t="n">
        <f aca="false">H100-I100</f>
        <v>1099002.79718649</v>
      </c>
      <c r="M100" s="67" t="n">
        <f aca="false">J100-K100</f>
        <v>113878.54224281</v>
      </c>
      <c r="N100" s="153" t="n">
        <v>2554285.70406232</v>
      </c>
      <c r="O100" s="7"/>
      <c r="P100" s="7"/>
      <c r="Q100" s="67" t="n">
        <f aca="false">I100*5.5017049523</f>
        <v>129699144.814339</v>
      </c>
      <c r="R100" s="67"/>
      <c r="S100" s="67"/>
      <c r="T100" s="7"/>
      <c r="U100" s="7"/>
      <c r="V100" s="67" t="n">
        <f aca="false">K100*5.5017049523</f>
        <v>20257678.5207819</v>
      </c>
      <c r="W100" s="67" t="n">
        <f aca="false">M100*5.5017049523</f>
        <v>626526.139817973</v>
      </c>
      <c r="X100" s="67" t="n">
        <f aca="false">N100*5.1890047538+L100*5.5017049523</f>
        <v>19300589.7928152</v>
      </c>
      <c r="Y100" s="67" t="n">
        <f aca="false">N100*5.1890047538</f>
        <v>13254200.6609428</v>
      </c>
      <c r="Z100" s="67" t="n">
        <f aca="false">L100*5.5017049523</f>
        <v>6046389.13187246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3" t="n">
        <v>28599112.0470464</v>
      </c>
      <c r="G101" s="153" t="n">
        <v>27380244.8898437</v>
      </c>
      <c r="H101" s="67" t="n">
        <f aca="false">F101-J101</f>
        <v>24738792.5277139</v>
      </c>
      <c r="I101" s="67" t="n">
        <f aca="false">G101-K101</f>
        <v>23635734.9560912</v>
      </c>
      <c r="J101" s="153" t="n">
        <v>3860319.51933251</v>
      </c>
      <c r="K101" s="153" t="n">
        <v>3744509.93375253</v>
      </c>
      <c r="L101" s="67" t="n">
        <f aca="false">H101-I101</f>
        <v>1103057.57162272</v>
      </c>
      <c r="M101" s="67" t="n">
        <f aca="false">J101-K101</f>
        <v>115809.58557998</v>
      </c>
      <c r="N101" s="153" t="n">
        <v>2578705.86900927</v>
      </c>
      <c r="O101" s="7"/>
      <c r="P101" s="7"/>
      <c r="Q101" s="67" t="n">
        <f aca="false">I101*5.5017049523</f>
        <v>130036840.059177</v>
      </c>
      <c r="R101" s="67"/>
      <c r="S101" s="67"/>
      <c r="T101" s="7"/>
      <c r="U101" s="7"/>
      <c r="V101" s="67" t="n">
        <f aca="false">K101*5.5017049523</f>
        <v>20601188.8464628</v>
      </c>
      <c r="W101" s="67" t="n">
        <f aca="false">M101*5.5017049523</f>
        <v>637150.170509188</v>
      </c>
      <c r="X101" s="67" t="n">
        <f aca="false">N101*5.1890047538+L101*5.5017049523</f>
        <v>19449614.3174098</v>
      </c>
      <c r="Y101" s="67" t="n">
        <f aca="false">N101*5.1890047538</f>
        <v>13380917.0129411</v>
      </c>
      <c r="Z101" s="67" t="n">
        <f aca="false">L101*5.5017049523</f>
        <v>6068697.30446874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65"/>
      <c r="B102" s="5"/>
      <c r="C102" s="65" t="n">
        <f aca="false">C98+1</f>
        <v>2037</v>
      </c>
      <c r="D102" s="65" t="n">
        <f aca="false">D98</f>
        <v>1</v>
      </c>
      <c r="E102" s="65" t="n">
        <v>249</v>
      </c>
      <c r="F102" s="151" t="n">
        <v>28684035.0686411</v>
      </c>
      <c r="G102" s="151" t="n">
        <v>27462247.4605176</v>
      </c>
      <c r="H102" s="8" t="n">
        <f aca="false">F102-J102</f>
        <v>24751705.9978988</v>
      </c>
      <c r="I102" s="8" t="n">
        <f aca="false">G102-K102</f>
        <v>23647888.2618976</v>
      </c>
      <c r="J102" s="151" t="n">
        <v>3932329.07074226</v>
      </c>
      <c r="K102" s="151" t="n">
        <v>3814359.19861999</v>
      </c>
      <c r="L102" s="8" t="n">
        <f aca="false">H102-I102</f>
        <v>1103817.73600123</v>
      </c>
      <c r="M102" s="8" t="n">
        <f aca="false">J102-K102</f>
        <v>117969.87212227</v>
      </c>
      <c r="N102" s="151" t="n">
        <v>3120958.42648055</v>
      </c>
      <c r="O102" s="5"/>
      <c r="P102" s="5"/>
      <c r="Q102" s="8" t="n">
        <f aca="false">I102*5.5017049523</f>
        <v>130103703.961919</v>
      </c>
      <c r="R102" s="8"/>
      <c r="S102" s="8"/>
      <c r="T102" s="5"/>
      <c r="U102" s="5"/>
      <c r="V102" s="8" t="n">
        <f aca="false">K102*5.5017049523</f>
        <v>20985478.8928987</v>
      </c>
      <c r="W102" s="8" t="n">
        <f aca="false">M102*5.5017049523</f>
        <v>649035.429677291</v>
      </c>
      <c r="X102" s="8" t="n">
        <f aca="false">N102*5.1890047538+L102*5.5017049523</f>
        <v>22267547.6160143</v>
      </c>
      <c r="Y102" s="8" t="n">
        <f aca="false">N102*5.1890047538</f>
        <v>16194668.1114197</v>
      </c>
      <c r="Z102" s="8" t="n">
        <f aca="false">L102*5.5017049523</f>
        <v>6072879.50459455</v>
      </c>
      <c r="AA102" s="8"/>
      <c r="AB102" s="8"/>
      <c r="AC102" s="8"/>
      <c r="AD102" s="8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3" t="n">
        <v>28909102.9675413</v>
      </c>
      <c r="G103" s="153" t="n">
        <v>27677041.0352157</v>
      </c>
      <c r="H103" s="67" t="n">
        <f aca="false">F103-J103</f>
        <v>24882081.1390184</v>
      </c>
      <c r="I103" s="67" t="n">
        <f aca="false">G103-K103</f>
        <v>23770829.8615485</v>
      </c>
      <c r="J103" s="153" t="n">
        <v>4027021.82852291</v>
      </c>
      <c r="K103" s="153" t="n">
        <v>3906211.17366722</v>
      </c>
      <c r="L103" s="67" t="n">
        <f aca="false">H103-I103</f>
        <v>1111251.27746991</v>
      </c>
      <c r="M103" s="67" t="n">
        <f aca="false">J103-K103</f>
        <v>120810.65485569</v>
      </c>
      <c r="N103" s="153" t="n">
        <v>2574338.4092827</v>
      </c>
      <c r="O103" s="7"/>
      <c r="P103" s="7"/>
      <c r="Q103" s="67" t="n">
        <f aca="false">I103*5.5017049523</f>
        <v>130780092.369562</v>
      </c>
      <c r="R103" s="67"/>
      <c r="S103" s="67"/>
      <c r="T103" s="7"/>
      <c r="U103" s="7"/>
      <c r="V103" s="67" t="n">
        <f aca="false">K103*5.5017049523</f>
        <v>21490821.3588945</v>
      </c>
      <c r="W103" s="67" t="n">
        <f aca="false">M103*5.5017049523</f>
        <v>664664.578110156</v>
      </c>
      <c r="X103" s="67" t="n">
        <f aca="false">N103*5.1890047538+L103*5.5017049523</f>
        <v>19472030.9001638</v>
      </c>
      <c r="Y103" s="67" t="n">
        <f aca="false">N103*5.1890047538</f>
        <v>13358254.2436579</v>
      </c>
      <c r="Z103" s="67" t="n">
        <f aca="false">L103*5.5017049523</f>
        <v>6113776.65650591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3" t="n">
        <v>29108623.5839617</v>
      </c>
      <c r="G104" s="153" t="n">
        <v>27868078.265446</v>
      </c>
      <c r="H104" s="67" t="n">
        <f aca="false">F104-J104</f>
        <v>24978357.7629295</v>
      </c>
      <c r="I104" s="67" t="n">
        <f aca="false">G104-K104</f>
        <v>23861720.4190448</v>
      </c>
      <c r="J104" s="153" t="n">
        <v>4130265.8210322</v>
      </c>
      <c r="K104" s="153" t="n">
        <v>4006357.84640124</v>
      </c>
      <c r="L104" s="67" t="n">
        <f aca="false">H104-I104</f>
        <v>1116637.34388474</v>
      </c>
      <c r="M104" s="67" t="n">
        <f aca="false">J104-K104</f>
        <v>123907.97463096</v>
      </c>
      <c r="N104" s="153" t="n">
        <v>2595766.67005235</v>
      </c>
      <c r="O104" s="7"/>
      <c r="P104" s="7"/>
      <c r="Q104" s="67" t="n">
        <f aca="false">I104*5.5017049523</f>
        <v>131280145.399857</v>
      </c>
      <c r="R104" s="67"/>
      <c r="S104" s="67"/>
      <c r="T104" s="7"/>
      <c r="U104" s="7"/>
      <c r="V104" s="67" t="n">
        <f aca="false">K104*5.5017049523</f>
        <v>22041798.8042317</v>
      </c>
      <c r="W104" s="67" t="n">
        <f aca="false">M104*5.5017049523</f>
        <v>681705.117656614</v>
      </c>
      <c r="X104" s="67" t="n">
        <f aca="false">N104*5.1890047538+L104*5.5017049523</f>
        <v>19612854.795431</v>
      </c>
      <c r="Y104" s="67" t="n">
        <f aca="false">N104*5.1890047538</f>
        <v>13469445.5906572</v>
      </c>
      <c r="Z104" s="67" t="n">
        <f aca="false">L104*5.5017049523</f>
        <v>6143409.20477379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3" t="n">
        <v>29298850.279687</v>
      </c>
      <c r="G105" s="153" t="n">
        <v>28050115.5869171</v>
      </c>
      <c r="H105" s="67" t="n">
        <f aca="false">F105-J105</f>
        <v>25064507.0430287</v>
      </c>
      <c r="I105" s="67" t="n">
        <f aca="false">G105-K105</f>
        <v>23942802.6473585</v>
      </c>
      <c r="J105" s="153" t="n">
        <v>4234343.2366583</v>
      </c>
      <c r="K105" s="153" t="n">
        <v>4107312.93955855</v>
      </c>
      <c r="L105" s="67" t="n">
        <f aca="false">H105-I105</f>
        <v>1121704.39567015</v>
      </c>
      <c r="M105" s="67" t="n">
        <f aca="false">J105-K105</f>
        <v>127030.29709975</v>
      </c>
      <c r="N105" s="153" t="n">
        <v>2612282.31173778</v>
      </c>
      <c r="O105" s="7"/>
      <c r="P105" s="7"/>
      <c r="Q105" s="67" t="n">
        <f aca="false">I105*5.5017049523</f>
        <v>131726235.896914</v>
      </c>
      <c r="R105" s="67"/>
      <c r="S105" s="67"/>
      <c r="T105" s="7"/>
      <c r="U105" s="7"/>
      <c r="V105" s="67" t="n">
        <f aca="false">K105*5.5017049523</f>
        <v>22597223.9402151</v>
      </c>
      <c r="W105" s="67" t="n">
        <f aca="false">M105*5.5017049523</f>
        <v>698883.214645838</v>
      </c>
      <c r="X105" s="67" t="n">
        <f aca="false">N105*5.1890047538+L105*5.5017049523</f>
        <v>19726431.9625501</v>
      </c>
      <c r="Y105" s="67" t="n">
        <f aca="false">N105*5.1890047538</f>
        <v>13555145.333875</v>
      </c>
      <c r="Z105" s="67" t="n">
        <f aca="false">L105*5.5017049523</f>
        <v>6171286.62867514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65"/>
      <c r="B106" s="5"/>
      <c r="C106" s="65" t="n">
        <f aca="false">C102+1</f>
        <v>2038</v>
      </c>
      <c r="D106" s="65" t="n">
        <f aca="false">D102</f>
        <v>1</v>
      </c>
      <c r="E106" s="65" t="n">
        <v>253</v>
      </c>
      <c r="F106" s="151" t="n">
        <v>29416208.9770254</v>
      </c>
      <c r="G106" s="151" t="n">
        <v>28162617.9249393</v>
      </c>
      <c r="H106" s="8" t="n">
        <f aca="false">F106-J106</f>
        <v>25106531.1199784</v>
      </c>
      <c r="I106" s="8" t="n">
        <f aca="false">G106-K106</f>
        <v>23982230.4036037</v>
      </c>
      <c r="J106" s="151" t="n">
        <v>4309677.85704702</v>
      </c>
      <c r="K106" s="151" t="n">
        <v>4180387.52133561</v>
      </c>
      <c r="L106" s="8" t="n">
        <f aca="false">H106-I106</f>
        <v>1124300.71637469</v>
      </c>
      <c r="M106" s="8" t="n">
        <f aca="false">J106-K106</f>
        <v>129290.33571141</v>
      </c>
      <c r="N106" s="151" t="n">
        <v>3171933.85432382</v>
      </c>
      <c r="O106" s="5"/>
      <c r="P106" s="5"/>
      <c r="Q106" s="8" t="n">
        <f aca="false">I106*5.5017049523</f>
        <v>131943155.778706</v>
      </c>
      <c r="R106" s="8"/>
      <c r="S106" s="8"/>
      <c r="T106" s="5"/>
      <c r="U106" s="5"/>
      <c r="V106" s="8" t="n">
        <f aca="false">K106*5.5017049523</f>
        <v>22999258.7286652</v>
      </c>
      <c r="W106" s="8" t="n">
        <f aca="false">M106*5.5017049523</f>
        <v>711317.280267995</v>
      </c>
      <c r="X106" s="8" t="n">
        <f aca="false">N106*5.1890047538+L106*5.5017049523</f>
        <v>22644750.6679785</v>
      </c>
      <c r="Y106" s="8" t="n">
        <f aca="false">N106*5.1890047538</f>
        <v>16459179.8488255</v>
      </c>
      <c r="Z106" s="8" t="n">
        <f aca="false">L106*5.5017049523</f>
        <v>6185570.81915306</v>
      </c>
      <c r="AA106" s="8"/>
      <c r="AB106" s="8"/>
      <c r="AC106" s="8"/>
      <c r="AD106" s="8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3" t="n">
        <v>29441156.2643443</v>
      </c>
      <c r="G107" s="153" t="n">
        <v>28186870.9545616</v>
      </c>
      <c r="H107" s="67" t="n">
        <f aca="false">F107-J107</f>
        <v>25063073.6973179</v>
      </c>
      <c r="I107" s="67" t="n">
        <f aca="false">G107-K107</f>
        <v>23940130.864546</v>
      </c>
      <c r="J107" s="153" t="n">
        <v>4378082.56702637</v>
      </c>
      <c r="K107" s="153" t="n">
        <v>4246740.09001557</v>
      </c>
      <c r="L107" s="67" t="n">
        <f aca="false">H107-I107</f>
        <v>1122942.8327719</v>
      </c>
      <c r="M107" s="67" t="n">
        <f aca="false">J107-K107</f>
        <v>131342.477010801</v>
      </c>
      <c r="N107" s="153" t="n">
        <v>2584477.93642914</v>
      </c>
      <c r="O107" s="7"/>
      <c r="P107" s="7"/>
      <c r="Q107" s="67" t="n">
        <f aca="false">I107*5.5017049523</f>
        <v>131711536.536183</v>
      </c>
      <c r="R107" s="67"/>
      <c r="S107" s="67"/>
      <c r="T107" s="7"/>
      <c r="U107" s="7"/>
      <c r="V107" s="67" t="n">
        <f aca="false">K107*5.5017049523</f>
        <v>23364310.9843696</v>
      </c>
      <c r="W107" s="67" t="n">
        <f aca="false">M107*5.5017049523</f>
        <v>722607.55621767</v>
      </c>
      <c r="X107" s="67" t="n">
        <f aca="false">N107*5.1890047538+L107*5.5017049523</f>
        <v>19588968.442433</v>
      </c>
      <c r="Y107" s="67" t="n">
        <f aca="false">N107*5.1890047538</f>
        <v>13410868.298222</v>
      </c>
      <c r="Z107" s="67" t="n">
        <f aca="false">L107*5.5017049523</f>
        <v>6178100.14421096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3" t="n">
        <v>29606956.1077901</v>
      </c>
      <c r="G108" s="153" t="n">
        <v>28346156.3949798</v>
      </c>
      <c r="H108" s="67" t="n">
        <f aca="false">F108-J108</f>
        <v>25116712.9839656</v>
      </c>
      <c r="I108" s="67" t="n">
        <f aca="false">G108-K108</f>
        <v>23990620.56487</v>
      </c>
      <c r="J108" s="153" t="n">
        <v>4490243.12382449</v>
      </c>
      <c r="K108" s="153" t="n">
        <v>4355535.83010975</v>
      </c>
      <c r="L108" s="67" t="n">
        <f aca="false">H108-I108</f>
        <v>1126092.41909556</v>
      </c>
      <c r="M108" s="67" t="n">
        <f aca="false">J108-K108</f>
        <v>134707.29371474</v>
      </c>
      <c r="N108" s="153" t="n">
        <v>2585631.45814467</v>
      </c>
      <c r="O108" s="7"/>
      <c r="P108" s="7"/>
      <c r="Q108" s="67" t="n">
        <f aca="false">I108*5.5017049523</f>
        <v>131989315.970496</v>
      </c>
      <c r="R108" s="67"/>
      <c r="S108" s="67"/>
      <c r="T108" s="7"/>
      <c r="U108" s="7"/>
      <c r="V108" s="67" t="n">
        <f aca="false">K108*5.5017049523</f>
        <v>23962873.0464349</v>
      </c>
      <c r="W108" s="67" t="n">
        <f aca="false">M108*5.5017049523</f>
        <v>741119.784941317</v>
      </c>
      <c r="X108" s="67" t="n">
        <f aca="false">N108*5.1890047538+L108*5.5017049523</f>
        <v>19612282.1667731</v>
      </c>
      <c r="Y108" s="67" t="n">
        <f aca="false">N108*5.1890047538</f>
        <v>13416853.9278875</v>
      </c>
      <c r="Z108" s="67" t="n">
        <f aca="false">L108*5.5017049523</f>
        <v>6195428.23888553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3" t="n">
        <v>29675549.8841373</v>
      </c>
      <c r="G109" s="153" t="n">
        <v>28411601.5431778</v>
      </c>
      <c r="H109" s="67" t="n">
        <f aca="false">F109-J109</f>
        <v>25234986.5302661</v>
      </c>
      <c r="I109" s="67" t="n">
        <f aca="false">G109-K109</f>
        <v>24104255.0899227</v>
      </c>
      <c r="J109" s="153" t="n">
        <v>4440563.35387123</v>
      </c>
      <c r="K109" s="153" t="n">
        <v>4307346.4532551</v>
      </c>
      <c r="L109" s="67" t="n">
        <f aca="false">H109-I109</f>
        <v>1130731.44034337</v>
      </c>
      <c r="M109" s="67" t="n">
        <f aca="false">J109-K109</f>
        <v>133216.90061613</v>
      </c>
      <c r="N109" s="153" t="n">
        <v>2589961.735035</v>
      </c>
      <c r="O109" s="7"/>
      <c r="P109" s="7"/>
      <c r="Q109" s="67" t="n">
        <f aca="false">I109*5.5017049523</f>
        <v>132614499.59973</v>
      </c>
      <c r="R109" s="67"/>
      <c r="S109" s="67"/>
      <c r="T109" s="7"/>
      <c r="U109" s="7"/>
      <c r="V109" s="67" t="n">
        <f aca="false">K109*5.5017049523</f>
        <v>23697749.3131454</v>
      </c>
      <c r="W109" s="67" t="n">
        <f aca="false">M109*5.5017049523</f>
        <v>732920.081849819</v>
      </c>
      <c r="X109" s="67" t="n">
        <f aca="false">N109*5.1890047538+L109*5.5017049523</f>
        <v>19660274.5203152</v>
      </c>
      <c r="Y109" s="67" t="n">
        <f aca="false">N109*5.1890047538</f>
        <v>13439323.7552567</v>
      </c>
      <c r="Z109" s="67" t="n">
        <f aca="false">L109*5.5017049523</f>
        <v>6220950.76505845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65"/>
      <c r="B110" s="5"/>
      <c r="C110" s="65" t="n">
        <f aca="false">C106+1</f>
        <v>2039</v>
      </c>
      <c r="D110" s="65" t="n">
        <f aca="false">D106</f>
        <v>1</v>
      </c>
      <c r="E110" s="65" t="n">
        <v>257</v>
      </c>
      <c r="F110" s="151" t="n">
        <v>29883349.6774097</v>
      </c>
      <c r="G110" s="151" t="n">
        <v>28611410.7364704</v>
      </c>
      <c r="H110" s="8" t="n">
        <f aca="false">F110-J110</f>
        <v>25342813.2596438</v>
      </c>
      <c r="I110" s="8" t="n">
        <f aca="false">G110-K110</f>
        <v>24207090.4112374</v>
      </c>
      <c r="J110" s="151" t="n">
        <v>4540536.41776594</v>
      </c>
      <c r="K110" s="151" t="n">
        <v>4404320.32523297</v>
      </c>
      <c r="L110" s="8" t="n">
        <f aca="false">H110-I110</f>
        <v>1135722.84840633</v>
      </c>
      <c r="M110" s="8" t="n">
        <f aca="false">J110-K110</f>
        <v>136216.09253297</v>
      </c>
      <c r="N110" s="151" t="n">
        <v>3188867.33198859</v>
      </c>
      <c r="O110" s="5"/>
      <c r="P110" s="5"/>
      <c r="Q110" s="8" t="n">
        <f aca="false">I110*5.5017049523</f>
        <v>133180269.196279</v>
      </c>
      <c r="R110" s="8"/>
      <c r="S110" s="8"/>
      <c r="T110" s="5"/>
      <c r="U110" s="5"/>
      <c r="V110" s="8" t="n">
        <f aca="false">K110*5.5017049523</f>
        <v>24231270.9448498</v>
      </c>
      <c r="W110" s="8" t="n">
        <f aca="false">M110*5.5017049523</f>
        <v>749420.750871596</v>
      </c>
      <c r="X110" s="8" t="n">
        <f aca="false">N110*5.1890047538+L110*5.5017049523</f>
        <v>22795459.7644437</v>
      </c>
      <c r="Y110" s="8" t="n">
        <f aca="false">N110*5.1890047538</f>
        <v>16547047.7449263</v>
      </c>
      <c r="Z110" s="8" t="n">
        <f aca="false">L110*5.5017049523</f>
        <v>6248412.01951737</v>
      </c>
      <c r="AA110" s="8"/>
      <c r="AB110" s="8"/>
      <c r="AC110" s="8"/>
      <c r="AD110" s="8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3" t="n">
        <v>29995651.3883787</v>
      </c>
      <c r="G111" s="153" t="n">
        <v>28719576.629266</v>
      </c>
      <c r="H111" s="67" t="n">
        <f aca="false">F111-J111</f>
        <v>25371842.148188</v>
      </c>
      <c r="I111" s="67" t="n">
        <f aca="false">G111-K111</f>
        <v>24234481.666281</v>
      </c>
      <c r="J111" s="153" t="n">
        <v>4623809.24019072</v>
      </c>
      <c r="K111" s="153" t="n">
        <v>4485094.962985</v>
      </c>
      <c r="L111" s="67" t="n">
        <f aca="false">H111-I111</f>
        <v>1137360.48190698</v>
      </c>
      <c r="M111" s="67" t="n">
        <f aca="false">J111-K111</f>
        <v>138714.277205721</v>
      </c>
      <c r="N111" s="153" t="n">
        <v>2636842.79625033</v>
      </c>
      <c r="O111" s="7"/>
      <c r="P111" s="7"/>
      <c r="Q111" s="67" t="n">
        <f aca="false">I111*5.5017049523</f>
        <v>133330967.799802</v>
      </c>
      <c r="R111" s="67"/>
      <c r="S111" s="67"/>
      <c r="T111" s="7"/>
      <c r="U111" s="7"/>
      <c r="V111" s="67" t="n">
        <f aca="false">K111*5.5017049523</f>
        <v>24675669.1693904</v>
      </c>
      <c r="W111" s="67" t="n">
        <f aca="false">M111*5.5017049523</f>
        <v>763165.025857428</v>
      </c>
      <c r="X111" s="67" t="n">
        <f aca="false">N111*5.1890047538+L111*5.5017049523</f>
        <v>19940011.6006242</v>
      </c>
      <c r="Y111" s="67" t="n">
        <f aca="false">N111*5.1890047538</f>
        <v>13682589.8047662</v>
      </c>
      <c r="Z111" s="67" t="n">
        <f aca="false">L111*5.5017049523</f>
        <v>6257421.79585795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3" t="n">
        <v>30117824.9422469</v>
      </c>
      <c r="G112" s="153" t="n">
        <v>28836530.4766723</v>
      </c>
      <c r="H112" s="67" t="n">
        <f aca="false">F112-J112</f>
        <v>25420819.8246358</v>
      </c>
      <c r="I112" s="67" t="n">
        <f aca="false">G112-K112</f>
        <v>24280435.5125895</v>
      </c>
      <c r="J112" s="153" t="n">
        <v>4697005.11761109</v>
      </c>
      <c r="K112" s="153" t="n">
        <v>4556094.96408276</v>
      </c>
      <c r="L112" s="67" t="n">
        <f aca="false">H112-I112</f>
        <v>1140384.31204627</v>
      </c>
      <c r="M112" s="67" t="n">
        <f aca="false">J112-K112</f>
        <v>140910.15352833</v>
      </c>
      <c r="N112" s="153" t="n">
        <v>2611471.56191868</v>
      </c>
      <c r="Q112" s="67" t="n">
        <f aca="false">I112*5.5017049523</f>
        <v>133583792.303615</v>
      </c>
      <c r="R112" s="67"/>
      <c r="S112" s="67"/>
      <c r="V112" s="67" t="n">
        <f aca="false">K112*5.5017049523</f>
        <v>25066290.2270432</v>
      </c>
      <c r="W112" s="67" t="n">
        <f aca="false">M112*5.5017049523</f>
        <v>775246.089496166</v>
      </c>
      <c r="X112" s="67" t="n">
        <f aca="false">N112*5.1890047538+L112*5.5017049523</f>
        <v>19824996.3663197</v>
      </c>
      <c r="Y112" s="67" t="n">
        <f aca="false">N112*5.1890047538</f>
        <v>13550938.3492095</v>
      </c>
      <c r="Z112" s="67" t="n">
        <f aca="false">L112*5.5017049523</f>
        <v>6274058.0171102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3" t="n">
        <v>30265760.4696049</v>
      </c>
      <c r="G113" s="153" t="n">
        <v>28978338.1339964</v>
      </c>
      <c r="H113" s="67" t="n">
        <f aca="false">F113-J113</f>
        <v>25499947.2180164</v>
      </c>
      <c r="I113" s="67" t="n">
        <f aca="false">G113-K113</f>
        <v>24355499.2799555</v>
      </c>
      <c r="J113" s="153" t="n">
        <v>4765813.25158853</v>
      </c>
      <c r="K113" s="153" t="n">
        <v>4622838.85404087</v>
      </c>
      <c r="L113" s="67" t="n">
        <f aca="false">H113-I113</f>
        <v>1144447.93806084</v>
      </c>
      <c r="M113" s="67" t="n">
        <f aca="false">J113-K113</f>
        <v>142974.397547659</v>
      </c>
      <c r="N113" s="153" t="n">
        <v>2584313.92105756</v>
      </c>
      <c r="Q113" s="67" t="n">
        <f aca="false">I113*5.5017049523</f>
        <v>133996771.00427</v>
      </c>
      <c r="R113" s="67"/>
      <c r="S113" s="67"/>
      <c r="V113" s="67" t="n">
        <f aca="false">K113*5.5017049523</f>
        <v>25433495.4169615</v>
      </c>
      <c r="W113" s="67" t="n">
        <f aca="false">M113*5.5017049523</f>
        <v>786602.951040067</v>
      </c>
      <c r="X113" s="67" t="n">
        <f aca="false">N113*5.1890047538+L113*5.5017049523</f>
        <v>19706432.110158</v>
      </c>
      <c r="Y113" s="67" t="n">
        <f aca="false">N113*5.1890047538</f>
        <v>13410017.2216792</v>
      </c>
      <c r="Z113" s="67" t="n">
        <f aca="false">L113*5.5017049523</f>
        <v>6296414.88847884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65"/>
      <c r="B114" s="5"/>
      <c r="C114" s="65" t="n">
        <f aca="false">C110+1</f>
        <v>2040</v>
      </c>
      <c r="D114" s="65" t="n">
        <f aca="false">D110</f>
        <v>1</v>
      </c>
      <c r="E114" s="65" t="n">
        <v>261</v>
      </c>
      <c r="F114" s="151" t="n">
        <v>30426990.4652837</v>
      </c>
      <c r="G114" s="151" t="n">
        <v>29132203.4058115</v>
      </c>
      <c r="H114" s="8" t="n">
        <f aca="false">F114-J114</f>
        <v>25618614.3335404</v>
      </c>
      <c r="I114" s="8" t="n">
        <f aca="false">G114-K114</f>
        <v>24468078.5580205</v>
      </c>
      <c r="J114" s="151" t="n">
        <v>4808376.13174328</v>
      </c>
      <c r="K114" s="151" t="n">
        <v>4664124.84779098</v>
      </c>
      <c r="L114" s="8" t="n">
        <f aca="false">H114-I114</f>
        <v>1150535.7755199</v>
      </c>
      <c r="M114" s="8" t="n">
        <f aca="false">J114-K114</f>
        <v>144251.2839523</v>
      </c>
      <c r="N114" s="151" t="n">
        <v>3095681.39944274</v>
      </c>
      <c r="O114" s="5"/>
      <c r="P114" s="5"/>
      <c r="Q114" s="8" t="n">
        <f aca="false">I114*5.5017049523</f>
        <v>134616148.975927</v>
      </c>
      <c r="R114" s="8"/>
      <c r="S114" s="8"/>
      <c r="T114" s="5"/>
      <c r="U114" s="5"/>
      <c r="V114" s="8" t="n">
        <f aca="false">K114*5.5017049523</f>
        <v>25660638.7732371</v>
      </c>
      <c r="W114" s="8" t="n">
        <f aca="false">M114*5.5017049523</f>
        <v>793628.003296005</v>
      </c>
      <c r="X114" s="8" t="n">
        <f aca="false">N114*5.1890047538+L114*5.5017049523</f>
        <v>22393413.8719347</v>
      </c>
      <c r="Y114" s="8" t="n">
        <f aca="false">N114*5.1890047538</f>
        <v>16063505.4979586</v>
      </c>
      <c r="Z114" s="8" t="n">
        <f aca="false">L114*5.5017049523</f>
        <v>6329908.37397614</v>
      </c>
      <c r="AA114" s="8"/>
      <c r="AB114" s="8"/>
      <c r="AC114" s="8"/>
      <c r="AD114" s="8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3" t="n">
        <v>30492928.4278787</v>
      </c>
      <c r="G115" s="153" t="n">
        <v>29194923.5469852</v>
      </c>
      <c r="H115" s="67" t="n">
        <f aca="false">F115-J115</f>
        <v>25624792.0494783</v>
      </c>
      <c r="I115" s="67" t="n">
        <f aca="false">G115-K115</f>
        <v>24472831.2599368</v>
      </c>
      <c r="J115" s="153" t="n">
        <v>4868136.37840041</v>
      </c>
      <c r="K115" s="153" t="n">
        <v>4722092.2870484</v>
      </c>
      <c r="L115" s="67" t="n">
        <f aca="false">H115-I115</f>
        <v>1151960.78954149</v>
      </c>
      <c r="M115" s="67" t="n">
        <f aca="false">J115-K115</f>
        <v>146044.091352009</v>
      </c>
      <c r="N115" s="153" t="n">
        <v>2455085.65944367</v>
      </c>
      <c r="O115" s="7"/>
      <c r="P115" s="7"/>
      <c r="Q115" s="67" t="n">
        <f aca="false">I115*5.5017049523</f>
        <v>134642296.939597</v>
      </c>
      <c r="R115" s="67"/>
      <c r="S115" s="67"/>
      <c r="T115" s="7"/>
      <c r="U115" s="7"/>
      <c r="V115" s="67" t="n">
        <f aca="false">K115*5.5017049523</f>
        <v>25979558.5208718</v>
      </c>
      <c r="W115" s="67" t="n">
        <f aca="false">M115*5.5017049523</f>
        <v>803491.500645503</v>
      </c>
      <c r="X115" s="67" t="n">
        <f aca="false">N115*5.1890047538+L115*5.5017049523</f>
        <v>19077199.5385152</v>
      </c>
      <c r="Y115" s="67" t="n">
        <f aca="false">N115*5.1890047538</f>
        <v>12739451.1578394</v>
      </c>
      <c r="Z115" s="67" t="n">
        <f aca="false">L115*5.5017049523</f>
        <v>6337748.38067584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3" t="n">
        <v>30662822.1075653</v>
      </c>
      <c r="G116" s="153" t="n">
        <v>29356786.5785216</v>
      </c>
      <c r="H116" s="67" t="n">
        <f aca="false">F116-J116</f>
        <v>25771371.4294699</v>
      </c>
      <c r="I116" s="67" t="n">
        <f aca="false">G116-K116</f>
        <v>24612079.420769</v>
      </c>
      <c r="J116" s="153" t="n">
        <v>4891450.67809544</v>
      </c>
      <c r="K116" s="153" t="n">
        <v>4744707.15775258</v>
      </c>
      <c r="L116" s="67" t="n">
        <f aca="false">H116-I116</f>
        <v>1159292.00870084</v>
      </c>
      <c r="M116" s="67" t="n">
        <f aca="false">J116-K116</f>
        <v>146743.52034286</v>
      </c>
      <c r="N116" s="153" t="n">
        <v>2471730.65948174</v>
      </c>
      <c r="O116" s="7"/>
      <c r="P116" s="7"/>
      <c r="Q116" s="67" t="n">
        <f aca="false">I116*5.5017049523</f>
        <v>135408399.235646</v>
      </c>
      <c r="R116" s="67"/>
      <c r="S116" s="67"/>
      <c r="T116" s="7"/>
      <c r="U116" s="7"/>
      <c r="V116" s="67" t="n">
        <f aca="false">K116*5.5017049523</f>
        <v>26103978.8670206</v>
      </c>
      <c r="W116" s="67" t="n">
        <f aca="false">M116*5.5017049523</f>
        <v>807339.552588251</v>
      </c>
      <c r="X116" s="67" t="n">
        <f aca="false">N116*5.1890047538+L116*5.5017049523</f>
        <v>19203904.7275952</v>
      </c>
      <c r="Y116" s="67" t="n">
        <f aca="false">N116*5.1890047538</f>
        <v>12825822.142164</v>
      </c>
      <c r="Z116" s="67" t="n">
        <f aca="false">L116*5.5017049523</f>
        <v>6378082.58543121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3" t="n">
        <v>31026203.5929403</v>
      </c>
      <c r="G117" s="153" t="n">
        <v>29704304.6336159</v>
      </c>
      <c r="H117" s="67" t="n">
        <f aca="false">F117-J117</f>
        <v>26032993.0004768</v>
      </c>
      <c r="I117" s="67" t="n">
        <f aca="false">G117-K117</f>
        <v>24860890.3589263</v>
      </c>
      <c r="J117" s="153" t="n">
        <v>4993210.59246346</v>
      </c>
      <c r="K117" s="153" t="n">
        <v>4843414.27468956</v>
      </c>
      <c r="L117" s="67" t="n">
        <f aca="false">H117-I117</f>
        <v>1172102.6415505</v>
      </c>
      <c r="M117" s="67" t="n">
        <f aca="false">J117-K117</f>
        <v>149796.3177739</v>
      </c>
      <c r="N117" s="153" t="n">
        <v>2479233.73582244</v>
      </c>
      <c r="O117" s="7"/>
      <c r="P117" s="7"/>
      <c r="Q117" s="67" t="n">
        <f aca="false">I117*5.5017049523</f>
        <v>136777283.606292</v>
      </c>
      <c r="R117" s="67"/>
      <c r="S117" s="67"/>
      <c r="T117" s="7"/>
      <c r="U117" s="7"/>
      <c r="V117" s="67" t="n">
        <f aca="false">K117*5.5017049523</f>
        <v>26647036.3011001</v>
      </c>
      <c r="W117" s="67" t="n">
        <f aca="false">M117*5.5017049523</f>
        <v>824135.14333297</v>
      </c>
      <c r="X117" s="67" t="n">
        <f aca="false">N117*5.1890047538+L117*5.5017049523</f>
        <v>19313318.5485863</v>
      </c>
      <c r="Y117" s="67" t="n">
        <f aca="false">N117*5.1890047538</f>
        <v>12864755.640964</v>
      </c>
      <c r="Z117" s="67" t="n">
        <f aca="false">L117*5.5017049523</f>
        <v>6448562.9076223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G1" colorId="64" zoomScale="65" zoomScaleNormal="65" zoomScalePageLayoutView="100" workbookViewId="0">
      <selection pane="topLeft" activeCell="N14" activeCellId="0" sqref="N14"/>
    </sheetView>
  </sheetViews>
  <sheetFormatPr defaultColWidth="9.01953125" defaultRowHeight="12.8" zeroHeight="false" outlineLevelRow="0" outlineLevelCol="0"/>
  <cols>
    <col collapsed="false" customWidth="true" hidden="false" outlineLevel="0" max="6" min="5" style="58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56"/>
      <c r="B1" s="156"/>
      <c r="C1" s="156"/>
      <c r="D1" s="156"/>
      <c r="E1" s="157" t="s">
        <v>196</v>
      </c>
      <c r="F1" s="157" t="s">
        <v>197</v>
      </c>
      <c r="G1" s="156"/>
      <c r="H1" s="156"/>
      <c r="I1" s="156"/>
      <c r="J1" s="156"/>
      <c r="K1" s="156"/>
      <c r="L1" s="156"/>
      <c r="M1" s="158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</row>
    <row r="2" customFormat="false" ht="50.25" hidden="false" customHeight="true" outlineLevel="0" collapsed="false">
      <c r="A2" s="139" t="s">
        <v>198</v>
      </c>
      <c r="B2" s="139" t="s">
        <v>168</v>
      </c>
      <c r="C2" s="139" t="s">
        <v>169</v>
      </c>
      <c r="D2" s="139" t="s">
        <v>199</v>
      </c>
      <c r="E2" s="141" t="s">
        <v>200</v>
      </c>
      <c r="F2" s="141" t="s">
        <v>201</v>
      </c>
      <c r="G2" s="139" t="s">
        <v>202</v>
      </c>
      <c r="H2" s="139" t="s">
        <v>203</v>
      </c>
      <c r="I2" s="139" t="s">
        <v>204</v>
      </c>
      <c r="J2" s="139" t="s">
        <v>205</v>
      </c>
      <c r="K2" s="139" t="s">
        <v>206</v>
      </c>
      <c r="L2" s="139" t="s">
        <v>207</v>
      </c>
      <c r="M2" s="142" t="s">
        <v>208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12.8" hidden="false" customHeight="false" outlineLevel="0" collapsed="false">
      <c r="A3" s="144" t="s">
        <v>209</v>
      </c>
      <c r="B3" s="144" t="n">
        <v>2014</v>
      </c>
      <c r="C3" s="145" t="n">
        <v>1</v>
      </c>
      <c r="D3" s="144" t="n">
        <v>45</v>
      </c>
      <c r="E3" s="146" t="n">
        <v>16336703</v>
      </c>
      <c r="F3" s="146" t="n">
        <v>147746</v>
      </c>
      <c r="G3" s="147" t="n">
        <v>16188957</v>
      </c>
      <c r="H3" s="160" t="n">
        <v>59323985</v>
      </c>
      <c r="I3" s="161" t="n">
        <f aca="false">H3/G3</f>
        <v>3.66447233135526</v>
      </c>
      <c r="J3" s="147" t="n">
        <f aca="false">G3*I10</f>
        <v>61899880.2143381</v>
      </c>
      <c r="K3" s="160" t="n">
        <v>354218</v>
      </c>
      <c r="L3" s="161" t="n">
        <f aca="false">K3/F3</f>
        <v>2.39747945798871</v>
      </c>
      <c r="M3" s="147" t="n">
        <f aca="false">F3*2.511711692</f>
        <v>371095.355646232</v>
      </c>
      <c r="N3" s="160"/>
      <c r="O3" s="144"/>
      <c r="P3" s="144"/>
      <c r="Q3" s="147"/>
      <c r="R3" s="147"/>
      <c r="S3" s="147"/>
      <c r="T3" s="144"/>
      <c r="U3" s="144"/>
      <c r="V3" s="145"/>
      <c r="W3" s="145"/>
      <c r="X3" s="147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</row>
    <row r="4" customFormat="false" ht="12.8" hidden="false" customHeight="false" outlineLevel="0" collapsed="false">
      <c r="B4" s="144" t="n">
        <v>2014</v>
      </c>
      <c r="C4" s="145" t="n">
        <v>2</v>
      </c>
      <c r="D4" s="144" t="n">
        <v>46</v>
      </c>
      <c r="E4" s="146" t="n">
        <v>19039169</v>
      </c>
      <c r="F4" s="146" t="n">
        <v>150094</v>
      </c>
      <c r="G4" s="147" t="n">
        <v>18889075</v>
      </c>
      <c r="H4" s="160" t="n">
        <v>70642775</v>
      </c>
      <c r="I4" s="161" t="n">
        <f aca="false">H4/G4</f>
        <v>3.73987476888095</v>
      </c>
      <c r="J4" s="147" t="n">
        <f aca="false">G4*3.8235866717</f>
        <v>72224015.4107417</v>
      </c>
      <c r="K4" s="160" t="n">
        <v>375893</v>
      </c>
      <c r="L4" s="161" t="n">
        <f aca="false">K4/F4</f>
        <v>2.5043839194105</v>
      </c>
      <c r="M4" s="147" t="n">
        <f aca="false">F4*2.511711692</f>
        <v>376992.854699048</v>
      </c>
      <c r="N4" s="160"/>
      <c r="Q4" s="147"/>
      <c r="R4" s="147"/>
      <c r="S4" s="147"/>
      <c r="V4" s="145"/>
      <c r="W4" s="145"/>
      <c r="X4" s="147"/>
    </row>
    <row r="5" customFormat="false" ht="12.8" hidden="false" customHeight="false" outlineLevel="0" collapsed="false">
      <c r="B5" s="144" t="n">
        <v>2014</v>
      </c>
      <c r="C5" s="145" t="n">
        <v>3</v>
      </c>
      <c r="D5" s="144" t="n">
        <v>47</v>
      </c>
      <c r="E5" s="146" t="n">
        <v>16811748</v>
      </c>
      <c r="F5" s="146" t="n">
        <v>145661</v>
      </c>
      <c r="G5" s="147" t="n">
        <v>16666087</v>
      </c>
      <c r="H5" s="160" t="n">
        <v>66453030</v>
      </c>
      <c r="I5" s="161" t="n">
        <f aca="false">H5/G5</f>
        <v>3.98732047900626</v>
      </c>
      <c r="J5" s="147" t="n">
        <f aca="false">G5*3.8235866717</f>
        <v>63724228.1225926</v>
      </c>
      <c r="K5" s="160" t="n">
        <v>387130</v>
      </c>
      <c r="L5" s="161" t="n">
        <f aca="false">K5/F5</f>
        <v>2.65774641118762</v>
      </c>
      <c r="M5" s="147" t="n">
        <f aca="false">F5*2.511711692</f>
        <v>365858.436768412</v>
      </c>
      <c r="N5" s="160"/>
      <c r="Q5" s="147"/>
      <c r="R5" s="147"/>
      <c r="S5" s="147"/>
      <c r="V5" s="145"/>
      <c r="W5" s="145"/>
      <c r="X5" s="147"/>
    </row>
    <row r="6" customFormat="false" ht="12.8" hidden="false" customHeight="false" outlineLevel="0" collapsed="false">
      <c r="B6" s="144" t="n">
        <v>2014</v>
      </c>
      <c r="C6" s="145" t="n">
        <v>4</v>
      </c>
      <c r="D6" s="144" t="n">
        <v>48</v>
      </c>
      <c r="E6" s="146" t="n">
        <v>20743937</v>
      </c>
      <c r="F6" s="146" t="n">
        <v>143630</v>
      </c>
      <c r="G6" s="147" t="n">
        <v>20600306</v>
      </c>
      <c r="H6" s="160" t="n">
        <v>75212989</v>
      </c>
      <c r="I6" s="161" t="n">
        <f aca="false">H6/G6</f>
        <v>3.65106173665576</v>
      </c>
      <c r="J6" s="147" t="n">
        <f aca="false">G6*3.8235866717</f>
        <v>78767055.4545416</v>
      </c>
      <c r="K6" s="160" t="n">
        <v>390504</v>
      </c>
      <c r="L6" s="161" t="n">
        <f aca="false">K6/F6</f>
        <v>2.71881918819188</v>
      </c>
      <c r="M6" s="147" t="n">
        <f aca="false">F6*2.511711692</f>
        <v>360757.15032196</v>
      </c>
      <c r="N6" s="160"/>
      <c r="Q6" s="147"/>
      <c r="R6" s="147"/>
      <c r="S6" s="147"/>
      <c r="V6" s="145"/>
      <c r="W6" s="145"/>
      <c r="X6" s="147"/>
    </row>
    <row r="7" customFormat="false" ht="12.8" hidden="false" customHeight="false" outlineLevel="0" collapsed="false">
      <c r="B7" s="144" t="n">
        <v>2015</v>
      </c>
      <c r="C7" s="145" t="n">
        <v>1</v>
      </c>
      <c r="D7" s="144" t="n">
        <v>49</v>
      </c>
      <c r="E7" s="146" t="n">
        <v>18307160</v>
      </c>
      <c r="F7" s="146" t="n">
        <v>167252</v>
      </c>
      <c r="G7" s="147" t="n">
        <v>18139908</v>
      </c>
      <c r="H7" s="160" t="n">
        <v>71061517</v>
      </c>
      <c r="I7" s="161" t="n">
        <f aca="false">H7/G7</f>
        <v>3.91741330771909</v>
      </c>
      <c r="J7" s="147" t="n">
        <f aca="false">G7*3.8235866717</f>
        <v>69359510.4546642</v>
      </c>
      <c r="K7" s="160" t="n">
        <v>409117</v>
      </c>
      <c r="L7" s="161" t="n">
        <f aca="false">K7/F7</f>
        <v>2.44611125726449</v>
      </c>
      <c r="M7" s="147" t="n">
        <f aca="false">F7*2.511711692</f>
        <v>420088.803910384</v>
      </c>
      <c r="N7" s="160"/>
      <c r="Q7" s="147"/>
      <c r="R7" s="147"/>
      <c r="S7" s="147"/>
      <c r="V7" s="145"/>
      <c r="W7" s="145"/>
      <c r="X7" s="147"/>
    </row>
    <row r="8" customFormat="false" ht="12.8" hidden="false" customHeight="false" outlineLevel="0" collapsed="false">
      <c r="B8" s="144" t="n">
        <v>2015</v>
      </c>
      <c r="C8" s="145" t="n">
        <v>2</v>
      </c>
      <c r="D8" s="144" t="n">
        <v>50</v>
      </c>
      <c r="E8" s="146" t="n">
        <v>21740969</v>
      </c>
      <c r="F8" s="146" t="n">
        <v>188439</v>
      </c>
      <c r="G8" s="147" t="n">
        <v>21552530</v>
      </c>
      <c r="H8" s="160" t="n">
        <v>85808756</v>
      </c>
      <c r="I8" s="161" t="n">
        <f aca="false">H8/G8</f>
        <v>3.98137740673601</v>
      </c>
      <c r="J8" s="147" t="n">
        <f aca="false">G8*3.8235866717</f>
        <v>82407966.4494144</v>
      </c>
      <c r="K8" s="160" t="n">
        <v>442027</v>
      </c>
      <c r="L8" s="161" t="n">
        <f aca="false">K8/F8</f>
        <v>2.34572991790447</v>
      </c>
      <c r="M8" s="147" t="n">
        <f aca="false">F8*2.511711692</f>
        <v>473304.439528788</v>
      </c>
      <c r="N8" s="160"/>
      <c r="Q8" s="147"/>
      <c r="R8" s="147"/>
      <c r="S8" s="147"/>
      <c r="V8" s="145"/>
      <c r="W8" s="145"/>
      <c r="X8" s="147"/>
    </row>
    <row r="9" customFormat="false" ht="12.8" hidden="false" customHeight="false" outlineLevel="0" collapsed="false">
      <c r="A9" s="7"/>
      <c r="B9" s="71" t="n">
        <v>2015</v>
      </c>
      <c r="C9" s="7" t="n">
        <v>1</v>
      </c>
      <c r="D9" s="71" t="n">
        <v>161</v>
      </c>
      <c r="E9" s="153" t="n">
        <v>18004034.2271816</v>
      </c>
      <c r="F9" s="153" t="n">
        <v>135449.214417351</v>
      </c>
      <c r="G9" s="67" t="n">
        <f aca="false">E9-F9*0.7</f>
        <v>17909219.7770895</v>
      </c>
      <c r="H9" s="9"/>
      <c r="I9" s="162"/>
      <c r="J9" s="67" t="n">
        <f aca="false">G9*3.8235866717</f>
        <v>68477454.0402253</v>
      </c>
      <c r="K9" s="9"/>
      <c r="L9" s="162"/>
      <c r="M9" s="67" t="n">
        <f aca="false">F9*2.511711692</f>
        <v>340209.375524275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71" t="n">
        <v>2015</v>
      </c>
      <c r="C10" s="7" t="n">
        <v>2</v>
      </c>
      <c r="D10" s="71" t="n">
        <v>162</v>
      </c>
      <c r="E10" s="153" t="n">
        <v>22160667.1184206</v>
      </c>
      <c r="F10" s="153" t="n">
        <v>151084.142402353</v>
      </c>
      <c r="G10" s="67" t="n">
        <f aca="false">E10-F10*0.7</f>
        <v>22054908.218739</v>
      </c>
      <c r="H10" s="9" t="s">
        <v>210</v>
      </c>
      <c r="I10" s="162" t="n">
        <f aca="false">AVERAGE(I3:I8)</f>
        <v>3.82358667172555</v>
      </c>
      <c r="J10" s="67" t="n">
        <f aca="false">G10*3.8235866717</f>
        <v>84328853.1107371</v>
      </c>
      <c r="K10" s="9" t="s">
        <v>210</v>
      </c>
      <c r="L10" s="162" t="n">
        <f aca="false">AVERAGE(L3:L8)</f>
        <v>2.51171169199128</v>
      </c>
      <c r="M10" s="67" t="n">
        <f aca="false">F10*2.511711692</f>
        <v>379479.806947783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1" t="n">
        <v>2015</v>
      </c>
      <c r="C11" s="7" t="n">
        <v>3</v>
      </c>
      <c r="D11" s="71" t="n">
        <v>163</v>
      </c>
      <c r="E11" s="153" t="n">
        <v>20241475.2040363</v>
      </c>
      <c r="F11" s="153" t="n">
        <v>149343.027816335</v>
      </c>
      <c r="G11" s="67" t="n">
        <f aca="false">E11-F11*0.7</f>
        <v>20136935.0845649</v>
      </c>
      <c r="H11" s="9" t="n">
        <v>76520057</v>
      </c>
      <c r="I11" s="67"/>
      <c r="J11" s="67" t="n">
        <f aca="false">G11*3.8235866717</f>
        <v>76995316.5982303</v>
      </c>
      <c r="K11" s="9" t="n">
        <v>445064</v>
      </c>
      <c r="L11" s="67"/>
      <c r="M11" s="67" t="n">
        <f aca="false">F11*2.511711692</f>
        <v>375106.62908497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71" t="n">
        <v>2015</v>
      </c>
      <c r="C12" s="7" t="n">
        <v>4</v>
      </c>
      <c r="D12" s="71" t="n">
        <v>164</v>
      </c>
      <c r="E12" s="153" t="n">
        <v>23722644.8086565</v>
      </c>
      <c r="F12" s="153" t="n">
        <v>146563.952510206</v>
      </c>
      <c r="G12" s="67" t="n">
        <f aca="false">E12-F12*0.7</f>
        <v>23620050.0418994</v>
      </c>
      <c r="H12" s="9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65" t="s">
        <v>211</v>
      </c>
      <c r="B13" s="65" t="n">
        <v>2016</v>
      </c>
      <c r="C13" s="5" t="n">
        <v>1</v>
      </c>
      <c r="D13" s="65" t="n">
        <v>165</v>
      </c>
      <c r="E13" s="151" t="n">
        <v>19331318.9269655</v>
      </c>
      <c r="F13" s="151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3" t="n">
        <v>22042352.8766765</v>
      </c>
      <c r="F14" s="153" t="n">
        <v>141764.810127232</v>
      </c>
      <c r="G14" s="67" t="n">
        <f aca="false">E14-F14*0.7</f>
        <v>21943117.5095874</v>
      </c>
      <c r="H14" s="67" t="n">
        <v>78650764</v>
      </c>
      <c r="I14" s="67"/>
      <c r="J14" s="67" t="n">
        <f aca="false">G14*3.8235866717</f>
        <v>83901411.6452054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3" t="n">
        <v>19232651.4142766</v>
      </c>
      <c r="F15" s="153" t="n">
        <v>144189.0349691</v>
      </c>
      <c r="G15" s="67" t="n">
        <f aca="false">E15-F15*0.7</f>
        <v>19131719.0897982</v>
      </c>
      <c r="H15" s="67" t="n">
        <v>72210474</v>
      </c>
      <c r="I15" s="67"/>
      <c r="J15" s="67" t="n">
        <f aca="false">G15*3.8235866717</f>
        <v>73151786.118461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3" t="n">
        <v>22573512.1008919</v>
      </c>
      <c r="F16" s="153" t="n"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65"/>
      <c r="B17" s="65" t="n">
        <v>2017</v>
      </c>
      <c r="C17" s="5" t="n">
        <v>1</v>
      </c>
      <c r="D17" s="65" t="n">
        <v>169</v>
      </c>
      <c r="E17" s="151" t="n">
        <v>19517575.3041269</v>
      </c>
      <c r="F17" s="151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3" t="n">
        <v>23345722.4547066</v>
      </c>
      <c r="F18" s="153" t="n">
        <v>131002.673091904</v>
      </c>
      <c r="G18" s="67" t="n">
        <f aca="false">E18-F18*0.7</f>
        <v>23254020.5835423</v>
      </c>
      <c r="H18" s="67" t="n">
        <v>80479757</v>
      </c>
      <c r="I18" s="67"/>
      <c r="J18" s="67" t="n">
        <f aca="false">G18*3.8235866717</f>
        <v>88913763.1666697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3" t="n">
        <v>20685758.7576831</v>
      </c>
      <c r="F19" s="153" t="n"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3" t="n">
        <v>24447912.8962081</v>
      </c>
      <c r="F20" s="153" t="n">
        <v>143698.094559182</v>
      </c>
      <c r="G20" s="67" t="n">
        <f aca="false">E20-F20*0.7</f>
        <v>24347324.2300167</v>
      </c>
      <c r="H20" s="67" t="n">
        <v>82408987.5633976</v>
      </c>
      <c r="I20" s="67"/>
      <c r="J20" s="67" t="n">
        <f aca="false">G20*3.8235866717</f>
        <v>93094104.4174502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65"/>
      <c r="B21" s="65" t="n">
        <v>2018</v>
      </c>
      <c r="C21" s="5" t="n">
        <v>1</v>
      </c>
      <c r="D21" s="65" t="n">
        <v>173</v>
      </c>
      <c r="E21" s="151" t="n">
        <v>19576875.4819577</v>
      </c>
      <c r="F21" s="151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3" t="n">
        <v>22220331.7878667</v>
      </c>
      <c r="F22" s="153" t="n">
        <v>124241.716375217</v>
      </c>
      <c r="G22" s="67" t="n">
        <f aca="false">E22-F22*0.7</f>
        <v>22133362.586404</v>
      </c>
      <c r="H22" s="67"/>
      <c r="I22" s="67"/>
      <c r="J22" s="67" t="n">
        <f aca="false">G22*3.8235866717</f>
        <v>84628830.185278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3" t="n">
        <v>18301037.4436122</v>
      </c>
      <c r="F23" s="153" t="n">
        <v>112485.920454584</v>
      </c>
      <c r="G23" s="67" t="n">
        <f aca="false">E23-F23*0.7</f>
        <v>18222297.299294</v>
      </c>
      <c r="H23" s="67"/>
      <c r="I23" s="67"/>
      <c r="J23" s="67" t="n">
        <f aca="false">G23*3.8235866717</f>
        <v>69674533.0813354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3" t="n">
        <v>19944284.176601</v>
      </c>
      <c r="F24" s="153" t="n">
        <v>112102.826524005</v>
      </c>
      <c r="G24" s="67" t="n">
        <f aca="false">E24-F24*0.7</f>
        <v>19865812.1980342</v>
      </c>
      <c r="H24" s="67"/>
      <c r="I24" s="67"/>
      <c r="J24" s="67" t="n">
        <f aca="false">G24*3.8235866717</f>
        <v>75958654.7428988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65"/>
      <c r="B25" s="65" t="n">
        <v>2019</v>
      </c>
      <c r="C25" s="5" t="n">
        <v>1</v>
      </c>
      <c r="D25" s="65" t="n">
        <v>177</v>
      </c>
      <c r="E25" s="151" t="n">
        <v>15757157.7751408</v>
      </c>
      <c r="F25" s="151" t="n">
        <v>110988.074669527</v>
      </c>
      <c r="G25" s="8" t="n">
        <f aca="false">E25-F25*0.7</f>
        <v>15679466.1228721</v>
      </c>
      <c r="H25" s="8"/>
      <c r="I25" s="8"/>
      <c r="J25" s="8" t="n">
        <f aca="false">G25*3.8235866717</f>
        <v>59951797.6867856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3" t="n">
        <v>18672198.060717</v>
      </c>
      <c r="F26" s="153" t="n">
        <v>107486.273713936</v>
      </c>
      <c r="G26" s="67" t="n">
        <f aca="false">E26-F26*0.7</f>
        <v>18596957.6691172</v>
      </c>
      <c r="H26" s="67" t="n">
        <v>1000</v>
      </c>
      <c r="I26" s="67"/>
      <c r="J26" s="67" t="n">
        <f aca="false">G26*3.8235866717</f>
        <v>71107079.4778058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3" t="n">
        <v>15842246.0211279</v>
      </c>
      <c r="F27" s="153" t="n">
        <v>109352.321436835</v>
      </c>
      <c r="G27" s="67" t="n">
        <f aca="false">E27-F27*0.7</f>
        <v>15765699.3961221</v>
      </c>
      <c r="H27" s="67"/>
      <c r="I27" s="67"/>
      <c r="J27" s="67" t="n">
        <f aca="false">G27*3.8235866717</f>
        <v>60281518.0810413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3" t="n">
        <v>17986214.5284738</v>
      </c>
      <c r="F28" s="153" t="n">
        <v>109757.486777464</v>
      </c>
      <c r="G28" s="67" t="n">
        <f aca="false">E28-F28*0.7</f>
        <v>17909384.2877296</v>
      </c>
      <c r="H28" s="67"/>
      <c r="I28" s="67"/>
      <c r="J28" s="67" t="n">
        <f aca="false">G28*3.8235866717</f>
        <v>68478083.0609162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65"/>
      <c r="B29" s="65" t="n">
        <v>2020</v>
      </c>
      <c r="C29" s="5" t="n">
        <v>1</v>
      </c>
      <c r="D29" s="65" t="n">
        <v>181</v>
      </c>
      <c r="E29" s="151" t="n">
        <v>14481476.1980559</v>
      </c>
      <c r="F29" s="151" t="n">
        <v>112455.819388001</v>
      </c>
      <c r="G29" s="8" t="n">
        <f aca="false">E29-F29*0.7</f>
        <v>14402757.1244843</v>
      </c>
      <c r="H29" s="8"/>
      <c r="I29" s="8"/>
      <c r="J29" s="8" t="n">
        <f aca="false">G29*3.8235866717</f>
        <v>55070190.1769104</v>
      </c>
      <c r="K29" s="6"/>
      <c r="L29" s="8"/>
      <c r="M29" s="8" t="n">
        <f aca="false">F29*2.511711692</f>
        <v>282456.596390282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3" t="n">
        <v>16304506.7625371</v>
      </c>
      <c r="F30" s="153" t="n">
        <v>102526.152348736</v>
      </c>
      <c r="G30" s="67" t="n">
        <f aca="false">E30-F30*0.7</f>
        <v>16232738.455893</v>
      </c>
      <c r="H30" s="67"/>
      <c r="I30" s="67"/>
      <c r="J30" s="67" t="n">
        <f aca="false">G30*3.8235866717</f>
        <v>62067282.4051445</v>
      </c>
      <c r="K30" s="9"/>
      <c r="L30" s="67"/>
      <c r="M30" s="67" t="n">
        <f aca="false">F30*2.511711692</f>
        <v>257516.135590093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3" t="n">
        <v>13745036.6065064</v>
      </c>
      <c r="F31" s="153" t="n">
        <v>91035.9032197664</v>
      </c>
      <c r="G31" s="67" t="n">
        <f aca="false">E31-F31*0.7</f>
        <v>13681311.4742526</v>
      </c>
      <c r="H31" s="67"/>
      <c r="I31" s="67"/>
      <c r="J31" s="67" t="n">
        <f aca="false">G31*3.8235866717</f>
        <v>52311680.2043284</v>
      </c>
      <c r="K31" s="9"/>
      <c r="L31" s="67"/>
      <c r="M31" s="67" t="n">
        <f aca="false">F31*2.511711692</f>
        <v>228655.942508868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3" t="n">
        <v>16174431.4848562</v>
      </c>
      <c r="F32" s="153" t="n">
        <v>94754.4616199551</v>
      </c>
      <c r="G32" s="67" t="n">
        <f aca="false">E32-F32*0.7</f>
        <v>16108103.3617222</v>
      </c>
      <c r="H32" s="67"/>
      <c r="I32" s="67"/>
      <c r="J32" s="67" t="n">
        <f aca="false">G32*3.8235866717</f>
        <v>61590729.3202471</v>
      </c>
      <c r="K32" s="9"/>
      <c r="L32" s="67"/>
      <c r="M32" s="67" t="n">
        <f aca="false">F32*2.511711692</f>
        <v>237995.889120006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65"/>
      <c r="B33" s="65" t="n">
        <v>2021</v>
      </c>
      <c r="C33" s="5" t="n">
        <v>1</v>
      </c>
      <c r="D33" s="65" t="n">
        <v>185</v>
      </c>
      <c r="E33" s="151" t="n">
        <v>12985019.621144</v>
      </c>
      <c r="F33" s="151" t="n">
        <v>100800.10507346</v>
      </c>
      <c r="G33" s="8" t="n">
        <f aca="false">E33-F33*0.7</f>
        <v>12914459.5475926</v>
      </c>
      <c r="H33" s="8"/>
      <c r="I33" s="8"/>
      <c r="J33" s="8" t="n">
        <f aca="false">G33*3.8235866717</f>
        <v>49379555.3983838</v>
      </c>
      <c r="K33" s="6"/>
      <c r="L33" s="8"/>
      <c r="M33" s="8" t="n">
        <f aca="false">F33*2.511711692</f>
        <v>253180.802467838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3" t="n">
        <v>16173587.5963941</v>
      </c>
      <c r="F34" s="153" t="n">
        <v>103192.760559373</v>
      </c>
      <c r="G34" s="67" t="n">
        <f aca="false">E34-F34*0.7</f>
        <v>16101352.6640025</v>
      </c>
      <c r="H34" s="67"/>
      <c r="I34" s="67"/>
      <c r="J34" s="67" t="n">
        <f aca="false">G34*3.8235866717</f>
        <v>61564917.4424214</v>
      </c>
      <c r="K34" s="9"/>
      <c r="L34" s="67"/>
      <c r="M34" s="67" t="n">
        <f aca="false">F34*2.511711692</f>
        <v>259190.463226734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3" t="n">
        <v>14360823.0581614</v>
      </c>
      <c r="F35" s="153" t="n">
        <v>106380.655003906</v>
      </c>
      <c r="G35" s="67" t="n">
        <f aca="false">E35-F35*0.7</f>
        <v>14286356.5996587</v>
      </c>
      <c r="H35" s="67"/>
      <c r="I35" s="67"/>
      <c r="J35" s="67" t="n">
        <f aca="false">G35*3.8235866717</f>
        <v>54625122.6816082</v>
      </c>
      <c r="K35" s="9"/>
      <c r="L35" s="67"/>
      <c r="M35" s="67" t="n">
        <f aca="false">F35*2.511711692</f>
        <v>267197.534975929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3" t="n">
        <v>17344900.265067</v>
      </c>
      <c r="F36" s="153" t="n">
        <v>108047.478255851</v>
      </c>
      <c r="G36" s="67" t="n">
        <f aca="false">E36-F36*0.7</f>
        <v>17269267.0302879</v>
      </c>
      <c r="H36" s="67"/>
      <c r="I36" s="67"/>
      <c r="J36" s="67" t="n">
        <f aca="false">G36*3.8235866717</f>
        <v>66030539.2470371</v>
      </c>
      <c r="K36" s="9"/>
      <c r="L36" s="67"/>
      <c r="M36" s="67" t="n">
        <f aca="false">F36*2.511711692</f>
        <v>271384.114426337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65"/>
      <c r="B37" s="65" t="n">
        <v>2022</v>
      </c>
      <c r="C37" s="5" t="n">
        <v>1</v>
      </c>
      <c r="D37" s="65" t="n">
        <v>189</v>
      </c>
      <c r="E37" s="151" t="n">
        <v>13671106.5050102</v>
      </c>
      <c r="F37" s="151" t="n">
        <v>110377.614140721</v>
      </c>
      <c r="G37" s="8" t="n">
        <f aca="false">E37-F37*0.7</f>
        <v>13593842.1751117</v>
      </c>
      <c r="H37" s="8"/>
      <c r="I37" s="8"/>
      <c r="J37" s="8" t="n">
        <f aca="false">G37*3.8235866717</f>
        <v>51977233.7579504</v>
      </c>
      <c r="K37" s="6"/>
      <c r="L37" s="8"/>
      <c r="M37" s="8" t="n">
        <f aca="false">F37*2.511711692</f>
        <v>277236.743972313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3" t="n">
        <v>16420699.6479741</v>
      </c>
      <c r="F38" s="153" t="n">
        <v>113235.753855519</v>
      </c>
      <c r="G38" s="67" t="n">
        <f aca="false">E38-F38*0.7</f>
        <v>16341434.6202752</v>
      </c>
      <c r="H38" s="67"/>
      <c r="I38" s="67"/>
      <c r="J38" s="67" t="n">
        <f aca="false">G38*3.8235866717</f>
        <v>62482891.6105414</v>
      </c>
      <c r="K38" s="9"/>
      <c r="L38" s="67"/>
      <c r="M38" s="67" t="n">
        <f aca="false">F38*2.511711692</f>
        <v>284415.566911341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3" t="n">
        <v>14295769.382906</v>
      </c>
      <c r="F39" s="153" t="n">
        <v>115914.477540039</v>
      </c>
      <c r="G39" s="67" t="n">
        <f aca="false">E39-F39*0.7</f>
        <v>14214629.248628</v>
      </c>
      <c r="H39" s="67"/>
      <c r="I39" s="67"/>
      <c r="J39" s="67" t="n">
        <f aca="false">G39*3.8235866717</f>
        <v>54350866.9382109</v>
      </c>
      <c r="K39" s="9"/>
      <c r="L39" s="67"/>
      <c r="M39" s="67" t="n">
        <f aca="false">F39*2.511711692</f>
        <v>291143.748509387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3" t="n">
        <v>17056758.1092108</v>
      </c>
      <c r="F40" s="153" t="n">
        <v>117899.939118944</v>
      </c>
      <c r="G40" s="67" t="n">
        <f aca="false">E40-F40*0.7</f>
        <v>16974228.1518275</v>
      </c>
      <c r="H40" s="67"/>
      <c r="I40" s="67"/>
      <c r="J40" s="67" t="n">
        <f aca="false">G40*3.8235866717</f>
        <v>64902432.5237227</v>
      </c>
      <c r="K40" s="9"/>
      <c r="L40" s="67"/>
      <c r="M40" s="67" t="n">
        <f aca="false">F40*2.511711692</f>
        <v>296130.65557114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65"/>
      <c r="B41" s="65" t="n">
        <v>2023</v>
      </c>
      <c r="C41" s="5" t="n">
        <v>1</v>
      </c>
      <c r="D41" s="65" t="n">
        <v>193</v>
      </c>
      <c r="E41" s="151" t="n">
        <v>14101447.495082</v>
      </c>
      <c r="F41" s="151" t="n">
        <v>116481.732950872</v>
      </c>
      <c r="G41" s="8" t="n">
        <f aca="false">E41-F41*0.7</f>
        <v>14019910.2820164</v>
      </c>
      <c r="H41" s="8"/>
      <c r="I41" s="8"/>
      <c r="J41" s="8" t="n">
        <f aca="false">G41*3.8235866717</f>
        <v>53606342.0927477</v>
      </c>
      <c r="K41" s="6"/>
      <c r="L41" s="8"/>
      <c r="M41" s="8" t="n">
        <f aca="false">F41*2.511711692</f>
        <v>292568.530557127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3" t="n">
        <v>16963305.6173666</v>
      </c>
      <c r="F42" s="153" t="n">
        <v>117578.418377757</v>
      </c>
      <c r="G42" s="67" t="n">
        <f aca="false">E42-F42*0.7</f>
        <v>16881000.7245022</v>
      </c>
      <c r="H42" s="67"/>
      <c r="I42" s="67"/>
      <c r="J42" s="67" t="n">
        <f aca="false">G42*3.8235866717</f>
        <v>64545969.3751646</v>
      </c>
      <c r="K42" s="9"/>
      <c r="L42" s="67"/>
      <c r="M42" s="67" t="n">
        <f aca="false">F42*2.511711692</f>
        <v>295323.08816628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3" t="n">
        <v>14818995.5329677</v>
      </c>
      <c r="F43" s="153" t="n">
        <v>120173.456413389</v>
      </c>
      <c r="G43" s="67" t="n">
        <f aca="false">E43-F43*0.7</f>
        <v>14734874.1134783</v>
      </c>
      <c r="H43" s="67"/>
      <c r="I43" s="67"/>
      <c r="J43" s="67" t="n">
        <f aca="false">G43*3.8235866717</f>
        <v>56340068.2694731</v>
      </c>
      <c r="K43" s="9"/>
      <c r="L43" s="67"/>
      <c r="M43" s="67" t="n">
        <f aca="false">F43*2.511711692</f>
        <v>301841.075541562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3" t="n">
        <v>17781460.4219692</v>
      </c>
      <c r="F44" s="153" t="n">
        <v>117879.943213431</v>
      </c>
      <c r="G44" s="67" t="n">
        <f aca="false">E44-F44*0.7</f>
        <v>17698944.4617198</v>
      </c>
      <c r="H44" s="67"/>
      <c r="I44" s="67"/>
      <c r="J44" s="67" t="n">
        <f aca="false">G44*3.8235866717</f>
        <v>67673448.1469904</v>
      </c>
      <c r="K44" s="9"/>
      <c r="L44" s="67"/>
      <c r="M44" s="67" t="n">
        <f aca="false">F44*2.511711692</f>
        <v>296080.431621471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65"/>
      <c r="B45" s="65" t="n">
        <v>2024</v>
      </c>
      <c r="C45" s="5" t="n">
        <v>1</v>
      </c>
      <c r="D45" s="65" t="n">
        <v>197</v>
      </c>
      <c r="E45" s="151" t="n">
        <v>14820228.4334475</v>
      </c>
      <c r="F45" s="151" t="n">
        <v>122068.023579426</v>
      </c>
      <c r="G45" s="8" t="n">
        <f aca="false">E45-F45*0.7</f>
        <v>14734780.8169419</v>
      </c>
      <c r="H45" s="8"/>
      <c r="I45" s="8"/>
      <c r="J45" s="8" t="n">
        <f aca="false">G45*3.8235866717</f>
        <v>56339711.5420799</v>
      </c>
      <c r="K45" s="6"/>
      <c r="L45" s="8"/>
      <c r="M45" s="8" t="n">
        <f aca="false">F45*2.511711692</f>
        <v>306599.682043776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3" t="n">
        <v>17823967.2364484</v>
      </c>
      <c r="F46" s="153" t="n">
        <v>125249.417477589</v>
      </c>
      <c r="G46" s="67" t="n">
        <f aca="false">E46-F46*0.7</f>
        <v>17736292.6442141</v>
      </c>
      <c r="H46" s="67"/>
      <c r="I46" s="67"/>
      <c r="J46" s="67" t="n">
        <f aca="false">G46*3.8235866717</f>
        <v>67816252.1597877</v>
      </c>
      <c r="K46" s="9"/>
      <c r="L46" s="67"/>
      <c r="M46" s="67" t="n">
        <f aca="false">F46*2.511711692</f>
        <v>314590.426294649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3" t="n">
        <v>15548657.5835229</v>
      </c>
      <c r="F47" s="153" t="n">
        <v>121523.28362122</v>
      </c>
      <c r="G47" s="67" t="n">
        <f aca="false">E47-F47*0.7</f>
        <v>15463591.284988</v>
      </c>
      <c r="H47" s="67"/>
      <c r="I47" s="67"/>
      <c r="J47" s="67" t="n">
        <f aca="false">G47*3.8235866717</f>
        <v>59126381.5338966</v>
      </c>
      <c r="K47" s="9"/>
      <c r="L47" s="67"/>
      <c r="M47" s="67" t="n">
        <f aca="false">F47*2.511711692</f>
        <v>305231.45232165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3" t="n">
        <v>18553205.4758896</v>
      </c>
      <c r="F48" s="153" t="n">
        <v>124538.74192412</v>
      </c>
      <c r="G48" s="67" t="n">
        <f aca="false">E48-F48*0.7</f>
        <v>18466028.3565427</v>
      </c>
      <c r="H48" s="67"/>
      <c r="I48" s="67"/>
      <c r="J48" s="67" t="n">
        <f aca="false">G48*3.8235866717</f>
        <v>70606459.903311</v>
      </c>
      <c r="K48" s="9"/>
      <c r="L48" s="67"/>
      <c r="M48" s="67" t="n">
        <f aca="false">F48*2.511711692</f>
        <v>312805.414197783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65"/>
      <c r="B49" s="65" t="n">
        <v>2025</v>
      </c>
      <c r="C49" s="5" t="n">
        <v>1</v>
      </c>
      <c r="D49" s="65" t="n">
        <v>201</v>
      </c>
      <c r="E49" s="151" t="n">
        <v>15691079.4510242</v>
      </c>
      <c r="F49" s="151" t="n">
        <v>122655.014026557</v>
      </c>
      <c r="G49" s="8" t="n">
        <f aca="false">E49-F49*0.7</f>
        <v>15605220.9412056</v>
      </c>
      <c r="H49" s="8"/>
      <c r="I49" s="8"/>
      <c r="J49" s="8" t="n">
        <f aca="false">G49*3.8235866717</f>
        <v>59667914.7997275</v>
      </c>
      <c r="K49" s="6"/>
      <c r="L49" s="8"/>
      <c r="M49" s="8" t="n">
        <f aca="false">F49*2.511711692</f>
        <v>308074.032812927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3" t="n">
        <v>18739936.9663579</v>
      </c>
      <c r="F50" s="153" t="n">
        <v>123886.789285825</v>
      </c>
      <c r="G50" s="67" t="n">
        <f aca="false">E50-F50*0.7</f>
        <v>18653216.2138578</v>
      </c>
      <c r="H50" s="67"/>
      <c r="I50" s="67"/>
      <c r="J50" s="67" t="n">
        <f aca="false">G50*3.8235866717</f>
        <v>71322188.8996451</v>
      </c>
      <c r="K50" s="9"/>
      <c r="L50" s="67"/>
      <c r="M50" s="67" t="n">
        <f aca="false">F50*2.511711692</f>
        <v>311167.897133547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3" t="n">
        <v>16249137.7459403</v>
      </c>
      <c r="F51" s="153" t="n">
        <v>127131.766357886</v>
      </c>
      <c r="G51" s="67" t="n">
        <f aca="false">E51-F51*0.7</f>
        <v>16160145.5094898</v>
      </c>
      <c r="H51" s="67"/>
      <c r="I51" s="67"/>
      <c r="J51" s="67" t="n">
        <f aca="false">G51*3.8235866717</f>
        <v>61789716.9828177</v>
      </c>
      <c r="K51" s="9"/>
      <c r="L51" s="67"/>
      <c r="M51" s="67" t="n">
        <f aca="false">F51*2.511711692</f>
        <v>319318.343985714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3" t="n">
        <v>19379131.4016143</v>
      </c>
      <c r="F52" s="153" t="n">
        <v>133708.150369098</v>
      </c>
      <c r="G52" s="67" t="n">
        <f aca="false">E52-F52*0.7</f>
        <v>19285535.6963559</v>
      </c>
      <c r="H52" s="67"/>
      <c r="I52" s="67"/>
      <c r="J52" s="67" t="n">
        <f aca="false">G52*3.8235866717</f>
        <v>73739917.2451811</v>
      </c>
      <c r="K52" s="9"/>
      <c r="L52" s="67"/>
      <c r="M52" s="67" t="n">
        <f aca="false">F52*2.511711692</f>
        <v>335836.324597758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65"/>
      <c r="B53" s="65" t="n">
        <v>2026</v>
      </c>
      <c r="C53" s="5" t="n">
        <v>1</v>
      </c>
      <c r="D53" s="65" t="n">
        <v>205</v>
      </c>
      <c r="E53" s="151" t="n">
        <v>16411409.1035842</v>
      </c>
      <c r="F53" s="151" t="n">
        <v>129737.908521347</v>
      </c>
      <c r="G53" s="8" t="n">
        <f aca="false">E53-F53*0.7</f>
        <v>16320592.5676193</v>
      </c>
      <c r="H53" s="8"/>
      <c r="I53" s="8"/>
      <c r="J53" s="8" t="n">
        <f aca="false">G53*3.8235866717</f>
        <v>62403200.2157951</v>
      </c>
      <c r="K53" s="6"/>
      <c r="L53" s="8"/>
      <c r="M53" s="8" t="n">
        <f aca="false">F53*2.511711692</f>
        <v>325864.221728694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3" t="n">
        <v>19391866.2058582</v>
      </c>
      <c r="F54" s="153" t="n">
        <v>131223.185555747</v>
      </c>
      <c r="G54" s="67" t="n">
        <f aca="false">E54-F54*0.7</f>
        <v>19300009.9759692</v>
      </c>
      <c r="H54" s="67"/>
      <c r="I54" s="67"/>
      <c r="J54" s="67" t="n">
        <f aca="false">G54*3.8235866717</f>
        <v>73795260.9077928</v>
      </c>
      <c r="K54" s="9"/>
      <c r="L54" s="67"/>
      <c r="M54" s="67" t="n">
        <f aca="false">F54*2.511711692</f>
        <v>329594.809421855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3" t="n">
        <v>16694173.5938908</v>
      </c>
      <c r="F55" s="153" t="n">
        <v>131841.785773769</v>
      </c>
      <c r="G55" s="67" t="n">
        <f aca="false">E55-F55*0.7</f>
        <v>16601884.3438492</v>
      </c>
      <c r="H55" s="67"/>
      <c r="I55" s="67"/>
      <c r="J55" s="67" t="n">
        <f aca="false">G55*3.8235866717</f>
        <v>63478743.7022466</v>
      </c>
      <c r="K55" s="9"/>
      <c r="L55" s="67"/>
      <c r="M55" s="67" t="n">
        <f aca="false">F55*2.511711692</f>
        <v>331148.554822135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3" t="n">
        <v>19726873.6434607</v>
      </c>
      <c r="F56" s="153" t="n">
        <v>130489.437665512</v>
      </c>
      <c r="G56" s="67" t="n">
        <f aca="false">E56-F56*0.7</f>
        <v>19635531.0370948</v>
      </c>
      <c r="H56" s="67"/>
      <c r="I56" s="67"/>
      <c r="J56" s="67" t="n">
        <f aca="false">G56*3.8235866717</f>
        <v>75078154.7651875</v>
      </c>
      <c r="K56" s="9"/>
      <c r="L56" s="67"/>
      <c r="M56" s="67" t="n">
        <f aca="false">F56*2.511711692</f>
        <v>327751.846266972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65"/>
      <c r="B57" s="65" t="n">
        <v>2027</v>
      </c>
      <c r="C57" s="5" t="n">
        <v>1</v>
      </c>
      <c r="D57" s="65" t="n">
        <v>209</v>
      </c>
      <c r="E57" s="151" t="n">
        <v>16682601.6826359</v>
      </c>
      <c r="F57" s="151" t="n">
        <v>136625.511097653</v>
      </c>
      <c r="G57" s="8" t="n">
        <f aca="false">E57-F57*0.7</f>
        <v>16586963.8248675</v>
      </c>
      <c r="H57" s="8"/>
      <c r="I57" s="8"/>
      <c r="J57" s="8" t="n">
        <f aca="false">G57*3.8235866717</f>
        <v>63421693.8047336</v>
      </c>
      <c r="K57" s="6"/>
      <c r="L57" s="8"/>
      <c r="M57" s="8" t="n">
        <f aca="false">F57*2.511711692</f>
        <v>343163.893649451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3" t="n">
        <v>19695238.3093281</v>
      </c>
      <c r="F58" s="153" t="n">
        <v>135150.64469706</v>
      </c>
      <c r="G58" s="67" t="n">
        <f aca="false">E58-F58*0.7</f>
        <v>19600632.8580402</v>
      </c>
      <c r="H58" s="67"/>
      <c r="I58" s="67"/>
      <c r="J58" s="67" t="n">
        <f aca="false">G58*3.8235866717</f>
        <v>74944718.5528874</v>
      </c>
      <c r="K58" s="9"/>
      <c r="L58" s="67"/>
      <c r="M58" s="67" t="n">
        <f aca="false">F58*2.511711692</f>
        <v>339459.454466943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3" t="n">
        <v>17198323.6512482</v>
      </c>
      <c r="F59" s="153" t="n">
        <v>132749.365772418</v>
      </c>
      <c r="G59" s="67" t="n">
        <f aca="false">E59-F59*0.7</f>
        <v>17105399.0952075</v>
      </c>
      <c r="H59" s="67"/>
      <c r="I59" s="67"/>
      <c r="J59" s="67" t="n">
        <f aca="false">G59*3.8235866717</f>
        <v>65403975.9945447</v>
      </c>
      <c r="K59" s="9"/>
      <c r="L59" s="67"/>
      <c r="M59" s="67" t="n">
        <f aca="false">F59*2.511711692</f>
        <v>333428.134116167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3" t="n">
        <v>20331781.295765</v>
      </c>
      <c r="F60" s="153" t="n">
        <v>133764.342462863</v>
      </c>
      <c r="G60" s="67" t="n">
        <f aca="false">E60-F60*0.7</f>
        <v>20238146.256041</v>
      </c>
      <c r="H60" s="67"/>
      <c r="I60" s="67"/>
      <c r="J60" s="67" t="n">
        <f aca="false">G60*3.8235866717</f>
        <v>77382306.2845136</v>
      </c>
      <c r="K60" s="9"/>
      <c r="L60" s="67"/>
      <c r="M60" s="67" t="n">
        <f aca="false">F60*2.511711692</f>
        <v>335977.462936665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65"/>
      <c r="B61" s="65" t="n">
        <v>2028</v>
      </c>
      <c r="C61" s="5" t="n">
        <v>1</v>
      </c>
      <c r="D61" s="65" t="n">
        <v>213</v>
      </c>
      <c r="E61" s="151" t="n">
        <v>17457365.633469</v>
      </c>
      <c r="F61" s="151" t="n">
        <v>135595.80170202</v>
      </c>
      <c r="G61" s="8" t="n">
        <f aca="false">E61-F61*0.7</f>
        <v>17362448.5722776</v>
      </c>
      <c r="H61" s="8"/>
      <c r="I61" s="8"/>
      <c r="J61" s="8" t="n">
        <f aca="false">G61*3.8235866717</f>
        <v>66386826.9490373</v>
      </c>
      <c r="K61" s="6"/>
      <c r="L61" s="8"/>
      <c r="M61" s="8" t="n">
        <f aca="false">F61*2.511711692</f>
        <v>340577.560521077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3" t="n">
        <v>20439808.1539777</v>
      </c>
      <c r="F62" s="153" t="n">
        <v>136406.467185216</v>
      </c>
      <c r="G62" s="67" t="n">
        <f aca="false">E62-F62*0.7</f>
        <v>20344323.626948</v>
      </c>
      <c r="H62" s="67"/>
      <c r="I62" s="67"/>
      <c r="J62" s="67" t="n">
        <f aca="false">G62*3.8235866717</f>
        <v>77788284.66475</v>
      </c>
      <c r="K62" s="9"/>
      <c r="L62" s="67"/>
      <c r="M62" s="67" t="n">
        <f aca="false">F62*2.511711692</f>
        <v>342613.718493521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3" t="n">
        <v>17817475.7292873</v>
      </c>
      <c r="F63" s="153" t="n">
        <v>135499.167499636</v>
      </c>
      <c r="G63" s="67" t="n">
        <f aca="false">E63-F63*0.7</f>
        <v>17722626.3120376</v>
      </c>
      <c r="H63" s="67"/>
      <c r="I63" s="67"/>
      <c r="J63" s="67" t="n">
        <f aca="false">G63*3.8235866717</f>
        <v>67763997.7542265</v>
      </c>
      <c r="K63" s="9"/>
      <c r="L63" s="67"/>
      <c r="M63" s="67" t="n">
        <f aca="false">F63*2.511711692</f>
        <v>340334.843265102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3" t="n">
        <v>21075202.7501004</v>
      </c>
      <c r="F64" s="153" t="n">
        <v>135202.487123348</v>
      </c>
      <c r="G64" s="67" t="n">
        <f aca="false">E64-F64*0.7</f>
        <v>20980561.0091141</v>
      </c>
      <c r="H64" s="67"/>
      <c r="I64" s="67"/>
      <c r="J64" s="67" t="n">
        <f aca="false">G64*3.8235866717</f>
        <v>80220993.4392372</v>
      </c>
      <c r="K64" s="9"/>
      <c r="L64" s="67"/>
      <c r="M64" s="67" t="n">
        <f aca="false">F64*2.511711692</f>
        <v>339589.667695193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65"/>
      <c r="B65" s="65" t="n">
        <v>2029</v>
      </c>
      <c r="C65" s="5" t="n">
        <v>1</v>
      </c>
      <c r="D65" s="65" t="n">
        <v>217</v>
      </c>
      <c r="E65" s="151" t="n">
        <v>17967164.4649649</v>
      </c>
      <c r="F65" s="151" t="n">
        <v>136177.824869181</v>
      </c>
      <c r="G65" s="8" t="n">
        <f aca="false">E65-F65*0.7</f>
        <v>17871839.9875565</v>
      </c>
      <c r="H65" s="8"/>
      <c r="I65" s="8"/>
      <c r="J65" s="8" t="n">
        <f aca="false">G65*3.8235866717</f>
        <v>68334529.175176</v>
      </c>
      <c r="K65" s="6"/>
      <c r="L65" s="8"/>
      <c r="M65" s="8" t="n">
        <f aca="false">F65*2.511711692</f>
        <v>342039.43491505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3" t="n">
        <v>21377556.8655362</v>
      </c>
      <c r="F66" s="153" t="n">
        <v>133286.346410152</v>
      </c>
      <c r="G66" s="67" t="n">
        <f aca="false">E66-F66*0.7</f>
        <v>21284256.4230491</v>
      </c>
      <c r="H66" s="67"/>
      <c r="I66" s="67"/>
      <c r="J66" s="67" t="n">
        <f aca="false">G66*3.8235866717</f>
        <v>81382199.1762157</v>
      </c>
      <c r="K66" s="9"/>
      <c r="L66" s="67"/>
      <c r="M66" s="67" t="n">
        <f aca="false">F66*2.511711692</f>
        <v>334776.874662341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3" t="n">
        <v>18432216.6446806</v>
      </c>
      <c r="F67" s="153" t="n">
        <v>135490.319816771</v>
      </c>
      <c r="G67" s="67" t="n">
        <f aca="false">E67-F67*0.7</f>
        <v>18337373.4208089</v>
      </c>
      <c r="H67" s="67"/>
      <c r="I67" s="67"/>
      <c r="J67" s="67" t="n">
        <f aca="false">G67*3.8235866717</f>
        <v>70114536.6057906</v>
      </c>
      <c r="K67" s="9"/>
      <c r="L67" s="67"/>
      <c r="M67" s="67" t="n">
        <f aca="false">F67*2.511711692</f>
        <v>340312.620436603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3" t="n">
        <v>21766411.5239465</v>
      </c>
      <c r="F68" s="153" t="n">
        <v>137809.328000686</v>
      </c>
      <c r="G68" s="67" t="n">
        <f aca="false">E68-F68*0.7</f>
        <v>21669944.994346</v>
      </c>
      <c r="H68" s="67"/>
      <c r="I68" s="67"/>
      <c r="J68" s="67" t="n">
        <f aca="false">G68*3.8235866717</f>
        <v>82856912.8568536</v>
      </c>
      <c r="K68" s="9"/>
      <c r="L68" s="67"/>
      <c r="M68" s="67" t="n">
        <f aca="false">F68*2.511711692</f>
        <v>346137.300405986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65"/>
      <c r="B69" s="65" t="n">
        <v>2030</v>
      </c>
      <c r="C69" s="5" t="n">
        <v>1</v>
      </c>
      <c r="D69" s="65" t="n">
        <v>221</v>
      </c>
      <c r="E69" s="151" t="n">
        <v>18745543.6533952</v>
      </c>
      <c r="F69" s="151" t="n">
        <v>135336.7846344</v>
      </c>
      <c r="G69" s="8" t="n">
        <f aca="false">E69-F69*0.7</f>
        <v>18650807.9041511</v>
      </c>
      <c r="H69" s="8"/>
      <c r="I69" s="8"/>
      <c r="J69" s="8" t="n">
        <f aca="false">G69*3.8235866717</f>
        <v>71312980.5187492</v>
      </c>
      <c r="K69" s="6"/>
      <c r="L69" s="8"/>
      <c r="M69" s="8" t="n">
        <f aca="false">F69*2.511711692</f>
        <v>339926.984323908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3" t="n">
        <v>22059801.643543</v>
      </c>
      <c r="F70" s="153" t="n">
        <v>133316.411691416</v>
      </c>
      <c r="G70" s="67" t="n">
        <f aca="false">E70-F70*0.7</f>
        <v>21966480.155359</v>
      </c>
      <c r="H70" s="67"/>
      <c r="I70" s="67"/>
      <c r="J70" s="67" t="n">
        <f aca="false">G70*3.8235866717</f>
        <v>83990740.7461933</v>
      </c>
      <c r="K70" s="9"/>
      <c r="L70" s="67"/>
      <c r="M70" s="67" t="n">
        <f aca="false">F70*2.511711692</f>
        <v>334852.389980815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3" t="n">
        <v>19125129.5900736</v>
      </c>
      <c r="F71" s="153" t="n">
        <v>134702.813541739</v>
      </c>
      <c r="G71" s="67" t="n">
        <f aca="false">E71-F71*0.7</f>
        <v>19030837.6205944</v>
      </c>
      <c r="H71" s="67"/>
      <c r="I71" s="67"/>
      <c r="J71" s="67" t="n">
        <f aca="false">G71*3.8235866717</f>
        <v>72766057.0773916</v>
      </c>
      <c r="K71" s="9"/>
      <c r="L71" s="67"/>
      <c r="M71" s="67" t="n">
        <f aca="false">F71*2.511711692</f>
        <v>338334.631718082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3" t="n">
        <v>22492813.1709779</v>
      </c>
      <c r="F72" s="153" t="n">
        <v>136161.648611863</v>
      </c>
      <c r="G72" s="67" t="n">
        <f aca="false">E72-F72*0.7</f>
        <v>22397500.0169496</v>
      </c>
      <c r="H72" s="67"/>
      <c r="I72" s="67"/>
      <c r="J72" s="67" t="n">
        <f aca="false">G72*3.8235866717</f>
        <v>85638782.544209</v>
      </c>
      <c r="K72" s="9"/>
      <c r="L72" s="67"/>
      <c r="M72" s="67" t="n">
        <f aca="false">F72*2.511711692</f>
        <v>341998.804820412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65"/>
      <c r="B73" s="65" t="n">
        <v>2031</v>
      </c>
      <c r="C73" s="5" t="n">
        <v>1</v>
      </c>
      <c r="D73" s="65" t="n">
        <v>225</v>
      </c>
      <c r="E73" s="151" t="n">
        <v>19207658.1424388</v>
      </c>
      <c r="F73" s="151" t="n">
        <v>132312.715696243</v>
      </c>
      <c r="G73" s="8" t="n">
        <f aca="false">E73-F73*0.7</f>
        <v>19115039.2414514</v>
      </c>
      <c r="H73" s="8"/>
      <c r="I73" s="8"/>
      <c r="J73" s="8" t="n">
        <f aca="false">G73*3.8235866717</f>
        <v>73088009.2726362</v>
      </c>
      <c r="K73" s="6"/>
      <c r="L73" s="8"/>
      <c r="M73" s="8" t="n">
        <f aca="false">F73*2.511711692</f>
        <v>332331.395014525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3" t="n">
        <v>22730481.8975091</v>
      </c>
      <c r="F74" s="153" t="n">
        <v>141372.92161188</v>
      </c>
      <c r="G74" s="67" t="n">
        <f aca="false">E74-F74*0.7</f>
        <v>22631520.8523808</v>
      </c>
      <c r="H74" s="67"/>
      <c r="I74" s="67"/>
      <c r="J74" s="67" t="n">
        <f aca="false">G74*3.8235866717</f>
        <v>86533581.4914638</v>
      </c>
      <c r="K74" s="9"/>
      <c r="L74" s="67"/>
      <c r="M74" s="67" t="n">
        <f aca="false">F74*2.511711692</f>
        <v>355088.020144758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3" t="n">
        <v>19532743.3607272</v>
      </c>
      <c r="F75" s="153" t="n">
        <v>144097.829532122</v>
      </c>
      <c r="G75" s="67" t="n">
        <f aca="false">E75-F75*0.7</f>
        <v>19431874.8800547</v>
      </c>
      <c r="H75" s="67"/>
      <c r="I75" s="67"/>
      <c r="J75" s="67" t="n">
        <f aca="false">G75*3.8235866717</f>
        <v>74299457.7975192</v>
      </c>
      <c r="K75" s="9"/>
      <c r="L75" s="67"/>
      <c r="M75" s="67" t="n">
        <f aca="false">F75*2.511711692</f>
        <v>361932.203227654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3" t="n">
        <v>22959091.7627925</v>
      </c>
      <c r="F76" s="153" t="n">
        <v>143059.389536097</v>
      </c>
      <c r="G76" s="67" t="n">
        <f aca="false">E76-F76*0.7</f>
        <v>22858950.1901172</v>
      </c>
      <c r="H76" s="67"/>
      <c r="I76" s="67"/>
      <c r="J76" s="67" t="n">
        <f aca="false">G76*3.8235866717</f>
        <v>87403177.2759864</v>
      </c>
      <c r="K76" s="9"/>
      <c r="L76" s="67"/>
      <c r="M76" s="67" t="n">
        <f aca="false">F76*2.511711692</f>
        <v>359323.941348197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65"/>
      <c r="B77" s="65" t="n">
        <v>2032</v>
      </c>
      <c r="C77" s="5" t="n">
        <v>1</v>
      </c>
      <c r="D77" s="65" t="n">
        <v>229</v>
      </c>
      <c r="E77" s="151" t="n">
        <v>19537253.6200606</v>
      </c>
      <c r="F77" s="151" t="n">
        <v>145597.808320578</v>
      </c>
      <c r="G77" s="8" t="n">
        <f aca="false">E77-F77*0.7</f>
        <v>19435335.1542362</v>
      </c>
      <c r="H77" s="8"/>
      <c r="I77" s="8"/>
      <c r="J77" s="8" t="n">
        <f aca="false">G77*3.8235866717</f>
        <v>74312688.45576</v>
      </c>
      <c r="K77" s="6"/>
      <c r="L77" s="8"/>
      <c r="M77" s="8" t="n">
        <f aca="false">F77*2.511711692</f>
        <v>365699.717488371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3" t="n">
        <v>23254663.185225</v>
      </c>
      <c r="F78" s="153" t="n">
        <v>143129.041391035</v>
      </c>
      <c r="G78" s="67" t="n">
        <f aca="false">E78-F78*0.7</f>
        <v>23154472.8562513</v>
      </c>
      <c r="H78" s="67"/>
      <c r="I78" s="67"/>
      <c r="J78" s="67" t="n">
        <f aca="false">G78*3.8235866717</f>
        <v>88533133.8034018</v>
      </c>
      <c r="K78" s="9"/>
      <c r="L78" s="67"/>
      <c r="M78" s="67" t="n">
        <f aca="false">F78*2.511711692</f>
        <v>359498.886726615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3" t="n">
        <v>19880562.6119235</v>
      </c>
      <c r="F79" s="153" t="n">
        <v>148452.951160343</v>
      </c>
      <c r="G79" s="67" t="n">
        <f aca="false">E79-F79*0.7</f>
        <v>19776645.5461113</v>
      </c>
      <c r="H79" s="67"/>
      <c r="I79" s="67"/>
      <c r="J79" s="67" t="n">
        <f aca="false">G79*3.8235866717</f>
        <v>75617718.3210462</v>
      </c>
      <c r="K79" s="9"/>
      <c r="L79" s="67"/>
      <c r="M79" s="67" t="n">
        <f aca="false">F79*2.511711692</f>
        <v>372871.013141338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3" t="n">
        <v>23509540.9832391</v>
      </c>
      <c r="F80" s="153" t="n">
        <v>144387.303953738</v>
      </c>
      <c r="G80" s="67" t="n">
        <f aca="false">E80-F80*0.7</f>
        <v>23408469.8704715</v>
      </c>
      <c r="H80" s="67"/>
      <c r="I80" s="67"/>
      <c r="J80" s="67" t="n">
        <f aca="false">G80*3.8235866717</f>
        <v>89504313.4016258</v>
      </c>
      <c r="K80" s="9"/>
      <c r="L80" s="67"/>
      <c r="M80" s="67" t="n">
        <f aca="false">F80*2.511711692</f>
        <v>362659.279516962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65"/>
      <c r="B81" s="65" t="n">
        <v>2033</v>
      </c>
      <c r="C81" s="5" t="n">
        <v>1</v>
      </c>
      <c r="D81" s="65" t="n">
        <v>233</v>
      </c>
      <c r="E81" s="151" t="n">
        <v>20125999.1991547</v>
      </c>
      <c r="F81" s="151" t="n">
        <v>146479.301045154</v>
      </c>
      <c r="G81" s="8" t="n">
        <f aca="false">E81-F81*0.7</f>
        <v>20023463.6884231</v>
      </c>
      <c r="H81" s="8"/>
      <c r="I81" s="8"/>
      <c r="J81" s="8" t="n">
        <f aca="false">G81*3.8235866717</f>
        <v>76561448.8803235</v>
      </c>
      <c r="K81" s="6"/>
      <c r="L81" s="8"/>
      <c r="M81" s="8" t="n">
        <f aca="false">F81*2.511711692</f>
        <v>367913.773071101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3" t="n">
        <v>23743191.6368557</v>
      </c>
      <c r="F82" s="153" t="n">
        <v>149347.945742628</v>
      </c>
      <c r="G82" s="67" t="n">
        <f aca="false">E82-F82*0.7</f>
        <v>23638648.0748359</v>
      </c>
      <c r="H82" s="67"/>
      <c r="I82" s="67"/>
      <c r="J82" s="67" t="n">
        <f aca="false">G82*3.8235866717</f>
        <v>90384419.7159493</v>
      </c>
      <c r="K82" s="9"/>
      <c r="L82" s="67"/>
      <c r="M82" s="67" t="n">
        <f aca="false">F82*2.511711692</f>
        <v>375118.98149794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3" t="n">
        <v>20587639.0196775</v>
      </c>
      <c r="F83" s="153" t="n">
        <v>147186.779054367</v>
      </c>
      <c r="G83" s="67" t="n">
        <f aca="false">E83-F83*0.7</f>
        <v>20484608.2743394</v>
      </c>
      <c r="H83" s="67"/>
      <c r="I83" s="67"/>
      <c r="J83" s="67" t="n">
        <f aca="false">G83*3.8235866717</f>
        <v>78324675.1727599</v>
      </c>
      <c r="K83" s="9"/>
      <c r="L83" s="67"/>
      <c r="M83" s="67" t="n">
        <f aca="false">F83*2.511711692</f>
        <v>369690.753858674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3" t="n">
        <v>24373555.0698791</v>
      </c>
      <c r="F84" s="153" t="n">
        <v>148017.876290939</v>
      </c>
      <c r="G84" s="67" t="n">
        <f aca="false">E84-F84*0.7</f>
        <v>24269942.5564754</v>
      </c>
      <c r="H84" s="67"/>
      <c r="I84" s="67"/>
      <c r="J84" s="67" t="n">
        <f aca="false">G84*3.8235866717</f>
        <v>92798228.8818641</v>
      </c>
      <c r="K84" s="9"/>
      <c r="L84" s="67"/>
      <c r="M84" s="67" t="n">
        <f aca="false">F84*2.511711692</f>
        <v>371778.230504961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65"/>
      <c r="B85" s="65" t="n">
        <v>2034</v>
      </c>
      <c r="C85" s="5" t="n">
        <v>1</v>
      </c>
      <c r="D85" s="65" t="n">
        <v>237</v>
      </c>
      <c r="E85" s="151" t="n">
        <v>20703955.8510607</v>
      </c>
      <c r="F85" s="151" t="n">
        <v>146379.455871656</v>
      </c>
      <c r="G85" s="8" t="n">
        <f aca="false">E85-F85*0.7</f>
        <v>20601490.2319505</v>
      </c>
      <c r="H85" s="8"/>
      <c r="I85" s="8"/>
      <c r="J85" s="8" t="n">
        <f aca="false">G85*3.8235866717</f>
        <v>78771583.4680438</v>
      </c>
      <c r="K85" s="6"/>
      <c r="L85" s="8"/>
      <c r="M85" s="8" t="n">
        <f aca="false">F85*2.511711692</f>
        <v>367662.990781436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3" t="n">
        <v>24736390.4173118</v>
      </c>
      <c r="F86" s="153" t="n">
        <v>148403.98165016</v>
      </c>
      <c r="G86" s="67" t="n">
        <f aca="false">E86-F86*0.7</f>
        <v>24632507.6301567</v>
      </c>
      <c r="H86" s="67"/>
      <c r="I86" s="67"/>
      <c r="J86" s="67" t="n">
        <f aca="false">G86*3.8235866717</f>
        <v>94184527.8652157</v>
      </c>
      <c r="K86" s="9"/>
      <c r="L86" s="67"/>
      <c r="M86" s="67" t="n">
        <f aca="false">F86*2.511711692</f>
        <v>372748.01585006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3" t="n">
        <v>21103170.0611617</v>
      </c>
      <c r="F87" s="153" t="n">
        <v>148902.396572579</v>
      </c>
      <c r="G87" s="67" t="n">
        <f aca="false">E87-F87*0.7</f>
        <v>20998938.3835609</v>
      </c>
      <c r="H87" s="67"/>
      <c r="I87" s="67"/>
      <c r="J87" s="67" t="n">
        <f aca="false">G87*3.8235866717</f>
        <v>80291260.923233</v>
      </c>
      <c r="K87" s="9"/>
      <c r="L87" s="67"/>
      <c r="M87" s="67" t="n">
        <f aca="false">F87*2.511711692</f>
        <v>373999.890438167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3" t="n">
        <v>24955973.8265513</v>
      </c>
      <c r="F88" s="153" t="n">
        <v>151425.806049955</v>
      </c>
      <c r="G88" s="67" t="n">
        <f aca="false">E88-F88*0.7</f>
        <v>24849975.7623163</v>
      </c>
      <c r="H88" s="67"/>
      <c r="I88" s="67"/>
      <c r="J88" s="67" t="n">
        <f aca="false">G88*3.8235866717</f>
        <v>95016036.1168608</v>
      </c>
      <c r="K88" s="9"/>
      <c r="L88" s="67"/>
      <c r="M88" s="67" t="n">
        <f aca="false">F88*2.511711692</f>
        <v>380337.967526196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65"/>
      <c r="B89" s="65" t="n">
        <v>2035</v>
      </c>
      <c r="C89" s="5" t="n">
        <v>1</v>
      </c>
      <c r="D89" s="65" t="n">
        <v>241</v>
      </c>
      <c r="E89" s="151" t="n">
        <v>21279779.391658</v>
      </c>
      <c r="F89" s="151" t="n">
        <v>147354.196905757</v>
      </c>
      <c r="G89" s="8" t="n">
        <f aca="false">E89-F89*0.7</f>
        <v>21176631.453824</v>
      </c>
      <c r="H89" s="8"/>
      <c r="I89" s="8"/>
      <c r="J89" s="8" t="n">
        <f aca="false">G89*3.8235866717</f>
        <v>80970685.7783443</v>
      </c>
      <c r="K89" s="6"/>
      <c r="L89" s="8"/>
      <c r="M89" s="8" t="n">
        <f aca="false">F89*2.511711692</f>
        <v>370111.25923346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3" t="n">
        <v>25046708.5616186</v>
      </c>
      <c r="F90" s="153" t="n">
        <v>154400.528426998</v>
      </c>
      <c r="G90" s="67" t="n">
        <f aca="false">E90-F90*0.7</f>
        <v>24938628.1917197</v>
      </c>
      <c r="H90" s="67"/>
      <c r="I90" s="67"/>
      <c r="J90" s="67" t="n">
        <f aca="false">G90*3.8235866717</f>
        <v>95355006.3643413</v>
      </c>
      <c r="K90" s="9"/>
      <c r="L90" s="67"/>
      <c r="M90" s="67" t="n">
        <f aca="false">F90*2.511711692</f>
        <v>387809.612501069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3" t="n">
        <v>21570549.4308948</v>
      </c>
      <c r="F91" s="153" t="n">
        <v>155038.410381261</v>
      </c>
      <c r="G91" s="67" t="n">
        <f aca="false">E91-F91*0.7</f>
        <v>21462022.5436279</v>
      </c>
      <c r="H91" s="67"/>
      <c r="I91" s="67"/>
      <c r="J91" s="67" t="n">
        <f aca="false">G91*3.8235866717</f>
        <v>82061903.3455406</v>
      </c>
      <c r="K91" s="9"/>
      <c r="L91" s="67"/>
      <c r="M91" s="67" t="n">
        <f aca="false">F91*2.511711692</f>
        <v>389411.788063707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3" t="n">
        <v>25402265.7033354</v>
      </c>
      <c r="F92" s="153" t="n">
        <v>155087.989104784</v>
      </c>
      <c r="G92" s="67" t="n">
        <f aca="false">E92-F92*0.7</f>
        <v>25293704.1109621</v>
      </c>
      <c r="H92" s="67"/>
      <c r="I92" s="67"/>
      <c r="J92" s="67" t="n">
        <f aca="false">G92*3.8235866717</f>
        <v>96712669.916598</v>
      </c>
      <c r="K92" s="9"/>
      <c r="L92" s="67"/>
      <c r="M92" s="67" t="n">
        <f aca="false">F92*2.511711692</f>
        <v>389536.315523255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65"/>
      <c r="B93" s="65" t="n">
        <v>2036</v>
      </c>
      <c r="C93" s="5" t="n">
        <v>1</v>
      </c>
      <c r="D93" s="65" t="n">
        <v>245</v>
      </c>
      <c r="E93" s="151" t="n">
        <v>21623950.4412676</v>
      </c>
      <c r="F93" s="151" t="n">
        <v>150412.186465089</v>
      </c>
      <c r="G93" s="8" t="n">
        <f aca="false">E93-F93*0.7</f>
        <v>21518661.910742</v>
      </c>
      <c r="H93" s="8"/>
      <c r="I93" s="8"/>
      <c r="J93" s="8" t="n">
        <f aca="false">G93*3.8235866717</f>
        <v>82278468.8747317</v>
      </c>
      <c r="K93" s="6"/>
      <c r="L93" s="8"/>
      <c r="M93" s="8" t="n">
        <f aca="false">F93*2.511711692</f>
        <v>377792.047363648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3" t="n">
        <v>25342770.7856732</v>
      </c>
      <c r="F94" s="153" t="n">
        <v>152753.090728192</v>
      </c>
      <c r="G94" s="67" t="n">
        <f aca="false">E94-F94*0.7</f>
        <v>25235843.6221635</v>
      </c>
      <c r="H94" s="67"/>
      <c r="I94" s="67"/>
      <c r="J94" s="67" t="n">
        <f aca="false">G94*3.8235866717</f>
        <v>96491435.3228097</v>
      </c>
      <c r="K94" s="9"/>
      <c r="L94" s="67"/>
      <c r="M94" s="67" t="n">
        <f aca="false">F94*2.511711692</f>
        <v>383671.723971137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3" t="n">
        <v>22029145.2017459</v>
      </c>
      <c r="F95" s="153" t="n">
        <v>149364.060149111</v>
      </c>
      <c r="G95" s="67" t="n">
        <f aca="false">E95-F95*0.7</f>
        <v>21924590.3596415</v>
      </c>
      <c r="H95" s="67"/>
      <c r="I95" s="67"/>
      <c r="J95" s="67" t="n">
        <f aca="false">G95*3.8235866717</f>
        <v>83830571.4816076</v>
      </c>
      <c r="K95" s="9"/>
      <c r="L95" s="67"/>
      <c r="M95" s="67" t="n">
        <f aca="false">F95*2.511711692</f>
        <v>375159.456241113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3" t="n">
        <v>26010957.7994942</v>
      </c>
      <c r="F96" s="153" t="n">
        <v>150791.362595146</v>
      </c>
      <c r="G96" s="67" t="n">
        <f aca="false">E96-F96*0.7</f>
        <v>25905403.8456776</v>
      </c>
      <c r="H96" s="67"/>
      <c r="I96" s="67"/>
      <c r="J96" s="67" t="n">
        <f aca="false">G96*3.8235866717</f>
        <v>99051556.8693388</v>
      </c>
      <c r="K96" s="9"/>
      <c r="L96" s="67"/>
      <c r="M96" s="67" t="n">
        <f aca="false">F96*2.511711692</f>
        <v>378744.42848284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65"/>
      <c r="B97" s="65" t="n">
        <v>2037</v>
      </c>
      <c r="C97" s="5" t="n">
        <v>1</v>
      </c>
      <c r="D97" s="65" t="n">
        <v>249</v>
      </c>
      <c r="E97" s="151" t="n">
        <v>22261136.7682498</v>
      </c>
      <c r="F97" s="151" t="n">
        <v>151761.097406538</v>
      </c>
      <c r="G97" s="8" t="n">
        <f aca="false">E97-F97*0.7</f>
        <v>22154904.0000652</v>
      </c>
      <c r="H97" s="8"/>
      <c r="I97" s="8"/>
      <c r="J97" s="8" t="n">
        <f aca="false">G97*3.8235866717</f>
        <v>84711195.6474424</v>
      </c>
      <c r="K97" s="6"/>
      <c r="L97" s="8"/>
      <c r="M97" s="8" t="n">
        <f aca="false">F97*2.511711692</f>
        <v>381180.122746752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3" t="n">
        <v>26327227.2657897</v>
      </c>
      <c r="F98" s="153" t="n">
        <v>156172.123329666</v>
      </c>
      <c r="G98" s="67" t="n">
        <f aca="false">E98-F98*0.7</f>
        <v>26217906.7794589</v>
      </c>
      <c r="H98" s="67"/>
      <c r="I98" s="67"/>
      <c r="J98" s="67" t="n">
        <f aca="false">G98*3.8235866717</f>
        <v>100246438.921812</v>
      </c>
      <c r="K98" s="9"/>
      <c r="L98" s="67"/>
      <c r="M98" s="67" t="n">
        <f aca="false">F98*2.511711692</f>
        <v>392259.348131588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3" t="n">
        <v>22601429.7643245</v>
      </c>
      <c r="F99" s="153" t="n">
        <v>158318.376763357</v>
      </c>
      <c r="G99" s="67" t="n">
        <f aca="false">E99-F99*0.7</f>
        <v>22490606.9005902</v>
      </c>
      <c r="H99" s="67"/>
      <c r="I99" s="67"/>
      <c r="J99" s="67" t="n">
        <f aca="false">G99*3.8235866717</f>
        <v>85994784.7835406</v>
      </c>
      <c r="K99" s="9"/>
      <c r="L99" s="67"/>
      <c r="M99" s="67" t="n">
        <f aca="false">F99*2.511711692</f>
        <v>397650.117974985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3" t="n">
        <v>26499633.8064704</v>
      </c>
      <c r="F100" s="153" t="n">
        <v>154481.213880546</v>
      </c>
      <c r="G100" s="67" t="n">
        <f aca="false">E100-F100*0.7</f>
        <v>26391496.956754</v>
      </c>
      <c r="H100" s="67"/>
      <c r="I100" s="67"/>
      <c r="J100" s="67" t="n">
        <f aca="false">G100*3.8235866717</f>
        <v>100910176.010056</v>
      </c>
      <c r="K100" s="9"/>
      <c r="L100" s="67"/>
      <c r="M100" s="67" t="n">
        <f aca="false">F100*2.511711692</f>
        <v>388012.27109812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65"/>
      <c r="B101" s="65" t="n">
        <v>2038</v>
      </c>
      <c r="C101" s="5" t="n">
        <v>1</v>
      </c>
      <c r="D101" s="65" t="n">
        <v>253</v>
      </c>
      <c r="E101" s="151" t="n">
        <v>22571879.1570937</v>
      </c>
      <c r="F101" s="151" t="n">
        <v>159146.626604462</v>
      </c>
      <c r="G101" s="8" t="n">
        <f aca="false">E101-F101*0.7</f>
        <v>22460476.5184706</v>
      </c>
      <c r="H101" s="8"/>
      <c r="I101" s="8"/>
      <c r="J101" s="8" t="n">
        <f aca="false">G101*3.8235866717</f>
        <v>85879578.6560549</v>
      </c>
      <c r="K101" s="6"/>
      <c r="L101" s="8"/>
      <c r="M101" s="8" t="n">
        <f aca="false">F101*2.511711692</f>
        <v>399730.442784785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3" t="n">
        <v>26675078.3885111</v>
      </c>
      <c r="F102" s="153" t="n">
        <v>161971.351435282</v>
      </c>
      <c r="G102" s="67" t="n">
        <f aca="false">E102-F102*0.7</f>
        <v>26561698.4425064</v>
      </c>
      <c r="H102" s="67"/>
      <c r="I102" s="67"/>
      <c r="J102" s="67" t="n">
        <f aca="false">G102*3.8235866717</f>
        <v>101560956.142482</v>
      </c>
      <c r="K102" s="9"/>
      <c r="L102" s="67"/>
      <c r="M102" s="67" t="n">
        <f aca="false">F102*2.511711692</f>
        <v>406825.337169039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3" t="n">
        <v>22917275.4021155</v>
      </c>
      <c r="F103" s="153" t="n">
        <v>164175.832741281</v>
      </c>
      <c r="G103" s="67" t="n">
        <f aca="false">E103-F103*0.7</f>
        <v>22802352.3191966</v>
      </c>
      <c r="H103" s="67"/>
      <c r="I103" s="67"/>
      <c r="J103" s="67" t="n">
        <f aca="false">G103*3.8235866717</f>
        <v>87186770.4110877</v>
      </c>
      <c r="K103" s="9"/>
      <c r="L103" s="67"/>
      <c r="M103" s="67" t="n">
        <f aca="false">F103*2.511711692</f>
        <v>412362.358640112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3" t="n">
        <v>27090880.8779751</v>
      </c>
      <c r="F104" s="153" t="n">
        <v>170389.251844842</v>
      </c>
      <c r="G104" s="67" t="n">
        <f aca="false">E104-F104*0.7</f>
        <v>26971608.4016837</v>
      </c>
      <c r="H104" s="67"/>
      <c r="I104" s="67"/>
      <c r="J104" s="67" t="n">
        <f aca="false">G104*3.8235866717</f>
        <v>103128282.39899</v>
      </c>
      <c r="K104" s="9"/>
      <c r="L104" s="67"/>
      <c r="M104" s="67" t="n">
        <f aca="false">F104*2.511711692</f>
        <v>427968.676049822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65"/>
      <c r="B105" s="65" t="n">
        <v>2039</v>
      </c>
      <c r="C105" s="5" t="n">
        <v>1</v>
      </c>
      <c r="D105" s="65" t="n">
        <v>257</v>
      </c>
      <c r="E105" s="151" t="n">
        <v>23307672.4245919</v>
      </c>
      <c r="F105" s="151" t="n">
        <v>163320.068539828</v>
      </c>
      <c r="G105" s="8" t="n">
        <f aca="false">E105-F105*0.7</f>
        <v>23193348.376614</v>
      </c>
      <c r="H105" s="8"/>
      <c r="I105" s="8"/>
      <c r="J105" s="8" t="n">
        <f aca="false">G105*3.8235866717</f>
        <v>88681777.7249162</v>
      </c>
      <c r="K105" s="6"/>
      <c r="L105" s="8"/>
      <c r="M105" s="8" t="n">
        <f aca="false">F105*2.511711692</f>
        <v>410212.925689727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3" t="n">
        <v>27572561.3785648</v>
      </c>
      <c r="F106" s="153" t="n">
        <v>159438.393581245</v>
      </c>
      <c r="G106" s="67" t="n">
        <f aca="false">E106-F106*0.7</f>
        <v>27460954.5030579</v>
      </c>
      <c r="H106" s="67"/>
      <c r="I106" s="67"/>
      <c r="J106" s="67" t="n">
        <f aca="false">G106*3.8235866717</f>
        <v>104999339.630052</v>
      </c>
      <c r="K106" s="9"/>
      <c r="L106" s="67"/>
      <c r="M106" s="67" t="n">
        <f aca="false">F106*2.511711692</f>
        <v>400463.277311711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3" t="n">
        <v>23819351.4687861</v>
      </c>
      <c r="F107" s="153" t="n">
        <v>159471.936594487</v>
      </c>
      <c r="G107" s="67" t="n">
        <f aca="false">E107-F107*0.7</f>
        <v>23707721.11317</v>
      </c>
      <c r="H107" s="67"/>
      <c r="I107" s="67"/>
      <c r="J107" s="67" t="n">
        <f aca="false">G107*3.8235866717</f>
        <v>90648526.4646974</v>
      </c>
      <c r="K107" s="9"/>
      <c r="L107" s="67"/>
      <c r="M107" s="67" t="n">
        <f aca="false">F107*2.511711692</f>
        <v>400547.527690256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3" t="n">
        <v>27918304.230544</v>
      </c>
      <c r="F108" s="153" t="n">
        <v>164803.796053565</v>
      </c>
      <c r="G108" s="67" t="n">
        <f aca="false">E108-F108*0.7</f>
        <v>27802941.5733065</v>
      </c>
      <c r="H108" s="67"/>
      <c r="I108" s="67"/>
      <c r="J108" s="67" t="n">
        <f aca="false">G108*3.8235866717</f>
        <v>106306956.833749</v>
      </c>
      <c r="K108" s="9"/>
      <c r="L108" s="67"/>
      <c r="M108" s="67" t="n">
        <f aca="false">F108*2.511711692</f>
        <v>413939.621433723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65"/>
      <c r="B109" s="65" t="n">
        <v>2040</v>
      </c>
      <c r="C109" s="5" t="n">
        <v>1</v>
      </c>
      <c r="D109" s="65" t="n">
        <v>261</v>
      </c>
      <c r="E109" s="151" t="n">
        <v>23868594.4713561</v>
      </c>
      <c r="F109" s="151" t="n">
        <v>160573.980227593</v>
      </c>
      <c r="G109" s="8" t="n">
        <f aca="false">E109-F109*0.7</f>
        <v>23756192.6851968</v>
      </c>
      <c r="H109" s="8"/>
      <c r="I109" s="8"/>
      <c r="J109" s="8" t="n">
        <f aca="false">G109*3.8235866717</f>
        <v>90833861.7214555</v>
      </c>
      <c r="K109" s="6"/>
      <c r="L109" s="8"/>
      <c r="M109" s="8" t="n">
        <f aca="false">F109*2.511711692</f>
        <v>403315.543568622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3" t="n">
        <v>28243537.952866</v>
      </c>
      <c r="F110" s="153" t="n">
        <v>163272.853222952</v>
      </c>
      <c r="G110" s="67" t="n">
        <f aca="false">E110-F110*0.7</f>
        <v>28129246.9556099</v>
      </c>
      <c r="H110" s="67"/>
      <c r="I110" s="67"/>
      <c r="J110" s="67" t="n">
        <f aca="false">G110*3.8235866717</f>
        <v>107554613.744428</v>
      </c>
      <c r="K110" s="9"/>
      <c r="L110" s="67"/>
      <c r="M110" s="67" t="n">
        <f aca="false">F110*2.511711692</f>
        <v>410094.334426288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3" t="n">
        <v>24284779.5727785</v>
      </c>
      <c r="F111" s="153" t="n">
        <v>161153.075821607</v>
      </c>
      <c r="G111" s="67" t="n">
        <f aca="false">E111-F111*0.7</f>
        <v>24171972.4197034</v>
      </c>
      <c r="H111" s="67"/>
      <c r="I111" s="67"/>
      <c r="J111" s="67" t="n">
        <f aca="false">G111*3.8235866717</f>
        <v>92423631.5726778</v>
      </c>
      <c r="K111" s="9"/>
      <c r="L111" s="67"/>
      <c r="M111" s="67" t="n">
        <f aca="false">F111*2.511711692</f>
        <v>404770.064742893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3" t="n">
        <v>28363918.3915174</v>
      </c>
      <c r="F112" s="153" t="n">
        <v>169530.315716133</v>
      </c>
      <c r="G112" s="67" t="n">
        <f aca="false">E112-F112*0.7</f>
        <v>28245247.1705161</v>
      </c>
      <c r="H112" s="67"/>
      <c r="I112" s="67"/>
      <c r="J112" s="67" t="n">
        <f aca="false">G112*3.8235866717</f>
        <v>107998150.620058</v>
      </c>
      <c r="K112" s="9"/>
      <c r="L112" s="67"/>
      <c r="M112" s="67" t="n">
        <f aca="false">F112*2.511711692</f>
        <v>425811.276132663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65"/>
      <c r="B113" s="65"/>
      <c r="C113" s="5"/>
      <c r="D113" s="6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ColWidth="9.01953125" defaultRowHeight="12.8" zeroHeight="false" outlineLevelRow="0" outlineLevelCol="0"/>
  <cols>
    <col collapsed="false" customWidth="true" hidden="false" outlineLevel="0" max="5" min="5" style="58" width="20.48"/>
    <col collapsed="false" customWidth="true" hidden="false" outlineLevel="0" max="6" min="6" style="58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56"/>
      <c r="B1" s="156"/>
      <c r="C1" s="156"/>
      <c r="D1" s="156"/>
      <c r="E1" s="157" t="s">
        <v>196</v>
      </c>
      <c r="F1" s="157" t="s">
        <v>197</v>
      </c>
      <c r="G1" s="156"/>
      <c r="H1" s="156"/>
      <c r="I1" s="156"/>
      <c r="J1" s="156"/>
      <c r="K1" s="156"/>
      <c r="L1" s="156"/>
      <c r="M1" s="158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</row>
    <row r="2" customFormat="false" ht="50.25" hidden="false" customHeight="true" outlineLevel="0" collapsed="false">
      <c r="A2" s="139" t="s">
        <v>198</v>
      </c>
      <c r="B2" s="139" t="s">
        <v>168</v>
      </c>
      <c r="C2" s="139" t="s">
        <v>169</v>
      </c>
      <c r="D2" s="139" t="s">
        <v>199</v>
      </c>
      <c r="E2" s="141" t="s">
        <v>200</v>
      </c>
      <c r="F2" s="141" t="s">
        <v>201</v>
      </c>
      <c r="G2" s="139" t="s">
        <v>202</v>
      </c>
      <c r="H2" s="139" t="s">
        <v>203</v>
      </c>
      <c r="I2" s="139" t="s">
        <v>204</v>
      </c>
      <c r="J2" s="139" t="s">
        <v>205</v>
      </c>
      <c r="K2" s="139" t="s">
        <v>206</v>
      </c>
      <c r="L2" s="139" t="s">
        <v>207</v>
      </c>
      <c r="M2" s="142" t="s">
        <v>208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12.8" hidden="false" customHeight="false" outlineLevel="0" collapsed="false">
      <c r="A3" s="144" t="s">
        <v>209</v>
      </c>
      <c r="B3" s="144" t="n">
        <v>2014</v>
      </c>
      <c r="C3" s="145" t="n">
        <v>1</v>
      </c>
      <c r="D3" s="144" t="n">
        <v>45</v>
      </c>
      <c r="E3" s="146" t="n">
        <v>16336703</v>
      </c>
      <c r="F3" s="146" t="n">
        <v>147746</v>
      </c>
      <c r="G3" s="147" t="n">
        <v>16188957</v>
      </c>
      <c r="H3" s="160" t="n">
        <v>59323985</v>
      </c>
      <c r="I3" s="161" t="n">
        <f aca="false">H3/G3</f>
        <v>3.66447233135526</v>
      </c>
      <c r="J3" s="147" t="n">
        <f aca="false">G3*I10</f>
        <v>61899880.2143381</v>
      </c>
      <c r="K3" s="160" t="n">
        <v>354218</v>
      </c>
      <c r="L3" s="161" t="n">
        <f aca="false">K3/F3</f>
        <v>2.39747945798871</v>
      </c>
      <c r="M3" s="147" t="n">
        <f aca="false">F3*2.511711692</f>
        <v>371095.355646232</v>
      </c>
      <c r="N3" s="160"/>
      <c r="O3" s="144"/>
      <c r="P3" s="144"/>
      <c r="Q3" s="147"/>
      <c r="R3" s="147"/>
      <c r="S3" s="147"/>
      <c r="T3" s="144"/>
      <c r="U3" s="144"/>
      <c r="V3" s="145"/>
      <c r="W3" s="145"/>
      <c r="X3" s="147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</row>
    <row r="4" customFormat="false" ht="12.8" hidden="false" customHeight="false" outlineLevel="0" collapsed="false">
      <c r="B4" s="144" t="n">
        <v>2014</v>
      </c>
      <c r="C4" s="145" t="n">
        <v>2</v>
      </c>
      <c r="D4" s="144" t="n">
        <v>46</v>
      </c>
      <c r="E4" s="146" t="n">
        <v>19039169</v>
      </c>
      <c r="F4" s="146" t="n">
        <v>150094</v>
      </c>
      <c r="G4" s="147" t="n">
        <v>18889075</v>
      </c>
      <c r="H4" s="160" t="n">
        <v>70642775</v>
      </c>
      <c r="I4" s="161" t="n">
        <f aca="false">H4/G4</f>
        <v>3.73987476888095</v>
      </c>
      <c r="J4" s="147" t="n">
        <f aca="false">G4*3.8235866717</f>
        <v>72224015.4107417</v>
      </c>
      <c r="K4" s="160" t="n">
        <v>375893</v>
      </c>
      <c r="L4" s="161" t="n">
        <f aca="false">K4/F4</f>
        <v>2.5043839194105</v>
      </c>
      <c r="M4" s="147" t="n">
        <f aca="false">F4*2.511711692</f>
        <v>376992.854699048</v>
      </c>
      <c r="N4" s="160"/>
      <c r="Q4" s="147"/>
      <c r="R4" s="147"/>
      <c r="S4" s="147"/>
      <c r="V4" s="145"/>
      <c r="W4" s="145"/>
      <c r="X4" s="147"/>
    </row>
    <row r="5" customFormat="false" ht="12.8" hidden="false" customHeight="false" outlineLevel="0" collapsed="false">
      <c r="B5" s="144" t="n">
        <v>2014</v>
      </c>
      <c r="C5" s="145" t="n">
        <v>3</v>
      </c>
      <c r="D5" s="144" t="n">
        <v>47</v>
      </c>
      <c r="E5" s="146" t="n">
        <v>16811748</v>
      </c>
      <c r="F5" s="146" t="n">
        <v>145661</v>
      </c>
      <c r="G5" s="147" t="n">
        <v>16666087</v>
      </c>
      <c r="H5" s="160" t="n">
        <v>66453030</v>
      </c>
      <c r="I5" s="161" t="n">
        <f aca="false">H5/G5</f>
        <v>3.98732047900626</v>
      </c>
      <c r="J5" s="147" t="n">
        <f aca="false">G5*3.8235866717</f>
        <v>63724228.1225926</v>
      </c>
      <c r="K5" s="160" t="n">
        <v>387130</v>
      </c>
      <c r="L5" s="161" t="n">
        <f aca="false">K5/F5</f>
        <v>2.65774641118762</v>
      </c>
      <c r="M5" s="147" t="n">
        <f aca="false">F5*2.511711692</f>
        <v>365858.436768412</v>
      </c>
      <c r="N5" s="160"/>
      <c r="Q5" s="147"/>
      <c r="R5" s="147"/>
      <c r="S5" s="147"/>
      <c r="V5" s="145"/>
      <c r="W5" s="145"/>
      <c r="X5" s="147"/>
    </row>
    <row r="6" customFormat="false" ht="12.8" hidden="false" customHeight="false" outlineLevel="0" collapsed="false">
      <c r="B6" s="144" t="n">
        <v>2014</v>
      </c>
      <c r="C6" s="145" t="n">
        <v>4</v>
      </c>
      <c r="D6" s="144" t="n">
        <v>48</v>
      </c>
      <c r="E6" s="146" t="n">
        <v>20743937</v>
      </c>
      <c r="F6" s="146" t="n">
        <v>143630</v>
      </c>
      <c r="G6" s="147" t="n">
        <v>20600306</v>
      </c>
      <c r="H6" s="160" t="n">
        <v>75212989</v>
      </c>
      <c r="I6" s="161" t="n">
        <f aca="false">H6/G6</f>
        <v>3.65106173665576</v>
      </c>
      <c r="J6" s="147" t="n">
        <f aca="false">G6*3.8235866717</f>
        <v>78767055.4545416</v>
      </c>
      <c r="K6" s="160" t="n">
        <v>390504</v>
      </c>
      <c r="L6" s="161" t="n">
        <f aca="false">K6/F6</f>
        <v>2.71881918819188</v>
      </c>
      <c r="M6" s="147" t="n">
        <f aca="false">F6*2.511711692</f>
        <v>360757.15032196</v>
      </c>
      <c r="N6" s="160"/>
      <c r="Q6" s="147"/>
      <c r="R6" s="147"/>
      <c r="S6" s="147"/>
      <c r="V6" s="145"/>
      <c r="W6" s="145"/>
      <c r="X6" s="147"/>
    </row>
    <row r="7" customFormat="false" ht="12.8" hidden="false" customHeight="false" outlineLevel="0" collapsed="false">
      <c r="B7" s="144" t="n">
        <v>2015</v>
      </c>
      <c r="C7" s="145" t="n">
        <v>1</v>
      </c>
      <c r="D7" s="144" t="n">
        <v>49</v>
      </c>
      <c r="E7" s="146" t="n">
        <v>18307160</v>
      </c>
      <c r="F7" s="146" t="n">
        <v>167252</v>
      </c>
      <c r="G7" s="147" t="n">
        <v>18139908</v>
      </c>
      <c r="H7" s="160" t="n">
        <v>71061517</v>
      </c>
      <c r="I7" s="161" t="n">
        <f aca="false">H7/G7</f>
        <v>3.91741330771909</v>
      </c>
      <c r="J7" s="147" t="n">
        <f aca="false">G7*3.8235866717</f>
        <v>69359510.4546642</v>
      </c>
      <c r="K7" s="160" t="n">
        <v>409117</v>
      </c>
      <c r="L7" s="161" t="n">
        <f aca="false">K7/F7</f>
        <v>2.44611125726449</v>
      </c>
      <c r="M7" s="147" t="n">
        <f aca="false">F7*2.511711692</f>
        <v>420088.803910384</v>
      </c>
      <c r="N7" s="160"/>
      <c r="Q7" s="147"/>
      <c r="R7" s="147"/>
      <c r="S7" s="147"/>
      <c r="V7" s="145"/>
      <c r="W7" s="145"/>
      <c r="X7" s="147"/>
    </row>
    <row r="8" customFormat="false" ht="12.8" hidden="false" customHeight="false" outlineLevel="0" collapsed="false">
      <c r="B8" s="144" t="n">
        <v>2015</v>
      </c>
      <c r="C8" s="145" t="n">
        <v>2</v>
      </c>
      <c r="D8" s="144" t="n">
        <v>50</v>
      </c>
      <c r="E8" s="146" t="n">
        <v>21740969</v>
      </c>
      <c r="F8" s="146" t="n">
        <v>188439</v>
      </c>
      <c r="G8" s="147" t="n">
        <v>21552530</v>
      </c>
      <c r="H8" s="160" t="n">
        <v>85808756</v>
      </c>
      <c r="I8" s="161" t="n">
        <f aca="false">H8/G8</f>
        <v>3.98137740673601</v>
      </c>
      <c r="J8" s="147" t="n">
        <f aca="false">G8*3.8235866717</f>
        <v>82407966.4494144</v>
      </c>
      <c r="K8" s="160" t="n">
        <v>442027</v>
      </c>
      <c r="L8" s="161" t="n">
        <f aca="false">K8/F8</f>
        <v>2.34572991790447</v>
      </c>
      <c r="M8" s="147" t="n">
        <f aca="false">F8*2.511711692</f>
        <v>473304.439528788</v>
      </c>
      <c r="N8" s="160"/>
      <c r="Q8" s="147"/>
      <c r="R8" s="147"/>
      <c r="S8" s="147"/>
      <c r="V8" s="145"/>
      <c r="W8" s="145"/>
      <c r="X8" s="147"/>
    </row>
    <row r="9" customFormat="false" ht="12.8" hidden="false" customHeight="false" outlineLevel="0" collapsed="false">
      <c r="A9" s="65"/>
      <c r="B9" s="65" t="n">
        <v>2015</v>
      </c>
      <c r="C9" s="5" t="n">
        <v>1</v>
      </c>
      <c r="D9" s="65" t="n">
        <v>161</v>
      </c>
      <c r="E9" s="151" t="n">
        <v>18004034.2271816</v>
      </c>
      <c r="F9" s="151" t="n"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3" t="n">
        <v>22160667.1184206</v>
      </c>
      <c r="F10" s="153" t="n">
        <v>151084.142402353</v>
      </c>
      <c r="G10" s="67" t="n">
        <f aca="false">E10-F10*0.7</f>
        <v>22054908.218739</v>
      </c>
      <c r="H10" s="67" t="s">
        <v>210</v>
      </c>
      <c r="I10" s="162" t="n">
        <f aca="false">AVERAGE(I3:I8)</f>
        <v>3.82358667172555</v>
      </c>
      <c r="J10" s="67" t="n">
        <f aca="false">G10*3.8235866717</f>
        <v>84328853.1107371</v>
      </c>
      <c r="K10" s="9" t="s">
        <v>210</v>
      </c>
      <c r="L10" s="162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3" t="n">
        <v>20241475.2040363</v>
      </c>
      <c r="F11" s="153" t="n"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76995316.5982303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3" t="n">
        <v>23722644.8086565</v>
      </c>
      <c r="F12" s="153" t="n"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65" t="s">
        <v>211</v>
      </c>
      <c r="B13" s="65" t="n">
        <v>2016</v>
      </c>
      <c r="C13" s="5" t="n">
        <v>1</v>
      </c>
      <c r="D13" s="65" t="n">
        <v>165</v>
      </c>
      <c r="E13" s="151" t="n">
        <v>19331318.9269655</v>
      </c>
      <c r="F13" s="151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3" t="n">
        <v>22042352.8766765</v>
      </c>
      <c r="F14" s="153" t="n">
        <v>141764.810127232</v>
      </c>
      <c r="G14" s="67" t="n">
        <f aca="false">E14-F14*0.7</f>
        <v>21943117.5095874</v>
      </c>
      <c r="H14" s="67" t="n">
        <v>78650764</v>
      </c>
      <c r="I14" s="67"/>
      <c r="J14" s="67" t="n">
        <f aca="false">G14*3.8235866717</f>
        <v>83901411.6452054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3" t="n">
        <v>19232651.4142766</v>
      </c>
      <c r="F15" s="153" t="n">
        <v>144189.0349691</v>
      </c>
      <c r="G15" s="67" t="n">
        <f aca="false">E15-F15*0.7</f>
        <v>19131719.0897982</v>
      </c>
      <c r="H15" s="67" t="n">
        <v>72210474</v>
      </c>
      <c r="I15" s="67"/>
      <c r="J15" s="67" t="n">
        <f aca="false">G15*3.8235866717</f>
        <v>73151786.118461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3" t="n">
        <v>22573512.1008919</v>
      </c>
      <c r="F16" s="153" t="n"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65"/>
      <c r="B17" s="65" t="n">
        <v>2017</v>
      </c>
      <c r="C17" s="5" t="n">
        <v>1</v>
      </c>
      <c r="D17" s="65" t="n">
        <v>169</v>
      </c>
      <c r="E17" s="151" t="n">
        <v>19517575.3041269</v>
      </c>
      <c r="F17" s="151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3" t="n">
        <v>23345722.4547066</v>
      </c>
      <c r="F18" s="153" t="n">
        <v>131002.673091904</v>
      </c>
      <c r="G18" s="67" t="n">
        <f aca="false">E18-F18*0.7</f>
        <v>23254020.5835423</v>
      </c>
      <c r="H18" s="67" t="n">
        <v>80479757</v>
      </c>
      <c r="I18" s="67"/>
      <c r="J18" s="67" t="n">
        <f aca="false">G18*3.8235866717</f>
        <v>88913763.1666697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3" t="n">
        <v>20685758.7576831</v>
      </c>
      <c r="F19" s="153" t="n"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3" t="n">
        <v>24447912.8962081</v>
      </c>
      <c r="F20" s="153" t="n">
        <v>143698.094559182</v>
      </c>
      <c r="G20" s="67" t="n">
        <f aca="false">E20-F20*0.7</f>
        <v>24347324.2300167</v>
      </c>
      <c r="H20" s="67" t="n">
        <v>82408987.5633976</v>
      </c>
      <c r="I20" s="67"/>
      <c r="J20" s="67" t="n">
        <f aca="false">G20*3.8235866717</f>
        <v>93094104.4174502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65"/>
      <c r="B21" s="65" t="n">
        <v>2018</v>
      </c>
      <c r="C21" s="5" t="n">
        <v>1</v>
      </c>
      <c r="D21" s="65" t="n">
        <v>173</v>
      </c>
      <c r="E21" s="151" t="n">
        <v>19576875.4819577</v>
      </c>
      <c r="F21" s="151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3" t="n">
        <v>22220331.7878667</v>
      </c>
      <c r="F22" s="153" t="n">
        <v>124241.716375217</v>
      </c>
      <c r="G22" s="67" t="n">
        <f aca="false">E22-F22*0.7</f>
        <v>22133362.586404</v>
      </c>
      <c r="H22" s="67"/>
      <c r="I22" s="67"/>
      <c r="J22" s="67" t="n">
        <f aca="false">G22*3.8235866717</f>
        <v>84628830.185278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3" t="n">
        <v>18301037.4436122</v>
      </c>
      <c r="F23" s="153" t="n">
        <v>112485.920454584</v>
      </c>
      <c r="G23" s="67" t="n">
        <f aca="false">E23-F23*0.7</f>
        <v>18222297.299294</v>
      </c>
      <c r="H23" s="67"/>
      <c r="I23" s="67"/>
      <c r="J23" s="67" t="n">
        <f aca="false">G23*3.8235866717</f>
        <v>69674533.0813354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3" t="n">
        <v>19944284.176601</v>
      </c>
      <c r="F24" s="153" t="n">
        <v>112102.826524005</v>
      </c>
      <c r="G24" s="67" t="n">
        <f aca="false">E24-F24*0.7</f>
        <v>19865812.1980342</v>
      </c>
      <c r="H24" s="67"/>
      <c r="I24" s="67"/>
      <c r="J24" s="67" t="n">
        <f aca="false">G24*3.8235866717</f>
        <v>75958654.7428988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65"/>
      <c r="B25" s="65" t="n">
        <v>2019</v>
      </c>
      <c r="C25" s="5" t="n">
        <v>1</v>
      </c>
      <c r="D25" s="65" t="n">
        <v>177</v>
      </c>
      <c r="E25" s="151" t="n">
        <v>15757157.7751408</v>
      </c>
      <c r="F25" s="151" t="n">
        <v>110988.074669527</v>
      </c>
      <c r="G25" s="8" t="n">
        <f aca="false">E25-F25*0.7</f>
        <v>15679466.1228721</v>
      </c>
      <c r="H25" s="8"/>
      <c r="I25" s="8"/>
      <c r="J25" s="8" t="n">
        <f aca="false">G25*3.8235866717</f>
        <v>59951797.6867856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3" t="n">
        <v>18672198.060717</v>
      </c>
      <c r="F26" s="153" t="n">
        <v>107486.273713936</v>
      </c>
      <c r="G26" s="67" t="n">
        <f aca="false">E26-F26*0.7</f>
        <v>18596957.6691172</v>
      </c>
      <c r="H26" s="67" t="n">
        <v>1000</v>
      </c>
      <c r="I26" s="67"/>
      <c r="J26" s="67" t="n">
        <f aca="false">G26*3.8235866717</f>
        <v>71107079.4778058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3" t="n">
        <v>15842246.0211279</v>
      </c>
      <c r="F27" s="153" t="n">
        <v>109352.321436835</v>
      </c>
      <c r="G27" s="67" t="n">
        <f aca="false">E27-F27*0.7</f>
        <v>15765699.3961221</v>
      </c>
      <c r="H27" s="67"/>
      <c r="I27" s="67"/>
      <c r="J27" s="67" t="n">
        <f aca="false">G27*3.8235866717</f>
        <v>60281518.0810413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3" t="n">
        <v>17986425.0321304</v>
      </c>
      <c r="F28" s="153" t="n">
        <v>109843.876246888</v>
      </c>
      <c r="G28" s="67" t="n">
        <f aca="false">E28-F28*0.7</f>
        <v>17909534.3187576</v>
      </c>
      <c r="H28" s="67"/>
      <c r="I28" s="67"/>
      <c r="J28" s="67" t="n">
        <f aca="false">G28*3.8235866717</f>
        <v>68478656.7175552</v>
      </c>
      <c r="K28" s="9"/>
      <c r="L28" s="67"/>
      <c r="M28" s="67" t="n">
        <f aca="false">F28*2.511711692</f>
        <v>275896.14826391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65"/>
      <c r="B29" s="65" t="n">
        <v>2020</v>
      </c>
      <c r="C29" s="5" t="n">
        <v>1</v>
      </c>
      <c r="D29" s="65" t="n">
        <v>181</v>
      </c>
      <c r="E29" s="151" t="n">
        <v>14481626.0359324</v>
      </c>
      <c r="F29" s="151" t="n">
        <v>112540.809885867</v>
      </c>
      <c r="G29" s="8" t="n">
        <f aca="false">E29-F29*0.7</f>
        <v>14402847.4690123</v>
      </c>
      <c r="H29" s="8"/>
      <c r="I29" s="8"/>
      <c r="J29" s="8" t="n">
        <f aca="false">G29*3.8235866717</f>
        <v>55070535.6170435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3" t="n">
        <v>16265742.813411</v>
      </c>
      <c r="F30" s="153" t="n">
        <v>102181.756346345</v>
      </c>
      <c r="G30" s="67" t="n">
        <f aca="false">E30-F30*0.7</f>
        <v>16194215.5839686</v>
      </c>
      <c r="H30" s="67"/>
      <c r="I30" s="67"/>
      <c r="J30" s="67" t="n">
        <f aca="false">G30*3.8235866717</f>
        <v>61919986.8654986</v>
      </c>
      <c r="K30" s="9"/>
      <c r="L30" s="67"/>
      <c r="M30" s="67" t="n">
        <f aca="false">F30*2.511711692</f>
        <v>256651.11212421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3" t="n">
        <v>13529153.4234167</v>
      </c>
      <c r="F31" s="153" t="n">
        <v>88981.6946221935</v>
      </c>
      <c r="G31" s="67" t="n">
        <f aca="false">E31-F31*0.7</f>
        <v>13466866.2371812</v>
      </c>
      <c r="H31" s="67"/>
      <c r="I31" s="67"/>
      <c r="J31" s="67" t="n">
        <f aca="false">G31*3.8235866717</f>
        <v>51491730.2540526</v>
      </c>
      <c r="K31" s="9"/>
      <c r="L31" s="67"/>
      <c r="M31" s="67" t="n">
        <f aca="false">F31*2.511711692</f>
        <v>223496.362756537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3" t="n">
        <v>15636187.8891986</v>
      </c>
      <c r="F32" s="153" t="n">
        <v>90674.3684939396</v>
      </c>
      <c r="G32" s="67" t="n">
        <f aca="false">E32-F32*0.7</f>
        <v>15572715.8312528</v>
      </c>
      <c r="H32" s="67"/>
      <c r="I32" s="67"/>
      <c r="J32" s="67" t="n">
        <f aca="false">G32*3.8235866717</f>
        <v>59543628.69455</v>
      </c>
      <c r="K32" s="9"/>
      <c r="L32" s="67"/>
      <c r="M32" s="67" t="n">
        <f aca="false">F32*2.511711692</f>
        <v>227747.871510945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65"/>
      <c r="B33" s="65" t="n">
        <v>2021</v>
      </c>
      <c r="C33" s="5" t="n">
        <v>1</v>
      </c>
      <c r="D33" s="65" t="n">
        <v>185</v>
      </c>
      <c r="E33" s="151" t="n">
        <v>12276364.2495933</v>
      </c>
      <c r="F33" s="151" t="n">
        <v>95352.9957574985</v>
      </c>
      <c r="G33" s="8" t="n">
        <f aca="false">E33-F33*0.7</f>
        <v>12209617.1525631</v>
      </c>
      <c r="H33" s="8"/>
      <c r="I33" s="8"/>
      <c r="J33" s="8" t="n">
        <f aca="false">G33*3.8235866717</f>
        <v>46684529.4110998</v>
      </c>
      <c r="K33" s="6"/>
      <c r="L33" s="8"/>
      <c r="M33" s="8" t="n">
        <f aca="false">F33*2.511711692</f>
        <v>239499.234311335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3" t="n">
        <v>15032751.2856454</v>
      </c>
      <c r="F34" s="153" t="n">
        <v>94044.5561121193</v>
      </c>
      <c r="G34" s="67" t="n">
        <f aca="false">E34-F34*0.7</f>
        <v>14966920.0963669</v>
      </c>
      <c r="H34" s="67"/>
      <c r="I34" s="67"/>
      <c r="J34" s="67" t="n">
        <f aca="false">G34*3.8235866717</f>
        <v>57227316.1968674</v>
      </c>
      <c r="K34" s="9"/>
      <c r="L34" s="67"/>
      <c r="M34" s="67" t="n">
        <f aca="false">F34*2.511711692</f>
        <v>236212.81115576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3" t="n">
        <v>13255628.6903664</v>
      </c>
      <c r="F35" s="153" t="n">
        <v>97558.4149105547</v>
      </c>
      <c r="G35" s="67" t="n">
        <f aca="false">E35-F35*0.7</f>
        <v>13187337.799929</v>
      </c>
      <c r="H35" s="67"/>
      <c r="I35" s="67"/>
      <c r="J35" s="67" t="n">
        <f aca="false">G35*3.8235866717</f>
        <v>50422929.0470142</v>
      </c>
      <c r="K35" s="9"/>
      <c r="L35" s="67"/>
      <c r="M35" s="67" t="n">
        <f aca="false">F35*2.511711692</f>
        <v>245038.611383827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3" t="n">
        <v>15822126.1526247</v>
      </c>
      <c r="F36" s="153" t="n">
        <v>97211.2719384871</v>
      </c>
      <c r="G36" s="67" t="n">
        <f aca="false">E36-F36*0.7</f>
        <v>15754078.2622678</v>
      </c>
      <c r="H36" s="67"/>
      <c r="I36" s="67"/>
      <c r="J36" s="67" t="n">
        <f aca="false">G36*3.8235866717</f>
        <v>60237083.6685257</v>
      </c>
      <c r="K36" s="9"/>
      <c r="L36" s="67"/>
      <c r="M36" s="67" t="n">
        <f aca="false">F36*2.511711692</f>
        <v>244166.68832209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65"/>
      <c r="B37" s="65" t="n">
        <v>2022</v>
      </c>
      <c r="C37" s="5" t="n">
        <v>1</v>
      </c>
      <c r="D37" s="65" t="n">
        <v>189</v>
      </c>
      <c r="E37" s="151" t="n">
        <v>12288100.643686</v>
      </c>
      <c r="F37" s="151" t="n">
        <v>98915.9031757288</v>
      </c>
      <c r="G37" s="8" t="n">
        <f aca="false">E37-F37*0.7</f>
        <v>12218859.511463</v>
      </c>
      <c r="H37" s="8"/>
      <c r="I37" s="8"/>
      <c r="J37" s="8" t="n">
        <f aca="false">G37*3.8235866717</f>
        <v>46719868.3714047</v>
      </c>
      <c r="K37" s="6"/>
      <c r="L37" s="8"/>
      <c r="M37" s="8" t="n">
        <f aca="false">F37*2.511711692</f>
        <v>248448.230531218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3" t="n">
        <v>14627813.4548846</v>
      </c>
      <c r="F38" s="153" t="n">
        <v>99943.5105182887</v>
      </c>
      <c r="G38" s="67" t="n">
        <f aca="false">E38-F38*0.7</f>
        <v>14557852.9975218</v>
      </c>
      <c r="H38" s="67"/>
      <c r="I38" s="67"/>
      <c r="J38" s="67" t="n">
        <f aca="false">G38*3.8235866717</f>
        <v>55663212.6898922</v>
      </c>
      <c r="K38" s="9"/>
      <c r="L38" s="67"/>
      <c r="M38" s="67" t="n">
        <f aca="false">F38*2.511711692</f>
        <v>251029.283908311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3" t="n">
        <v>12880000.5790007</v>
      </c>
      <c r="F39" s="153" t="n">
        <v>103534.714980758</v>
      </c>
      <c r="G39" s="67" t="n">
        <f aca="false">E39-F39*0.7</f>
        <v>12807526.2785142</v>
      </c>
      <c r="H39" s="67"/>
      <c r="I39" s="67"/>
      <c r="J39" s="67" t="n">
        <f aca="false">G39*3.8235866717</f>
        <v>48970686.7759743</v>
      </c>
      <c r="K39" s="9"/>
      <c r="L39" s="67"/>
      <c r="M39" s="67" t="n">
        <f aca="false">F39*2.511711692</f>
        <v>260049.354145057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3" t="n">
        <v>15347200.8672093</v>
      </c>
      <c r="F40" s="153" t="n">
        <v>100700.43688752</v>
      </c>
      <c r="G40" s="67" t="n">
        <f aca="false">E40-F40*0.7</f>
        <v>15276710.561388</v>
      </c>
      <c r="H40" s="67"/>
      <c r="I40" s="67"/>
      <c r="J40" s="67" t="n">
        <f aca="false">G40*3.8235866717</f>
        <v>58411826.8899419</v>
      </c>
      <c r="K40" s="9"/>
      <c r="L40" s="67"/>
      <c r="M40" s="67" t="n">
        <f aca="false">F40*2.511711692</f>
        <v>252930.464719892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65"/>
      <c r="B41" s="65" t="n">
        <v>2023</v>
      </c>
      <c r="C41" s="5" t="n">
        <v>1</v>
      </c>
      <c r="D41" s="65" t="n">
        <v>193</v>
      </c>
      <c r="E41" s="151" t="n">
        <v>12563828.9866964</v>
      </c>
      <c r="F41" s="151" t="n">
        <v>105143.204729063</v>
      </c>
      <c r="G41" s="8" t="n">
        <f aca="false">E41-F41*0.7</f>
        <v>12490228.7433861</v>
      </c>
      <c r="H41" s="8"/>
      <c r="I41" s="8"/>
      <c r="J41" s="8" t="n">
        <f aca="false">G41*3.8235866717</f>
        <v>47757472.1496952</v>
      </c>
      <c r="K41" s="6"/>
      <c r="L41" s="8"/>
      <c r="M41" s="8" t="n">
        <f aca="false">F41*2.511711692</f>
        <v>264089.416652337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3" t="n">
        <v>14995405.0087991</v>
      </c>
      <c r="F42" s="153" t="n">
        <v>106506.871646174</v>
      </c>
      <c r="G42" s="67" t="n">
        <f aca="false">E42-F42*0.7</f>
        <v>14920850.1986468</v>
      </c>
      <c r="H42" s="67"/>
      <c r="I42" s="67"/>
      <c r="J42" s="67" t="n">
        <f aca="false">G42*3.8235866717</f>
        <v>57051163.9499781</v>
      </c>
      <c r="K42" s="9"/>
      <c r="L42" s="67"/>
      <c r="M42" s="67" t="n">
        <f aca="false">F42*2.511711692</f>
        <v>267514.554792039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3" t="n">
        <v>13193091.8241736</v>
      </c>
      <c r="F43" s="153" t="n">
        <v>105235.180446133</v>
      </c>
      <c r="G43" s="67" t="n">
        <f aca="false">E43-F43*0.7</f>
        <v>13119427.1978613</v>
      </c>
      <c r="H43" s="67"/>
      <c r="I43" s="67"/>
      <c r="J43" s="67" t="n">
        <f aca="false">G43*3.8235866717</f>
        <v>50163266.974081</v>
      </c>
      <c r="K43" s="9"/>
      <c r="L43" s="67"/>
      <c r="M43" s="67" t="n">
        <f aca="false">F43*2.511711692</f>
        <v>264320.433136282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3" t="n">
        <v>15628001.1892857</v>
      </c>
      <c r="F44" s="153" t="n">
        <v>105425.560944545</v>
      </c>
      <c r="G44" s="67" t="n">
        <f aca="false">E44-F44*0.7</f>
        <v>15554203.2966245</v>
      </c>
      <c r="H44" s="67"/>
      <c r="I44" s="67"/>
      <c r="J44" s="67" t="n">
        <f aca="false">G44*3.8235866717</f>
        <v>59472844.4138857</v>
      </c>
      <c r="K44" s="9"/>
      <c r="L44" s="67"/>
      <c r="M44" s="67" t="n">
        <f aca="false">F44*2.511711692</f>
        <v>264798.614060072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65"/>
      <c r="B45" s="65" t="n">
        <v>2024</v>
      </c>
      <c r="C45" s="5" t="n">
        <v>1</v>
      </c>
      <c r="D45" s="65" t="n">
        <v>197</v>
      </c>
      <c r="E45" s="151" t="n">
        <v>12890389.5811103</v>
      </c>
      <c r="F45" s="151" t="n">
        <v>105412.794355168</v>
      </c>
      <c r="G45" s="8" t="n">
        <f aca="false">E45-F45*0.7</f>
        <v>12816600.6250617</v>
      </c>
      <c r="H45" s="8"/>
      <c r="I45" s="8"/>
      <c r="J45" s="8" t="n">
        <f aca="false">G45*3.8235866717</f>
        <v>49005383.3264877</v>
      </c>
      <c r="K45" s="6"/>
      <c r="L45" s="8"/>
      <c r="M45" s="8" t="n">
        <f aca="false">F45*2.511711692</f>
        <v>264766.548068267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3" t="n">
        <v>15300975.648057</v>
      </c>
      <c r="F46" s="153" t="n">
        <v>110217.387012185</v>
      </c>
      <c r="G46" s="67" t="n">
        <f aca="false">E46-F46*0.7</f>
        <v>15223823.4771485</v>
      </c>
      <c r="H46" s="67"/>
      <c r="I46" s="67"/>
      <c r="J46" s="67" t="n">
        <f aca="false">G46*3.8235866717</f>
        <v>58209608.5395385</v>
      </c>
      <c r="K46" s="9"/>
      <c r="L46" s="67"/>
      <c r="M46" s="67" t="n">
        <f aca="false">F46*2.511711692</f>
        <v>276834.299620194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3" t="n">
        <v>13418591.0434659</v>
      </c>
      <c r="F47" s="153" t="n">
        <v>111458.31986472</v>
      </c>
      <c r="G47" s="67" t="n">
        <f aca="false">E47-F47*0.7</f>
        <v>13340570.2195606</v>
      </c>
      <c r="H47" s="67"/>
      <c r="I47" s="67"/>
      <c r="J47" s="67" t="n">
        <f aca="false">G47*3.8235866717</f>
        <v>51008826.4843898</v>
      </c>
      <c r="K47" s="9"/>
      <c r="L47" s="67"/>
      <c r="M47" s="67" t="n">
        <f aca="false">F47*2.511711692</f>
        <v>279951.165174893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3" t="n">
        <v>15979683.3885384</v>
      </c>
      <c r="F48" s="153" t="n">
        <v>114367.56670097</v>
      </c>
      <c r="G48" s="67" t="n">
        <f aca="false">E48-F48*0.7</f>
        <v>15899626.0918477</v>
      </c>
      <c r="H48" s="67"/>
      <c r="I48" s="67"/>
      <c r="J48" s="67" t="n">
        <f aca="false">G48*3.8235866717</f>
        <v>60793598.4098025</v>
      </c>
      <c r="K48" s="9"/>
      <c r="L48" s="67"/>
      <c r="M48" s="67" t="n">
        <f aca="false">F48*2.511711692</f>
        <v>287258.354468416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65"/>
      <c r="B49" s="65" t="n">
        <v>2025</v>
      </c>
      <c r="C49" s="5" t="n">
        <v>1</v>
      </c>
      <c r="D49" s="65" t="n">
        <v>201</v>
      </c>
      <c r="E49" s="151" t="n">
        <v>13464510.9333057</v>
      </c>
      <c r="F49" s="151" t="n">
        <v>112680.502350895</v>
      </c>
      <c r="G49" s="8" t="n">
        <f aca="false">E49-F49*0.7</f>
        <v>13385634.5816601</v>
      </c>
      <c r="H49" s="8"/>
      <c r="I49" s="8"/>
      <c r="J49" s="8" t="n">
        <f aca="false">G49*3.8235866717</f>
        <v>51181133.9786821</v>
      </c>
      <c r="K49" s="6"/>
      <c r="L49" s="8"/>
      <c r="M49" s="8" t="n">
        <f aca="false">F49*2.511711692</f>
        <v>283020.935215176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3" t="n">
        <v>15944103.7315834</v>
      </c>
      <c r="F50" s="153" t="n">
        <v>113387.705670986</v>
      </c>
      <c r="G50" s="67" t="n">
        <f aca="false">E50-F50*0.7</f>
        <v>15864732.3376137</v>
      </c>
      <c r="H50" s="67"/>
      <c r="I50" s="67"/>
      <c r="J50" s="67" t="n">
        <f aca="false">G50*3.8235866717</f>
        <v>60660179.1161878</v>
      </c>
      <c r="K50" s="9"/>
      <c r="L50" s="67"/>
      <c r="M50" s="67" t="n">
        <f aca="false">F50*2.511711692</f>
        <v>284797.22606287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3" t="n">
        <v>13933940.2295078</v>
      </c>
      <c r="F51" s="153" t="n">
        <v>114034.36856076</v>
      </c>
      <c r="G51" s="67" t="n">
        <f aca="false">E51-F51*0.7</f>
        <v>13854116.1715153</v>
      </c>
      <c r="H51" s="67"/>
      <c r="I51" s="67"/>
      <c r="J51" s="67" t="n">
        <f aca="false">G51*3.8235866717</f>
        <v>52972413.9415892</v>
      </c>
      <c r="K51" s="9"/>
      <c r="L51" s="67"/>
      <c r="M51" s="67" t="n">
        <f aca="false">F51*2.511711692</f>
        <v>286421.456803898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3" t="n">
        <v>16516474.6073508</v>
      </c>
      <c r="F52" s="153" t="n">
        <v>115523.304606393</v>
      </c>
      <c r="G52" s="67" t="n">
        <f aca="false">E52-F52*0.7</f>
        <v>16435608.2941263</v>
      </c>
      <c r="H52" s="67"/>
      <c r="I52" s="67"/>
      <c r="J52" s="67" t="n">
        <f aca="false">G52*3.8235866717</f>
        <v>62842972.8147034</v>
      </c>
      <c r="K52" s="9"/>
      <c r="L52" s="67"/>
      <c r="M52" s="67" t="n">
        <f aca="false">F52*2.511711692</f>
        <v>290161.234878355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65"/>
      <c r="B53" s="65" t="n">
        <v>2026</v>
      </c>
      <c r="C53" s="5" t="n">
        <v>1</v>
      </c>
      <c r="D53" s="65" t="n">
        <v>205</v>
      </c>
      <c r="E53" s="151" t="n">
        <v>14009252.3762063</v>
      </c>
      <c r="F53" s="151" t="n">
        <v>117584.480249216</v>
      </c>
      <c r="G53" s="8" t="n">
        <f aca="false">E53-F53*0.7</f>
        <v>13926943.2400318</v>
      </c>
      <c r="H53" s="8"/>
      <c r="I53" s="8"/>
      <c r="J53" s="8" t="n">
        <f aca="false">G53*3.8235866717</f>
        <v>53250874.5501082</v>
      </c>
      <c r="K53" s="6"/>
      <c r="L53" s="8"/>
      <c r="M53" s="8" t="n">
        <f aca="false">F53*2.511711692</f>
        <v>295338.313839699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3" t="n">
        <v>16785314.9693564</v>
      </c>
      <c r="F54" s="153" t="n">
        <v>117560.961396476</v>
      </c>
      <c r="G54" s="67" t="n">
        <f aca="false">E54-F54*0.7</f>
        <v>16703022.2963789</v>
      </c>
      <c r="H54" s="67"/>
      <c r="I54" s="67"/>
      <c r="J54" s="67" t="n">
        <f aca="false">G54*3.8235866717</f>
        <v>63865453.4295422</v>
      </c>
      <c r="K54" s="9"/>
      <c r="L54" s="67"/>
      <c r="M54" s="67" t="n">
        <f aca="false">F54*2.511711692</f>
        <v>295279.241262289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3" t="n">
        <v>14650716.7423557</v>
      </c>
      <c r="F55" s="153" t="n">
        <v>120976.257520257</v>
      </c>
      <c r="G55" s="67" t="n">
        <f aca="false">E55-F55*0.7</f>
        <v>14566033.3620915</v>
      </c>
      <c r="H55" s="67"/>
      <c r="I55" s="67"/>
      <c r="J55" s="67" t="n">
        <f aca="false">G55*3.8235866717</f>
        <v>55694491.0228307</v>
      </c>
      <c r="K55" s="9"/>
      <c r="L55" s="67"/>
      <c r="M55" s="67" t="n">
        <f aca="false">F55*2.511711692</f>
        <v>303857.480468032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3" t="n">
        <v>17367232.9918925</v>
      </c>
      <c r="F56" s="153" t="n">
        <v>122626.084435387</v>
      </c>
      <c r="G56" s="67" t="n">
        <f aca="false">E56-F56*0.7</f>
        <v>17281394.7327877</v>
      </c>
      <c r="H56" s="67"/>
      <c r="I56" s="67"/>
      <c r="J56" s="67" t="n">
        <f aca="false">G56*3.8235866717</f>
        <v>66076910.5686738</v>
      </c>
      <c r="K56" s="9"/>
      <c r="L56" s="67"/>
      <c r="M56" s="67" t="n">
        <f aca="false">F56*2.511711692</f>
        <v>308001.370020541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65"/>
      <c r="B57" s="65" t="n">
        <v>2027</v>
      </c>
      <c r="C57" s="5" t="n">
        <v>1</v>
      </c>
      <c r="D57" s="65" t="n">
        <v>209</v>
      </c>
      <c r="E57" s="151" t="n">
        <v>14758362.4666164</v>
      </c>
      <c r="F57" s="151" t="n">
        <v>122778.913368185</v>
      </c>
      <c r="G57" s="8" t="n">
        <f aca="false">E57-F57*0.7</f>
        <v>14672417.2272587</v>
      </c>
      <c r="H57" s="8"/>
      <c r="I57" s="8"/>
      <c r="J57" s="8" t="n">
        <f aca="false">G57*3.8235866717</f>
        <v>56101258.9517677</v>
      </c>
      <c r="K57" s="6"/>
      <c r="L57" s="8"/>
      <c r="M57" s="8" t="n">
        <f aca="false">F57*2.511711692</f>
        <v>308385.232237925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3" t="n">
        <v>17467744.7109888</v>
      </c>
      <c r="F58" s="153" t="n">
        <v>125528.876272504</v>
      </c>
      <c r="G58" s="67" t="n">
        <f aca="false">E58-F58*0.7</f>
        <v>17379874.4975981</v>
      </c>
      <c r="H58" s="67"/>
      <c r="I58" s="67"/>
      <c r="J58" s="67" t="n">
        <f aca="false">G58*3.8235866717</f>
        <v>66453456.4848346</v>
      </c>
      <c r="K58" s="9"/>
      <c r="L58" s="67"/>
      <c r="M58" s="67" t="n">
        <f aca="false">F58*2.511711692</f>
        <v>315292.34621727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3" t="n">
        <v>15230533.6363154</v>
      </c>
      <c r="F59" s="153" t="n">
        <v>126490.965498547</v>
      </c>
      <c r="G59" s="67" t="n">
        <f aca="false">E59-F59*0.7</f>
        <v>15141989.9604664</v>
      </c>
      <c r="H59" s="67"/>
      <c r="I59" s="67"/>
      <c r="J59" s="67" t="n">
        <f aca="false">G59*3.8235866717</f>
        <v>57896710.9958546</v>
      </c>
      <c r="K59" s="9"/>
      <c r="L59" s="67"/>
      <c r="M59" s="67" t="n">
        <f aca="false">F59*2.511711692</f>
        <v>317708.836975069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3" t="n">
        <v>18105155.1235234</v>
      </c>
      <c r="F60" s="153" t="n">
        <v>128226.960688537</v>
      </c>
      <c r="G60" s="67" t="n">
        <f aca="false">E60-F60*0.7</f>
        <v>18015396.2510414</v>
      </c>
      <c r="H60" s="67"/>
      <c r="I60" s="67"/>
      <c r="J60" s="67" t="n">
        <f aca="false">G60*3.8235866717</f>
        <v>68883428.9908761</v>
      </c>
      <c r="K60" s="9"/>
      <c r="L60" s="67"/>
      <c r="M60" s="67" t="n">
        <f aca="false">F60*2.511711692</f>
        <v>322069.156391023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65"/>
      <c r="B61" s="65" t="n">
        <v>2028</v>
      </c>
      <c r="C61" s="5" t="n">
        <v>1</v>
      </c>
      <c r="D61" s="65" t="n">
        <v>213</v>
      </c>
      <c r="E61" s="151" t="n">
        <v>15338960.1253177</v>
      </c>
      <c r="F61" s="151" t="n">
        <v>132076.465420728</v>
      </c>
      <c r="G61" s="8" t="n">
        <f aca="false">E61-F61*0.7</f>
        <v>15246506.5995232</v>
      </c>
      <c r="H61" s="8"/>
      <c r="I61" s="8"/>
      <c r="J61" s="8" t="n">
        <f aca="false">G61*3.8235866717</f>
        <v>58296339.423923</v>
      </c>
      <c r="K61" s="6"/>
      <c r="L61" s="8"/>
      <c r="M61" s="8" t="n">
        <f aca="false">F61*2.511711692</f>
        <v>331738.002435276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3" t="n">
        <v>17889533.5120975</v>
      </c>
      <c r="F62" s="153" t="n">
        <v>133169.3035208</v>
      </c>
      <c r="G62" s="67" t="n">
        <f aca="false">E62-F62*0.7</f>
        <v>17796314.9996329</v>
      </c>
      <c r="H62" s="67"/>
      <c r="I62" s="67"/>
      <c r="J62" s="67" t="n">
        <f aca="false">G62*3.8235866717</f>
        <v>68045752.8379713</v>
      </c>
      <c r="K62" s="9"/>
      <c r="L62" s="67"/>
      <c r="M62" s="67" t="n">
        <f aca="false">F62*2.511711692</f>
        <v>334482.89666869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3" t="n">
        <v>15557268.2369947</v>
      </c>
      <c r="F63" s="153" t="n">
        <v>131821.992092977</v>
      </c>
      <c r="G63" s="67" t="n">
        <f aca="false">E63-F63*0.7</f>
        <v>15464992.8425296</v>
      </c>
      <c r="H63" s="67"/>
      <c r="I63" s="67"/>
      <c r="J63" s="67" t="n">
        <f aca="false">G63*3.8235866717</f>
        <v>59131740.5106321</v>
      </c>
      <c r="K63" s="9"/>
      <c r="L63" s="67"/>
      <c r="M63" s="67" t="n">
        <f aca="false">F63*2.511711692</f>
        <v>331098.838802662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3" t="n">
        <v>18256271.9235929</v>
      </c>
      <c r="F64" s="153" t="n">
        <v>132838.787177764</v>
      </c>
      <c r="G64" s="67" t="n">
        <f aca="false">E64-F64*0.7</f>
        <v>18163284.7725685</v>
      </c>
      <c r="H64" s="67"/>
      <c r="I64" s="67"/>
      <c r="J64" s="67" t="n">
        <f aca="false">G64*3.8235866717</f>
        <v>69448893.5706843</v>
      </c>
      <c r="K64" s="9"/>
      <c r="L64" s="67"/>
      <c r="M64" s="67" t="n">
        <f aca="false">F64*2.511711692</f>
        <v>333652.734905489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65"/>
      <c r="B65" s="65" t="n">
        <v>2029</v>
      </c>
      <c r="C65" s="5" t="n">
        <v>1</v>
      </c>
      <c r="D65" s="65" t="n">
        <v>217</v>
      </c>
      <c r="E65" s="151" t="n">
        <v>15533937.4754207</v>
      </c>
      <c r="F65" s="151" t="n">
        <v>133051.090794598</v>
      </c>
      <c r="G65" s="8" t="n">
        <f aca="false">E65-F65*0.7</f>
        <v>15440801.7118645</v>
      </c>
      <c r="H65" s="8"/>
      <c r="I65" s="8"/>
      <c r="J65" s="8" t="n">
        <f aca="false">G65*3.8235866717</f>
        <v>59039243.6258476</v>
      </c>
      <c r="K65" s="6"/>
      <c r="L65" s="8"/>
      <c r="M65" s="8" t="n">
        <f aca="false">F65*2.511711692</f>
        <v>334185.980382145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3" t="n">
        <v>18351138.5878048</v>
      </c>
      <c r="F66" s="153" t="n">
        <v>133710.055044914</v>
      </c>
      <c r="G66" s="67" t="n">
        <f aca="false">E66-F66*0.7</f>
        <v>18257541.5492734</v>
      </c>
      <c r="H66" s="67"/>
      <c r="I66" s="67"/>
      <c r="J66" s="67" t="n">
        <f aca="false">G66*3.8235866717</f>
        <v>69809292.5258106</v>
      </c>
      <c r="K66" s="9"/>
      <c r="L66" s="67"/>
      <c r="M66" s="67" t="n">
        <f aca="false">F66*2.511711692</f>
        <v>335841.108594274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3" t="n">
        <v>15905486.4367295</v>
      </c>
      <c r="F67" s="153" t="n">
        <v>131938.426532415</v>
      </c>
      <c r="G67" s="67" t="n">
        <f aca="false">E67-F67*0.7</f>
        <v>15813129.5381568</v>
      </c>
      <c r="H67" s="67"/>
      <c r="I67" s="67"/>
      <c r="J67" s="67" t="n">
        <f aca="false">G67*3.8235866717</f>
        <v>60462871.339962</v>
      </c>
      <c r="K67" s="9"/>
      <c r="L67" s="67"/>
      <c r="M67" s="67" t="n">
        <f aca="false">F67*2.511711692</f>
        <v>331391.28854555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3" t="n">
        <v>18680755.903328</v>
      </c>
      <c r="F68" s="153" t="n">
        <v>128242.687526531</v>
      </c>
      <c r="G68" s="67" t="n">
        <f aca="false">E68-F68*0.7</f>
        <v>18590986.0220594</v>
      </c>
      <c r="H68" s="67"/>
      <c r="I68" s="67"/>
      <c r="J68" s="67" t="n">
        <f aca="false">G68*3.8235866717</f>
        <v>71084246.3677075</v>
      </c>
      <c r="K68" s="9"/>
      <c r="L68" s="67"/>
      <c r="M68" s="67" t="n">
        <f aca="false">F68*2.511711692</f>
        <v>322108.65767389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65"/>
      <c r="B69" s="65" t="n">
        <v>2030</v>
      </c>
      <c r="C69" s="5" t="n">
        <v>1</v>
      </c>
      <c r="D69" s="65" t="n">
        <v>221</v>
      </c>
      <c r="E69" s="151" t="n">
        <v>15993326.4982739</v>
      </c>
      <c r="F69" s="151" t="n">
        <v>128307.56827097</v>
      </c>
      <c r="G69" s="8" t="n">
        <f aca="false">E69-F69*0.7</f>
        <v>15903511.2004842</v>
      </c>
      <c r="H69" s="8"/>
      <c r="I69" s="8"/>
      <c r="J69" s="8" t="n">
        <f aca="false">G69*3.8235866717</f>
        <v>60808453.4594031</v>
      </c>
      <c r="K69" s="6"/>
      <c r="L69" s="8"/>
      <c r="M69" s="8" t="n">
        <f aca="false">F69*2.511711692</f>
        <v>322271.619398284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3" t="n">
        <v>18779363.0798257</v>
      </c>
      <c r="F70" s="153" t="n">
        <v>131811.163947758</v>
      </c>
      <c r="G70" s="67" t="n">
        <f aca="false">E70-F70*0.7</f>
        <v>18687095.2650623</v>
      </c>
      <c r="H70" s="67"/>
      <c r="I70" s="67"/>
      <c r="J70" s="67" t="n">
        <f aca="false">G70*3.8235866717</f>
        <v>71451728.3882803</v>
      </c>
      <c r="K70" s="9"/>
      <c r="L70" s="67"/>
      <c r="M70" s="67" t="n">
        <f aca="false">F70*2.511711692</f>
        <v>331071.641623713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3" t="n">
        <v>16287252.870615</v>
      </c>
      <c r="F71" s="153" t="n">
        <v>135277.726816165</v>
      </c>
      <c r="G71" s="67" t="n">
        <f aca="false">E71-F71*0.7</f>
        <v>16192558.4618437</v>
      </c>
      <c r="H71" s="67"/>
      <c r="I71" s="67"/>
      <c r="J71" s="67" t="n">
        <f aca="false">G71*3.8235866717</f>
        <v>61913650.7154286</v>
      </c>
      <c r="K71" s="9"/>
      <c r="L71" s="67"/>
      <c r="M71" s="67" t="n">
        <f aca="false">F71*2.511711692</f>
        <v>339778.648111344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3" t="n">
        <v>19080599.7198053</v>
      </c>
      <c r="F72" s="153" t="n">
        <v>135426.566692775</v>
      </c>
      <c r="G72" s="67" t="n">
        <f aca="false">E72-F72*0.7</f>
        <v>18985801.1231204</v>
      </c>
      <c r="H72" s="67"/>
      <c r="I72" s="67"/>
      <c r="J72" s="67" t="n">
        <f aca="false">G72*3.8235866717</f>
        <v>72593856.1259099</v>
      </c>
      <c r="K72" s="9"/>
      <c r="L72" s="67"/>
      <c r="M72" s="67" t="n">
        <f aca="false">F72*2.511711692</f>
        <v>340152.490969661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65"/>
      <c r="B73" s="65" t="n">
        <v>2031</v>
      </c>
      <c r="C73" s="5" t="n">
        <v>1</v>
      </c>
      <c r="D73" s="65" t="n">
        <v>225</v>
      </c>
      <c r="E73" s="151" t="n">
        <v>16041648.0950904</v>
      </c>
      <c r="F73" s="151" t="n">
        <v>142040.638722736</v>
      </c>
      <c r="G73" s="8" t="n">
        <f aca="false">E73-F73*0.7</f>
        <v>15942219.6479845</v>
      </c>
      <c r="H73" s="8"/>
      <c r="I73" s="8"/>
      <c r="J73" s="8" t="n">
        <f aca="false">G73*3.8235866717</f>
        <v>60956458.5633474</v>
      </c>
      <c r="K73" s="6"/>
      <c r="L73" s="8"/>
      <c r="M73" s="8" t="n">
        <f aca="false">F73*2.511711692</f>
        <v>356765.133019044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3" t="n">
        <v>18841195.5556566</v>
      </c>
      <c r="F74" s="153" t="n">
        <v>143881.518163509</v>
      </c>
      <c r="G74" s="67" t="n">
        <f aca="false">E74-F74*0.7</f>
        <v>18740478.4929421</v>
      </c>
      <c r="H74" s="67"/>
      <c r="I74" s="67"/>
      <c r="J74" s="67" t="n">
        <f aca="false">G74*3.8235866717</f>
        <v>71655843.7868941</v>
      </c>
      <c r="K74" s="9"/>
      <c r="L74" s="67"/>
      <c r="M74" s="67" t="n">
        <f aca="false">F74*2.511711692</f>
        <v>361388.891433996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3" t="n">
        <v>16219686.8889216</v>
      </c>
      <c r="F75" s="153" t="n">
        <v>139039.67633452</v>
      </c>
      <c r="G75" s="67" t="n">
        <f aca="false">E75-F75*0.7</f>
        <v>16122359.1154874</v>
      </c>
      <c r="H75" s="67"/>
      <c r="I75" s="67"/>
      <c r="J75" s="67" t="n">
        <f aca="false">G75*3.8235866717</f>
        <v>61645237.4303388</v>
      </c>
      <c r="K75" s="9"/>
      <c r="L75" s="67"/>
      <c r="M75" s="67" t="n">
        <f aca="false">F75*2.511711692</f>
        <v>349227.58070131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3" t="n">
        <v>19047104.8907702</v>
      </c>
      <c r="F76" s="153" t="n">
        <v>135791.08088106</v>
      </c>
      <c r="G76" s="67" t="n">
        <f aca="false">E76-F76*0.7</f>
        <v>18952051.1341535</v>
      </c>
      <c r="H76" s="67"/>
      <c r="I76" s="67"/>
      <c r="J76" s="67" t="n">
        <f aca="false">G76*3.8235866717</f>
        <v>72464810.117926</v>
      </c>
      <c r="K76" s="9"/>
      <c r="L76" s="67"/>
      <c r="M76" s="67" t="n">
        <f aca="false">F76*2.511711692</f>
        <v>341068.045518276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65"/>
      <c r="B77" s="65" t="n">
        <v>2032</v>
      </c>
      <c r="C77" s="5" t="n">
        <v>1</v>
      </c>
      <c r="D77" s="65" t="n">
        <v>229</v>
      </c>
      <c r="E77" s="151" t="n">
        <v>16246068.8465022</v>
      </c>
      <c r="F77" s="151" t="n">
        <v>136946.194725179</v>
      </c>
      <c r="G77" s="8" t="n">
        <f aca="false">E77-F77*0.7</f>
        <v>16150206.5101946</v>
      </c>
      <c r="H77" s="8"/>
      <c r="I77" s="8"/>
      <c r="J77" s="8" t="n">
        <f aca="false">G77*3.8235866717</f>
        <v>61751714.3575826</v>
      </c>
      <c r="K77" s="6"/>
      <c r="L77" s="8"/>
      <c r="M77" s="8" t="n">
        <f aca="false">F77*2.511711692</f>
        <v>343969.358466141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3" t="n">
        <v>19103992.1055259</v>
      </c>
      <c r="F78" s="153" t="n">
        <v>139529.877530079</v>
      </c>
      <c r="G78" s="67" t="n">
        <f aca="false">E78-F78*0.7</f>
        <v>19006321.1912548</v>
      </c>
      <c r="H78" s="67"/>
      <c r="I78" s="67"/>
      <c r="J78" s="67" t="n">
        <f aca="false">G78*3.8235866717</f>
        <v>72672316.3849313</v>
      </c>
      <c r="K78" s="9"/>
      <c r="L78" s="67"/>
      <c r="M78" s="67" t="n">
        <f aca="false">F78*2.511711692</f>
        <v>350458.824775627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3" t="n">
        <v>16425278.2270861</v>
      </c>
      <c r="F79" s="153" t="n">
        <v>136857.391227187</v>
      </c>
      <c r="G79" s="67" t="n">
        <f aca="false">E79-F79*0.7</f>
        <v>16329478.0532271</v>
      </c>
      <c r="H79" s="67"/>
      <c r="I79" s="67"/>
      <c r="J79" s="67" t="n">
        <f aca="false">G79*3.8235866717</f>
        <v>62437174.6401367</v>
      </c>
      <c r="K79" s="9"/>
      <c r="L79" s="67"/>
      <c r="M79" s="67" t="n">
        <f aca="false">F79*2.511711692</f>
        <v>343746.309681944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3" t="n">
        <v>19254365.2118015</v>
      </c>
      <c r="F80" s="153" t="n">
        <v>136496.570748694</v>
      </c>
      <c r="G80" s="67" t="n">
        <f aca="false">E80-F80*0.7</f>
        <v>19158817.6122774</v>
      </c>
      <c r="H80" s="67"/>
      <c r="I80" s="67"/>
      <c r="J80" s="67" t="n">
        <f aca="false">G80*3.8235866717</f>
        <v>73255399.6678351</v>
      </c>
      <c r="K80" s="9"/>
      <c r="L80" s="67"/>
      <c r="M80" s="67" t="n">
        <f aca="false">F80*2.511711692</f>
        <v>342840.0326674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65"/>
      <c r="B81" s="65" t="n">
        <v>2033</v>
      </c>
      <c r="C81" s="5" t="n">
        <v>1</v>
      </c>
      <c r="D81" s="65" t="n">
        <v>233</v>
      </c>
      <c r="E81" s="151" t="n">
        <v>16409825.5993813</v>
      </c>
      <c r="F81" s="151" t="n">
        <v>139782.352667349</v>
      </c>
      <c r="G81" s="8" t="n">
        <f aca="false">E81-F81*0.7</f>
        <v>16311977.9525142</v>
      </c>
      <c r="H81" s="8"/>
      <c r="I81" s="8"/>
      <c r="J81" s="8" t="n">
        <f aca="false">G81*3.8235866717</f>
        <v>62370261.4882974</v>
      </c>
      <c r="K81" s="6"/>
      <c r="L81" s="8"/>
      <c r="M81" s="8" t="n">
        <f aca="false">F81*2.511711692</f>
        <v>351092.969529848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3" t="n">
        <v>19356608.3261569</v>
      </c>
      <c r="F82" s="153" t="n">
        <v>141862.416589673</v>
      </c>
      <c r="G82" s="67" t="n">
        <f aca="false">E82-F82*0.7</f>
        <v>19257304.6345441</v>
      </c>
      <c r="H82" s="67"/>
      <c r="I82" s="67"/>
      <c r="J82" s="67" t="n">
        <f aca="false">G82*3.8235866717</f>
        <v>73631973.3335096</v>
      </c>
      <c r="K82" s="9"/>
      <c r="L82" s="67"/>
      <c r="M82" s="67" t="n">
        <f aca="false">F82*2.511711692</f>
        <v>356317.490403656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3" t="n">
        <v>16453831.6171031</v>
      </c>
      <c r="F83" s="153" t="n">
        <v>142672.207992224</v>
      </c>
      <c r="G83" s="67" t="n">
        <f aca="false">E83-F83*0.7</f>
        <v>16353961.0715085</v>
      </c>
      <c r="H83" s="67"/>
      <c r="I83" s="67"/>
      <c r="J83" s="67" t="n">
        <f aca="false">G83*3.8235866717</f>
        <v>62530787.5825207</v>
      </c>
      <c r="K83" s="9"/>
      <c r="L83" s="67"/>
      <c r="M83" s="67" t="n">
        <f aca="false">F83*2.511711692</f>
        <v>358351.452937525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3" t="n">
        <v>19428513.2423152</v>
      </c>
      <c r="F84" s="153" t="n">
        <v>137245.402161246</v>
      </c>
      <c r="G84" s="67" t="n">
        <f aca="false">E84-F84*0.7</f>
        <v>19332441.4608023</v>
      </c>
      <c r="H84" s="67"/>
      <c r="I84" s="67"/>
      <c r="J84" s="67" t="n">
        <f aca="false">G84*3.8235866717</f>
        <v>73919265.5009443</v>
      </c>
      <c r="K84" s="9"/>
      <c r="L84" s="67"/>
      <c r="M84" s="67" t="n">
        <f aca="false">F84*2.511711692</f>
        <v>344720.881281644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65"/>
      <c r="B85" s="65" t="n">
        <v>2034</v>
      </c>
      <c r="C85" s="5" t="n">
        <v>1</v>
      </c>
      <c r="D85" s="65" t="n">
        <v>237</v>
      </c>
      <c r="E85" s="151" t="n">
        <v>16527485.075817</v>
      </c>
      <c r="F85" s="151" t="n">
        <v>135313.002719296</v>
      </c>
      <c r="G85" s="8" t="n">
        <f aca="false">E85-F85*0.7</f>
        <v>16432765.9739135</v>
      </c>
      <c r="H85" s="8"/>
      <c r="I85" s="8"/>
      <c r="J85" s="8" t="n">
        <f aca="false">G85*3.8235866717</f>
        <v>62832104.9570209</v>
      </c>
      <c r="K85" s="6"/>
      <c r="L85" s="8"/>
      <c r="M85" s="8" t="n">
        <f aca="false">F85*2.511711692</f>
        <v>339867.251009684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3" t="n">
        <v>19202214.5523139</v>
      </c>
      <c r="F86" s="153" t="n">
        <v>141229.470048713</v>
      </c>
      <c r="G86" s="67" t="n">
        <f aca="false">E86-F86*0.7</f>
        <v>19103353.9232798</v>
      </c>
      <c r="H86" s="67"/>
      <c r="I86" s="67"/>
      <c r="J86" s="67" t="n">
        <f aca="false">G86*3.8235866717</f>
        <v>73043329.4458206</v>
      </c>
      <c r="K86" s="9"/>
      <c r="L86" s="67"/>
      <c r="M86" s="67" t="n">
        <f aca="false">F86*2.511711692</f>
        <v>354727.711176316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3" t="n">
        <v>16510320.9317525</v>
      </c>
      <c r="F87" s="153" t="n">
        <v>148701.659159801</v>
      </c>
      <c r="G87" s="67" t="n">
        <f aca="false">E87-F87*0.7</f>
        <v>16406229.7703406</v>
      </c>
      <c r="H87" s="67"/>
      <c r="I87" s="67"/>
      <c r="J87" s="67" t="n">
        <f aca="false">G87*3.8235866717</f>
        <v>62730641.4827222</v>
      </c>
      <c r="K87" s="9"/>
      <c r="L87" s="67"/>
      <c r="M87" s="67" t="n">
        <f aca="false">F87*2.511711692</f>
        <v>373495.695931471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3" t="n">
        <v>19431616.8687449</v>
      </c>
      <c r="F88" s="153" t="n">
        <v>142234.032508693</v>
      </c>
      <c r="G88" s="67" t="n">
        <f aca="false">E88-F88*0.7</f>
        <v>19332053.0459888</v>
      </c>
      <c r="H88" s="67"/>
      <c r="I88" s="67"/>
      <c r="J88" s="67" t="n">
        <f aca="false">G88*3.8235866717</f>
        <v>73917780.3632402</v>
      </c>
      <c r="K88" s="9"/>
      <c r="L88" s="67"/>
      <c r="M88" s="67" t="n">
        <f aca="false">F88*2.511711692</f>
        <v>357250.882452392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65"/>
      <c r="B89" s="65" t="n">
        <v>2035</v>
      </c>
      <c r="C89" s="5" t="n">
        <v>1</v>
      </c>
      <c r="D89" s="65" t="n">
        <v>241</v>
      </c>
      <c r="E89" s="151" t="n">
        <v>16571022.1528144</v>
      </c>
      <c r="F89" s="151" t="n">
        <v>139387.689647642</v>
      </c>
      <c r="G89" s="8" t="n">
        <f aca="false">E89-F89*0.7</f>
        <v>16473450.770061</v>
      </c>
      <c r="H89" s="8"/>
      <c r="I89" s="8"/>
      <c r="J89" s="8" t="n">
        <f aca="false">G89*3.8235866717</f>
        <v>62987666.8013115</v>
      </c>
      <c r="K89" s="6"/>
      <c r="L89" s="8"/>
      <c r="M89" s="8" t="n">
        <f aca="false">F89*2.511711692</f>
        <v>350101.68980885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3" t="n">
        <v>19466561.5972556</v>
      </c>
      <c r="F90" s="153" t="n">
        <v>140192.350268468</v>
      </c>
      <c r="G90" s="67" t="n">
        <f aca="false">E90-F90*0.7</f>
        <v>19368426.9520677</v>
      </c>
      <c r="H90" s="67"/>
      <c r="I90" s="67"/>
      <c r="J90" s="67" t="n">
        <f aca="false">G90*3.8235866717</f>
        <v>74056859.145721</v>
      </c>
      <c r="K90" s="9"/>
      <c r="L90" s="67"/>
      <c r="M90" s="67" t="n">
        <f aca="false">F90*2.511711692</f>
        <v>352122.76529827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3" t="n">
        <v>16742764.7146916</v>
      </c>
      <c r="F91" s="153" t="n">
        <v>136783.074075523</v>
      </c>
      <c r="G91" s="67" t="n">
        <f aca="false">E91-F91*0.7</f>
        <v>16647016.5628387</v>
      </c>
      <c r="H91" s="67"/>
      <c r="I91" s="67"/>
      <c r="J91" s="67" t="n">
        <f aca="false">G91*3.8235866717</f>
        <v>63651310.6532393</v>
      </c>
      <c r="K91" s="9"/>
      <c r="L91" s="67"/>
      <c r="M91" s="67" t="n">
        <f aca="false">F91*2.511711692</f>
        <v>343559.646423193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3" t="n">
        <v>19615481.5799681</v>
      </c>
      <c r="F92" s="153" t="n">
        <v>139161.500824216</v>
      </c>
      <c r="G92" s="67" t="n">
        <f aca="false">E92-F92*0.7</f>
        <v>19518068.5293911</v>
      </c>
      <c r="H92" s="67"/>
      <c r="I92" s="67"/>
      <c r="J92" s="67" t="n">
        <f aca="false">G92*3.8235866717</f>
        <v>74629026.6863072</v>
      </c>
      <c r="K92" s="9"/>
      <c r="L92" s="67"/>
      <c r="M92" s="67" t="n">
        <f aca="false">F92*2.511711692</f>
        <v>349533.568696451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65"/>
      <c r="B93" s="65" t="n">
        <v>2036</v>
      </c>
      <c r="C93" s="5" t="n">
        <v>1</v>
      </c>
      <c r="D93" s="65" t="n">
        <v>245</v>
      </c>
      <c r="E93" s="151" t="n">
        <v>16567915.3099803</v>
      </c>
      <c r="F93" s="151" t="n">
        <v>141691.351406708</v>
      </c>
      <c r="G93" s="8" t="n">
        <f aca="false">E93-F93*0.7</f>
        <v>16468731.3639956</v>
      </c>
      <c r="H93" s="8"/>
      <c r="I93" s="8"/>
      <c r="J93" s="8" t="n">
        <f aca="false">G93*3.8235866717</f>
        <v>62969621.7431814</v>
      </c>
      <c r="K93" s="6"/>
      <c r="L93" s="8"/>
      <c r="M93" s="8" t="n">
        <f aca="false">F93*2.511711692</f>
        <v>355887.823983509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3" t="n">
        <v>19438457.3616138</v>
      </c>
      <c r="F94" s="153" t="n">
        <v>145350.487658576</v>
      </c>
      <c r="G94" s="67" t="n">
        <f aca="false">E94-F94*0.7</f>
        <v>19336712.0202528</v>
      </c>
      <c r="H94" s="67"/>
      <c r="I94" s="67"/>
      <c r="J94" s="67" t="n">
        <f aca="false">G94*3.8235866717</f>
        <v>73935594.3551398</v>
      </c>
      <c r="K94" s="9"/>
      <c r="L94" s="67"/>
      <c r="M94" s="67" t="n">
        <f aca="false">F94*2.511711692</f>
        <v>365078.519289947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3" t="n">
        <v>16822506.7723543</v>
      </c>
      <c r="F95" s="153" t="n">
        <v>144337.709120004</v>
      </c>
      <c r="G95" s="67" t="n">
        <f aca="false">E95-F95*0.7</f>
        <v>16721470.3759703</v>
      </c>
      <c r="H95" s="67"/>
      <c r="I95" s="67"/>
      <c r="J95" s="67" t="n">
        <f aca="false">G95*3.8235866717</f>
        <v>63935991.2607864</v>
      </c>
      <c r="K95" s="9"/>
      <c r="L95" s="67"/>
      <c r="M95" s="67" t="n">
        <f aca="false">F95*2.511711692</f>
        <v>362534.711593209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3" t="n">
        <v>19779276.3365984</v>
      </c>
      <c r="F96" s="153" t="n">
        <v>144809.199988331</v>
      </c>
      <c r="G96" s="67" t="n">
        <f aca="false">E96-F96*0.7</f>
        <v>19677909.8966066</v>
      </c>
      <c r="H96" s="67"/>
      <c r="I96" s="67"/>
      <c r="J96" s="67" t="n">
        <f aca="false">G96*3.8235866717</f>
        <v>75240194.0075784</v>
      </c>
      <c r="K96" s="9"/>
      <c r="L96" s="67"/>
      <c r="M96" s="67" t="n">
        <f aca="false">F96*2.511711692</f>
        <v>363718.960719857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65"/>
      <c r="B97" s="65" t="n">
        <v>2037</v>
      </c>
      <c r="C97" s="5" t="n">
        <v>1</v>
      </c>
      <c r="D97" s="65" t="n">
        <v>249</v>
      </c>
      <c r="E97" s="151" t="n">
        <v>16731403.8950729</v>
      </c>
      <c r="F97" s="151" t="n">
        <v>143724.821511957</v>
      </c>
      <c r="G97" s="8" t="n">
        <f aca="false">E97-F97*0.7</f>
        <v>16630796.5200145</v>
      </c>
      <c r="H97" s="8"/>
      <c r="I97" s="8"/>
      <c r="J97" s="8" t="n">
        <f aca="false">G97*3.8235866717</f>
        <v>63589291.9136823</v>
      </c>
      <c r="K97" s="6"/>
      <c r="L97" s="8"/>
      <c r="M97" s="8" t="n">
        <f aca="false">F97*2.511711692</f>
        <v>360995.314622196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3" t="n">
        <v>19690682.3823889</v>
      </c>
      <c r="F98" s="153" t="n">
        <v>144965.81554949</v>
      </c>
      <c r="G98" s="67" t="n">
        <f aca="false">E98-F98*0.7</f>
        <v>19589206.3115043</v>
      </c>
      <c r="H98" s="67"/>
      <c r="I98" s="67"/>
      <c r="J98" s="67" t="n">
        <f aca="false">G98*3.8235866717</f>
        <v>74901028.1618492</v>
      </c>
      <c r="K98" s="9"/>
      <c r="L98" s="67"/>
      <c r="M98" s="67" t="n">
        <f aca="false">F98*2.511711692</f>
        <v>364112.333855969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3" t="n">
        <v>17048747.303704</v>
      </c>
      <c r="F99" s="153" t="n">
        <v>148202.54583937</v>
      </c>
      <c r="G99" s="67" t="n">
        <f aca="false">E99-F99*0.7</f>
        <v>16945005.5216164</v>
      </c>
      <c r="H99" s="67"/>
      <c r="I99" s="67"/>
      <c r="J99" s="67" t="n">
        <f aca="false">G99*3.8235866717</f>
        <v>64790697.2643355</v>
      </c>
      <c r="K99" s="9"/>
      <c r="L99" s="67"/>
      <c r="M99" s="67" t="n">
        <f aca="false">F99*2.511711692</f>
        <v>372242.067168912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3" t="n">
        <v>20124396.1171549</v>
      </c>
      <c r="F100" s="153" t="n">
        <v>142394.063172394</v>
      </c>
      <c r="G100" s="67" t="n">
        <f aca="false">E100-F100*0.7</f>
        <v>20024720.2729342</v>
      </c>
      <c r="H100" s="67"/>
      <c r="I100" s="67"/>
      <c r="J100" s="67" t="n">
        <f aca="false">G100*3.8235866717</f>
        <v>76566253.5401121</v>
      </c>
      <c r="K100" s="9"/>
      <c r="L100" s="67"/>
      <c r="M100" s="67" t="n">
        <f aca="false">F100*2.511711692</f>
        <v>357652.833341489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65"/>
      <c r="B101" s="65" t="n">
        <v>2038</v>
      </c>
      <c r="C101" s="5" t="n">
        <v>1</v>
      </c>
      <c r="D101" s="65" t="n">
        <v>253</v>
      </c>
      <c r="E101" s="151" t="n">
        <v>17130478.9901958</v>
      </c>
      <c r="F101" s="151" t="n">
        <v>140028.52553011</v>
      </c>
      <c r="G101" s="8" t="n">
        <f aca="false">E101-F101*0.7</f>
        <v>17032459.0223247</v>
      </c>
      <c r="H101" s="8"/>
      <c r="I101" s="8"/>
      <c r="J101" s="8" t="n">
        <f aca="false">G101*3.8235866717</f>
        <v>65125083.3040372</v>
      </c>
      <c r="K101" s="6"/>
      <c r="L101" s="8"/>
      <c r="M101" s="8" t="n">
        <f aca="false">F101*2.511711692</f>
        <v>351711.284787498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3" t="n">
        <v>20290280.5611525</v>
      </c>
      <c r="F102" s="153" t="n">
        <v>141676.326405084</v>
      </c>
      <c r="G102" s="67" t="n">
        <f aca="false">E102-F102*0.7</f>
        <v>20191107.1326689</v>
      </c>
      <c r="H102" s="67"/>
      <c r="I102" s="67"/>
      <c r="J102" s="67" t="n">
        <f aca="false">G102*3.8235866717</f>
        <v>77202448.1193398</v>
      </c>
      <c r="K102" s="9"/>
      <c r="L102" s="67"/>
      <c r="M102" s="67" t="n">
        <f aca="false">F102*2.511711692</f>
        <v>355850.085511258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3" t="n">
        <v>17454440.8027503</v>
      </c>
      <c r="F103" s="153" t="n">
        <v>147769.27435744</v>
      </c>
      <c r="G103" s="67" t="n">
        <f aca="false">E103-F103*0.7</f>
        <v>17351002.3107001</v>
      </c>
      <c r="H103" s="67"/>
      <c r="I103" s="67"/>
      <c r="J103" s="67" t="n">
        <f aca="false">G103*3.8235866717</f>
        <v>66343061.1758288</v>
      </c>
      <c r="K103" s="9"/>
      <c r="L103" s="67"/>
      <c r="M103" s="67" t="n">
        <f aca="false">F103*2.511711692</f>
        <v>371153.814121938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3" t="n">
        <v>20368862.2334071</v>
      </c>
      <c r="F104" s="153" t="n">
        <v>145427.876016995</v>
      </c>
      <c r="G104" s="67" t="n">
        <f aca="false">E104-F104*0.7</f>
        <v>20267062.7201952</v>
      </c>
      <c r="H104" s="67"/>
      <c r="I104" s="67"/>
      <c r="J104" s="67" t="n">
        <f aca="false">G104*3.8235866717</f>
        <v>77492870.8914463</v>
      </c>
      <c r="K104" s="9"/>
      <c r="L104" s="67"/>
      <c r="M104" s="67" t="n">
        <f aca="false">F104*2.511711692</f>
        <v>365272.896534613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65"/>
      <c r="B105" s="65" t="n">
        <v>2039</v>
      </c>
      <c r="C105" s="5" t="n">
        <v>1</v>
      </c>
      <c r="D105" s="65" t="n">
        <v>257</v>
      </c>
      <c r="E105" s="151" t="n">
        <v>17212335.9537402</v>
      </c>
      <c r="F105" s="151" t="n">
        <v>145402.05272425</v>
      </c>
      <c r="G105" s="8" t="n">
        <f aca="false">E105-F105*0.7</f>
        <v>17110554.5168332</v>
      </c>
      <c r="H105" s="8"/>
      <c r="I105" s="8"/>
      <c r="J105" s="8" t="n">
        <f aca="false">G105*3.8235866717</f>
        <v>65423688.1959598</v>
      </c>
      <c r="K105" s="6"/>
      <c r="L105" s="8"/>
      <c r="M105" s="8" t="n">
        <f aca="false">F105*2.511711692</f>
        <v>365208.035868299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3" t="n">
        <v>20142794.3003126</v>
      </c>
      <c r="F106" s="153" t="n">
        <v>148337.029303564</v>
      </c>
      <c r="G106" s="67" t="n">
        <f aca="false">E106-F106*0.7</f>
        <v>20038958.3798001</v>
      </c>
      <c r="H106" s="67"/>
      <c r="I106" s="67"/>
      <c r="J106" s="67" t="n">
        <f aca="false">G106*3.8235866717</f>
        <v>76620694.1757547</v>
      </c>
      <c r="K106" s="9"/>
      <c r="L106" s="67"/>
      <c r="M106" s="67" t="n">
        <f aca="false">F106*2.511711692</f>
        <v>372579.850858308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3" t="n">
        <v>17434454.8601136</v>
      </c>
      <c r="F107" s="153" t="n">
        <v>153495.442683776</v>
      </c>
      <c r="G107" s="67" t="n">
        <f aca="false">E107-F107*0.7</f>
        <v>17327008.050235</v>
      </c>
      <c r="H107" s="67"/>
      <c r="I107" s="67"/>
      <c r="J107" s="67" t="n">
        <f aca="false">G107*3.8235866717</f>
        <v>66251317.041317</v>
      </c>
      <c r="K107" s="9"/>
      <c r="L107" s="67"/>
      <c r="M107" s="67" t="n">
        <f aca="false">F107*2.511711692</f>
        <v>385536.298057556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3" t="n">
        <v>20486150.274843</v>
      </c>
      <c r="F108" s="153" t="n">
        <v>152264.865350682</v>
      </c>
      <c r="G108" s="67" t="n">
        <f aca="false">E108-F108*0.7</f>
        <v>20379564.8690975</v>
      </c>
      <c r="H108" s="67"/>
      <c r="I108" s="67"/>
      <c r="J108" s="67" t="n">
        <f aca="false">G108*3.8235866717</f>
        <v>77923032.6085269</v>
      </c>
      <c r="K108" s="9"/>
      <c r="L108" s="67"/>
      <c r="M108" s="67" t="n">
        <f aca="false">F108*2.511711692</f>
        <v>382445.442582114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65"/>
      <c r="B109" s="65" t="n">
        <v>2040</v>
      </c>
      <c r="C109" s="5" t="n">
        <v>1</v>
      </c>
      <c r="D109" s="65" t="n">
        <v>261</v>
      </c>
      <c r="E109" s="151" t="n">
        <v>17431586.9895787</v>
      </c>
      <c r="F109" s="151" t="n">
        <v>147699.869593729</v>
      </c>
      <c r="G109" s="8" t="n">
        <f aca="false">E109-F109*0.7</f>
        <v>17328197.0808631</v>
      </c>
      <c r="H109" s="8"/>
      <c r="I109" s="8"/>
      <c r="J109" s="8" t="n">
        <f aca="false">G109*3.8235866717</f>
        <v>66255863.402979</v>
      </c>
      <c r="K109" s="6"/>
      <c r="L109" s="8"/>
      <c r="M109" s="8" t="n">
        <f aca="false">F109*2.511711692</f>
        <v>370979.489365444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3" t="n">
        <v>20324853.3161792</v>
      </c>
      <c r="F110" s="153" t="n">
        <v>151502.938270336</v>
      </c>
      <c r="G110" s="67" t="n">
        <f aca="false">E110-F110*0.7</f>
        <v>20218801.25939</v>
      </c>
      <c r="H110" s="67"/>
      <c r="I110" s="67"/>
      <c r="J110" s="67" t="n">
        <f aca="false">G110*3.8235866717</f>
        <v>77308339.0131547</v>
      </c>
      <c r="K110" s="9"/>
      <c r="L110" s="67"/>
      <c r="M110" s="67" t="n">
        <f aca="false">F110*2.511711692</f>
        <v>380531.701425957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3" t="n">
        <v>17516742.5441337</v>
      </c>
      <c r="F111" s="153" t="n">
        <v>154832.751221363</v>
      </c>
      <c r="G111" s="67" t="n">
        <f aca="false">E111-F111*0.7</f>
        <v>17408359.6182787</v>
      </c>
      <c r="H111" s="67"/>
      <c r="I111" s="67"/>
      <c r="J111" s="67" t="n">
        <f aca="false">G111*3.8235866717</f>
        <v>66562371.8126111</v>
      </c>
      <c r="K111" s="9"/>
      <c r="L111" s="67"/>
      <c r="M111" s="67" t="n">
        <f aca="false">F111*2.511711692</f>
        <v>388895.231547225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3" t="n">
        <v>20419265.054471</v>
      </c>
      <c r="F112" s="153" t="n">
        <v>154131.971300537</v>
      </c>
      <c r="G112" s="67" t="n">
        <f aca="false">E112-F112*0.7</f>
        <v>20311372.6745606</v>
      </c>
      <c r="H112" s="67"/>
      <c r="I112" s="67"/>
      <c r="J112" s="67" t="n">
        <f aca="false">G112*3.8235866717</f>
        <v>77662293.8423816</v>
      </c>
      <c r="K112" s="9"/>
      <c r="L112" s="67"/>
      <c r="M112" s="67" t="n">
        <f aca="false">F112*2.511711692</f>
        <v>387135.074426567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65"/>
      <c r="B113" s="65"/>
      <c r="C113" s="5"/>
      <c r="D113" s="6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G97" activeCellId="0" sqref="G97"/>
    </sheetView>
  </sheetViews>
  <sheetFormatPr defaultColWidth="9.01953125" defaultRowHeight="12.8" zeroHeight="false" outlineLevelRow="0" outlineLevelCol="0"/>
  <cols>
    <col collapsed="false" customWidth="true" hidden="false" outlineLevel="0" max="5" min="5" style="58" width="19.62"/>
    <col collapsed="false" customWidth="true" hidden="false" outlineLevel="0" max="6" min="6" style="58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56"/>
      <c r="B1" s="156"/>
      <c r="C1" s="156"/>
      <c r="D1" s="156"/>
      <c r="E1" s="157" t="s">
        <v>196</v>
      </c>
      <c r="F1" s="157" t="s">
        <v>197</v>
      </c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</row>
    <row r="2" customFormat="false" ht="50.25" hidden="false" customHeight="true" outlineLevel="0" collapsed="false">
      <c r="A2" s="139" t="s">
        <v>198</v>
      </c>
      <c r="B2" s="139" t="s">
        <v>168</v>
      </c>
      <c r="C2" s="139" t="s">
        <v>169</v>
      </c>
      <c r="D2" s="139" t="s">
        <v>199</v>
      </c>
      <c r="E2" s="141" t="s">
        <v>200</v>
      </c>
      <c r="F2" s="141" t="s">
        <v>201</v>
      </c>
      <c r="G2" s="139" t="s">
        <v>202</v>
      </c>
      <c r="H2" s="139" t="s">
        <v>203</v>
      </c>
      <c r="I2" s="139" t="s">
        <v>204</v>
      </c>
      <c r="J2" s="139" t="s">
        <v>205</v>
      </c>
      <c r="K2" s="139" t="s">
        <v>206</v>
      </c>
      <c r="L2" s="139" t="s">
        <v>207</v>
      </c>
      <c r="M2" s="142" t="s">
        <v>208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12.8" hidden="false" customHeight="false" outlineLevel="0" collapsed="false">
      <c r="A3" s="144" t="s">
        <v>209</v>
      </c>
      <c r="B3" s="144" t="n">
        <v>2014</v>
      </c>
      <c r="C3" s="145" t="n">
        <v>1</v>
      </c>
      <c r="D3" s="144" t="n">
        <v>45</v>
      </c>
      <c r="E3" s="146" t="n">
        <v>16336703</v>
      </c>
      <c r="F3" s="146" t="n">
        <v>147746</v>
      </c>
      <c r="G3" s="147" t="n">
        <v>16188957</v>
      </c>
      <c r="H3" s="160" t="n">
        <v>59323985</v>
      </c>
      <c r="I3" s="161" t="n">
        <f aca="false">H3/G3</f>
        <v>3.66447233135526</v>
      </c>
      <c r="J3" s="147" t="n">
        <f aca="false">G3*I10</f>
        <v>61899880.2143381</v>
      </c>
      <c r="K3" s="160" t="n">
        <v>354218</v>
      </c>
      <c r="L3" s="161" t="n">
        <f aca="false">K3/F3</f>
        <v>2.39747945798871</v>
      </c>
      <c r="M3" s="147" t="n">
        <f aca="false">F3*2.511711692</f>
        <v>371095.355646232</v>
      </c>
      <c r="N3" s="160"/>
      <c r="O3" s="144"/>
      <c r="P3" s="144"/>
      <c r="Q3" s="147"/>
      <c r="R3" s="147"/>
      <c r="S3" s="147"/>
      <c r="T3" s="144"/>
      <c r="U3" s="144"/>
      <c r="V3" s="145"/>
      <c r="W3" s="145"/>
      <c r="X3" s="147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</row>
    <row r="4" customFormat="false" ht="12.8" hidden="false" customHeight="false" outlineLevel="0" collapsed="false">
      <c r="B4" s="144" t="n">
        <v>2014</v>
      </c>
      <c r="C4" s="145" t="n">
        <v>2</v>
      </c>
      <c r="D4" s="144" t="n">
        <v>46</v>
      </c>
      <c r="E4" s="146" t="n">
        <v>19039169</v>
      </c>
      <c r="F4" s="146" t="n">
        <v>150094</v>
      </c>
      <c r="G4" s="147" t="n">
        <v>18889075</v>
      </c>
      <c r="H4" s="160" t="n">
        <v>70642775</v>
      </c>
      <c r="I4" s="161" t="n">
        <f aca="false">H4/G4</f>
        <v>3.73987476888095</v>
      </c>
      <c r="J4" s="147" t="n">
        <f aca="false">G4*3.8235866717</f>
        <v>72224015.4107417</v>
      </c>
      <c r="K4" s="160" t="n">
        <v>375893</v>
      </c>
      <c r="L4" s="161" t="n">
        <f aca="false">K4/F4</f>
        <v>2.5043839194105</v>
      </c>
      <c r="M4" s="147" t="n">
        <f aca="false">F4*2.511711692</f>
        <v>376992.854699048</v>
      </c>
      <c r="N4" s="160"/>
      <c r="Q4" s="147"/>
      <c r="R4" s="147"/>
      <c r="S4" s="147"/>
      <c r="V4" s="145"/>
      <c r="W4" s="145"/>
      <c r="X4" s="147"/>
    </row>
    <row r="5" customFormat="false" ht="12.8" hidden="false" customHeight="false" outlineLevel="0" collapsed="false">
      <c r="B5" s="144" t="n">
        <v>2014</v>
      </c>
      <c r="C5" s="145" t="n">
        <v>3</v>
      </c>
      <c r="D5" s="144" t="n">
        <v>47</v>
      </c>
      <c r="E5" s="146" t="n">
        <v>16811748</v>
      </c>
      <c r="F5" s="146" t="n">
        <v>145661</v>
      </c>
      <c r="G5" s="147" t="n">
        <v>16666087</v>
      </c>
      <c r="H5" s="160" t="n">
        <v>66453030</v>
      </c>
      <c r="I5" s="161" t="n">
        <f aca="false">H5/G5</f>
        <v>3.98732047900626</v>
      </c>
      <c r="J5" s="147" t="n">
        <f aca="false">G5*3.8235866717</f>
        <v>63724228.1225926</v>
      </c>
      <c r="K5" s="160" t="n">
        <v>387130</v>
      </c>
      <c r="L5" s="161" t="n">
        <f aca="false">K5/F5</f>
        <v>2.65774641118762</v>
      </c>
      <c r="M5" s="147" t="n">
        <f aca="false">F5*2.511711692</f>
        <v>365858.436768412</v>
      </c>
      <c r="N5" s="160"/>
      <c r="Q5" s="147"/>
      <c r="R5" s="147"/>
      <c r="S5" s="147"/>
      <c r="V5" s="145"/>
      <c r="W5" s="145"/>
      <c r="X5" s="147"/>
    </row>
    <row r="6" customFormat="false" ht="12.8" hidden="false" customHeight="false" outlineLevel="0" collapsed="false">
      <c r="B6" s="144" t="n">
        <v>2014</v>
      </c>
      <c r="C6" s="145" t="n">
        <v>4</v>
      </c>
      <c r="D6" s="144" t="n">
        <v>48</v>
      </c>
      <c r="E6" s="146" t="n">
        <v>20743937</v>
      </c>
      <c r="F6" s="146" t="n">
        <v>143630</v>
      </c>
      <c r="G6" s="147" t="n">
        <v>20600306</v>
      </c>
      <c r="H6" s="160" t="n">
        <v>75212989</v>
      </c>
      <c r="I6" s="161" t="n">
        <f aca="false">H6/G6</f>
        <v>3.65106173665576</v>
      </c>
      <c r="J6" s="147" t="n">
        <f aca="false">G6*3.8235866717</f>
        <v>78767055.4545416</v>
      </c>
      <c r="K6" s="160" t="n">
        <v>390504</v>
      </c>
      <c r="L6" s="161" t="n">
        <f aca="false">K6/F6</f>
        <v>2.71881918819188</v>
      </c>
      <c r="M6" s="147" t="n">
        <f aca="false">F6*2.511711692</f>
        <v>360757.15032196</v>
      </c>
      <c r="N6" s="160"/>
      <c r="Q6" s="147"/>
      <c r="R6" s="147"/>
      <c r="S6" s="147"/>
      <c r="V6" s="145"/>
      <c r="W6" s="145"/>
      <c r="X6" s="147"/>
    </row>
    <row r="7" customFormat="false" ht="12.8" hidden="false" customHeight="false" outlineLevel="0" collapsed="false">
      <c r="B7" s="144" t="n">
        <v>2015</v>
      </c>
      <c r="C7" s="145" t="n">
        <v>1</v>
      </c>
      <c r="D7" s="144" t="n">
        <v>49</v>
      </c>
      <c r="E7" s="146" t="n">
        <v>18307160</v>
      </c>
      <c r="F7" s="146" t="n">
        <v>167252</v>
      </c>
      <c r="G7" s="147" t="n">
        <v>18139908</v>
      </c>
      <c r="H7" s="160" t="n">
        <v>71061517</v>
      </c>
      <c r="I7" s="161" t="n">
        <f aca="false">H7/G7</f>
        <v>3.91741330771909</v>
      </c>
      <c r="J7" s="147" t="n">
        <f aca="false">G7*3.8235866717</f>
        <v>69359510.4546642</v>
      </c>
      <c r="K7" s="160" t="n">
        <v>409117</v>
      </c>
      <c r="L7" s="161" t="n">
        <f aca="false">K7/F7</f>
        <v>2.44611125726449</v>
      </c>
      <c r="M7" s="147" t="n">
        <f aca="false">F7*2.511711692</f>
        <v>420088.803910384</v>
      </c>
      <c r="N7" s="160"/>
      <c r="Q7" s="147"/>
      <c r="R7" s="147"/>
      <c r="S7" s="147"/>
      <c r="V7" s="145"/>
      <c r="W7" s="145"/>
      <c r="X7" s="147"/>
    </row>
    <row r="8" customFormat="false" ht="12.8" hidden="false" customHeight="false" outlineLevel="0" collapsed="false">
      <c r="B8" s="144" t="n">
        <v>2015</v>
      </c>
      <c r="C8" s="145" t="n">
        <v>2</v>
      </c>
      <c r="D8" s="144" t="n">
        <v>50</v>
      </c>
      <c r="E8" s="146" t="n">
        <v>21740969</v>
      </c>
      <c r="F8" s="146" t="n">
        <v>188439</v>
      </c>
      <c r="G8" s="147" t="n">
        <v>21552530</v>
      </c>
      <c r="H8" s="160" t="n">
        <v>85808756</v>
      </c>
      <c r="I8" s="161" t="n">
        <f aca="false">H8/G8</f>
        <v>3.98137740673601</v>
      </c>
      <c r="J8" s="147" t="n">
        <f aca="false">G8*3.8235866717</f>
        <v>82407966.4494144</v>
      </c>
      <c r="K8" s="160" t="n">
        <v>442027</v>
      </c>
      <c r="L8" s="161" t="n">
        <f aca="false">K8/F8</f>
        <v>2.34572991790447</v>
      </c>
      <c r="M8" s="147" t="n">
        <f aca="false">F8*2.511711692</f>
        <v>473304.439528788</v>
      </c>
      <c r="N8" s="160"/>
      <c r="Q8" s="147"/>
      <c r="R8" s="147"/>
      <c r="S8" s="147"/>
      <c r="V8" s="145"/>
      <c r="W8" s="145"/>
      <c r="X8" s="147"/>
    </row>
    <row r="9" customFormat="false" ht="12.8" hidden="false" customHeight="false" outlineLevel="0" collapsed="false">
      <c r="A9" s="65"/>
      <c r="B9" s="65" t="n">
        <v>2015</v>
      </c>
      <c r="C9" s="5" t="n">
        <v>1</v>
      </c>
      <c r="D9" s="65" t="n">
        <v>161</v>
      </c>
      <c r="E9" s="151" t="n">
        <v>18004034.2271816</v>
      </c>
      <c r="F9" s="151" t="n"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3" t="n">
        <v>22160667.1184206</v>
      </c>
      <c r="F10" s="153" t="n">
        <v>151084.142402353</v>
      </c>
      <c r="G10" s="67" t="n">
        <f aca="false">E10-F10*0.7</f>
        <v>22054908.218739</v>
      </c>
      <c r="H10" s="67" t="s">
        <v>210</v>
      </c>
      <c r="I10" s="162" t="n">
        <f aca="false">AVERAGE(I3:I8)</f>
        <v>3.82358667172555</v>
      </c>
      <c r="J10" s="67" t="n">
        <f aca="false">G10*3.8235866717</f>
        <v>84328853.1107371</v>
      </c>
      <c r="K10" s="9" t="s">
        <v>210</v>
      </c>
      <c r="L10" s="162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3" t="n">
        <v>20241475.2040363</v>
      </c>
      <c r="F11" s="153" t="n"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76995316.5982303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3" t="n">
        <v>23722644.8086565</v>
      </c>
      <c r="F12" s="153" t="n"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65" t="s">
        <v>211</v>
      </c>
      <c r="B13" s="65" t="n">
        <v>2016</v>
      </c>
      <c r="C13" s="5" t="n">
        <v>1</v>
      </c>
      <c r="D13" s="65" t="n">
        <v>165</v>
      </c>
      <c r="E13" s="151" t="n">
        <v>19331318.9269655</v>
      </c>
      <c r="F13" s="151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3" t="n">
        <v>22042352.8766765</v>
      </c>
      <c r="F14" s="153" t="n">
        <v>141764.810127232</v>
      </c>
      <c r="G14" s="67" t="n">
        <f aca="false">E14-F14*0.7</f>
        <v>21943117.5095874</v>
      </c>
      <c r="H14" s="67" t="n">
        <v>78650764</v>
      </c>
      <c r="I14" s="67"/>
      <c r="J14" s="67" t="n">
        <f aca="false">G14*3.8235866717</f>
        <v>83901411.6452054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3" t="n">
        <v>19232651.4142766</v>
      </c>
      <c r="F15" s="153" t="n">
        <v>144189.0349691</v>
      </c>
      <c r="G15" s="67" t="n">
        <f aca="false">E15-F15*0.7</f>
        <v>19131719.0897982</v>
      </c>
      <c r="H15" s="67" t="n">
        <v>72210474</v>
      </c>
      <c r="I15" s="67"/>
      <c r="J15" s="67" t="n">
        <f aca="false">G15*3.8235866717</f>
        <v>73151786.118461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3" t="n">
        <v>22573512.1008919</v>
      </c>
      <c r="F16" s="153" t="n"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65"/>
      <c r="B17" s="65" t="n">
        <v>2017</v>
      </c>
      <c r="C17" s="5" t="n">
        <v>1</v>
      </c>
      <c r="D17" s="65" t="n">
        <v>169</v>
      </c>
      <c r="E17" s="151" t="n">
        <v>19517575.3041269</v>
      </c>
      <c r="F17" s="151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3" t="n">
        <v>23345722.4547066</v>
      </c>
      <c r="F18" s="153" t="n">
        <v>131002.673091904</v>
      </c>
      <c r="G18" s="67" t="n">
        <f aca="false">E18-F18*0.7</f>
        <v>23254020.5835423</v>
      </c>
      <c r="H18" s="67" t="n">
        <v>80479757</v>
      </c>
      <c r="I18" s="67"/>
      <c r="J18" s="67" t="n">
        <f aca="false">G18*3.8235866717</f>
        <v>88913763.1666697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3" t="n">
        <v>20685758.7576831</v>
      </c>
      <c r="F19" s="153" t="n"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3" t="n">
        <v>24447912.8962081</v>
      </c>
      <c r="F20" s="153" t="n">
        <v>143698.094559182</v>
      </c>
      <c r="G20" s="67" t="n">
        <f aca="false">E20-F20*0.7</f>
        <v>24347324.2300167</v>
      </c>
      <c r="H20" s="67" t="n">
        <v>82408987.5633976</v>
      </c>
      <c r="I20" s="67"/>
      <c r="J20" s="67" t="n">
        <f aca="false">G20*3.8235866717</f>
        <v>93094104.4174502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65"/>
      <c r="B21" s="65" t="n">
        <v>2018</v>
      </c>
      <c r="C21" s="5" t="n">
        <v>1</v>
      </c>
      <c r="D21" s="65" t="n">
        <v>173</v>
      </c>
      <c r="E21" s="151" t="n">
        <v>19576875.4819577</v>
      </c>
      <c r="F21" s="151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3" t="n">
        <v>22220331.7878667</v>
      </c>
      <c r="F22" s="153" t="n">
        <v>124241.716375217</v>
      </c>
      <c r="G22" s="67" t="n">
        <f aca="false">E22-F22*0.7</f>
        <v>22133362.586404</v>
      </c>
      <c r="H22" s="67"/>
      <c r="I22" s="67"/>
      <c r="J22" s="67" t="n">
        <f aca="false">G22*3.8235866717</f>
        <v>84628830.185278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3" t="n">
        <v>18303228.2314871</v>
      </c>
      <c r="F23" s="153" t="n">
        <v>112437.805475858</v>
      </c>
      <c r="G23" s="67" t="n">
        <f aca="false">E23-F23*0.7</f>
        <v>18224521.767654</v>
      </c>
      <c r="H23" s="67"/>
      <c r="I23" s="67"/>
      <c r="J23" s="67" t="n">
        <f aca="false">G23*3.8235866717</f>
        <v>69683038.5289084</v>
      </c>
      <c r="K23" s="9"/>
      <c r="L23" s="67"/>
      <c r="M23" s="67" t="n">
        <f aca="false">F23*2.511711692</f>
        <v>282411.350636534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3" t="n">
        <v>19977202.5851151</v>
      </c>
      <c r="F24" s="153" t="n">
        <v>111506.752176317</v>
      </c>
      <c r="G24" s="67" t="n">
        <f aca="false">E24-F24*0.7</f>
        <v>19899147.8585917</v>
      </c>
      <c r="H24" s="67"/>
      <c r="I24" s="67"/>
      <c r="J24" s="67" t="n">
        <f aca="false">G24*3.8235866717</f>
        <v>76086116.5302987</v>
      </c>
      <c r="K24" s="9"/>
      <c r="L24" s="67"/>
      <c r="M24" s="67" t="n">
        <f aca="false">F24*2.511711692</f>
        <v>280072.813178202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65"/>
      <c r="B25" s="65" t="n">
        <v>2019</v>
      </c>
      <c r="C25" s="5" t="n">
        <v>1</v>
      </c>
      <c r="D25" s="65" t="n">
        <v>177</v>
      </c>
      <c r="E25" s="151" t="n">
        <v>15764510.7437682</v>
      </c>
      <c r="F25" s="151" t="n">
        <v>110880.502040839</v>
      </c>
      <c r="G25" s="8" t="n">
        <f aca="false">E25-F25*0.7</f>
        <v>15686894.3923396</v>
      </c>
      <c r="H25" s="8"/>
      <c r="I25" s="8"/>
      <c r="J25" s="8" t="n">
        <f aca="false">G25*3.8235866717</f>
        <v>59980200.3189152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3" t="n">
        <v>18677475.2114242</v>
      </c>
      <c r="F26" s="153" t="n">
        <v>107138.286006879</v>
      </c>
      <c r="G26" s="67" t="n">
        <f aca="false">E26-F26*0.7</f>
        <v>18602478.4112194</v>
      </c>
      <c r="H26" s="67" t="n">
        <v>1000</v>
      </c>
      <c r="I26" s="67"/>
      <c r="J26" s="67" t="n">
        <f aca="false">G26*3.8235866717</f>
        <v>71128188.5137255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3" t="n">
        <v>15850842.8987865</v>
      </c>
      <c r="F27" s="153" t="n">
        <v>108417.698425432</v>
      </c>
      <c r="G27" s="67" t="n">
        <f aca="false">E27-F27*0.7</f>
        <v>15774950.5098887</v>
      </c>
      <c r="H27" s="67"/>
      <c r="I27" s="67"/>
      <c r="J27" s="67" t="n">
        <f aca="false">G27*3.8235866717</f>
        <v>60316890.5163375</v>
      </c>
      <c r="K27" s="9"/>
      <c r="L27" s="67"/>
      <c r="M27" s="67" t="n">
        <f aca="false">F27*2.511711692</f>
        <v>272314.000754888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3" t="n">
        <v>17842067.8135889</v>
      </c>
      <c r="F28" s="153" t="n">
        <v>110746.114118815</v>
      </c>
      <c r="G28" s="67" t="n">
        <f aca="false">E28-F28*0.7</f>
        <v>17764545.5337057</v>
      </c>
      <c r="H28" s="67"/>
      <c r="I28" s="67"/>
      <c r="J28" s="67" t="n">
        <f aca="false">G28*3.8235866717</f>
        <v>67924279.531485</v>
      </c>
      <c r="K28" s="9"/>
      <c r="L28" s="67"/>
      <c r="M28" s="67" t="n">
        <f aca="false">F28*2.511711692</f>
        <v>278162.309675794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65"/>
      <c r="B29" s="65" t="n">
        <v>2020</v>
      </c>
      <c r="C29" s="5" t="n">
        <v>1</v>
      </c>
      <c r="D29" s="65" t="n">
        <v>181</v>
      </c>
      <c r="E29" s="151" t="n">
        <v>14477872.5352357</v>
      </c>
      <c r="F29" s="151" t="n">
        <v>116909.630505511</v>
      </c>
      <c r="G29" s="8" t="n">
        <f aca="false">E29-F29*0.7</f>
        <v>14396035.7938818</v>
      </c>
      <c r="H29" s="8"/>
      <c r="I29" s="8"/>
      <c r="J29" s="8" t="n">
        <f aca="false">G29*3.8235866717</f>
        <v>55044490.5868027</v>
      </c>
      <c r="K29" s="6"/>
      <c r="L29" s="8"/>
      <c r="M29" s="8" t="n">
        <f aca="false">F29*2.511711692</f>
        <v>293643.285848092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3" t="n">
        <v>16172301.0775917</v>
      </c>
      <c r="F30" s="153" t="n">
        <v>104300.087484424</v>
      </c>
      <c r="G30" s="67" t="n">
        <f aca="false">E30-F30*0.7</f>
        <v>16099291.0163526</v>
      </c>
      <c r="H30" s="67"/>
      <c r="I30" s="67"/>
      <c r="J30" s="67" t="n">
        <f aca="false">G30*3.8235866717</f>
        <v>61557034.5539454</v>
      </c>
      <c r="K30" s="9"/>
      <c r="L30" s="67"/>
      <c r="M30" s="67" t="n">
        <f aca="false">F30*2.511711692</f>
        <v>261971.749211251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3" t="n">
        <v>13974359.0005364</v>
      </c>
      <c r="F31" s="153" t="n">
        <v>95948.8427287513</v>
      </c>
      <c r="G31" s="67" t="n">
        <f aca="false">E31-F31*0.7</f>
        <v>13907194.8106263</v>
      </c>
      <c r="H31" s="67"/>
      <c r="I31" s="67"/>
      <c r="J31" s="67" t="n">
        <f aca="false">G31*3.8235866717</f>
        <v>53175364.718646</v>
      </c>
      <c r="K31" s="9"/>
      <c r="L31" s="67"/>
      <c r="M31" s="67" t="n">
        <f aca="false">F31*2.511711692</f>
        <v>240995.830115674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3" t="n">
        <v>16682106.9323612</v>
      </c>
      <c r="F32" s="153" t="n">
        <v>98731.5724379163</v>
      </c>
      <c r="G32" s="67" t="n">
        <f aca="false">E32-F32*0.7</f>
        <v>16612994.8316547</v>
      </c>
      <c r="H32" s="67"/>
      <c r="I32" s="67"/>
      <c r="J32" s="67" t="n">
        <f aca="false">G32*3.8235866717</f>
        <v>63521225.6153357</v>
      </c>
      <c r="K32" s="9"/>
      <c r="L32" s="67"/>
      <c r="M32" s="67" t="n">
        <f aca="false">F32*2.511711692</f>
        <v>247985.244861859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65"/>
      <c r="B33" s="65" t="n">
        <v>2021</v>
      </c>
      <c r="C33" s="5" t="n">
        <v>1</v>
      </c>
      <c r="D33" s="65" t="n">
        <v>185</v>
      </c>
      <c r="E33" s="151" t="n">
        <v>13633446.1182982</v>
      </c>
      <c r="F33" s="151" t="n">
        <v>101483.968453979</v>
      </c>
      <c r="G33" s="8" t="n">
        <f aca="false">E33-F33*0.7</f>
        <v>13562407.3403804</v>
      </c>
      <c r="H33" s="8"/>
      <c r="I33" s="8"/>
      <c r="J33" s="8" t="n">
        <f aca="false">G33*3.8235866717</f>
        <v>51857039.9428448</v>
      </c>
      <c r="K33" s="6"/>
      <c r="L33" s="8"/>
      <c r="M33" s="8" t="n">
        <f aca="false">F33*2.511711692</f>
        <v>254898.470116418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3" t="n">
        <v>16806707.9191774</v>
      </c>
      <c r="F34" s="153" t="n">
        <v>104558.37113683</v>
      </c>
      <c r="G34" s="67" t="n">
        <f aca="false">E34-F34*0.7</f>
        <v>16733517.0593816</v>
      </c>
      <c r="H34" s="67"/>
      <c r="I34" s="67"/>
      <c r="J34" s="67" t="n">
        <f aca="false">G34*3.8235866717</f>
        <v>63982052.7989162</v>
      </c>
      <c r="K34" s="9"/>
      <c r="L34" s="67"/>
      <c r="M34" s="67" t="n">
        <f aca="false">F34*2.511711692</f>
        <v>262620.483280851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3" t="n">
        <v>15258520.4873187</v>
      </c>
      <c r="F35" s="153" t="n">
        <v>110023.97744833</v>
      </c>
      <c r="G35" s="67" t="n">
        <f aca="false">E35-F35*0.7</f>
        <v>15181503.7031049</v>
      </c>
      <c r="H35" s="67"/>
      <c r="I35" s="67"/>
      <c r="J35" s="67" t="n">
        <f aca="false">G35*3.8235866717</f>
        <v>58047795.215556</v>
      </c>
      <c r="K35" s="9"/>
      <c r="L35" s="67"/>
      <c r="M35" s="67" t="n">
        <f aca="false">F35*2.511711692</f>
        <v>276348.510557315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3" t="n">
        <v>18786015.5204346</v>
      </c>
      <c r="F36" s="153" t="n">
        <v>116252.473841632</v>
      </c>
      <c r="G36" s="67" t="n">
        <f aca="false">E36-F36*0.7</f>
        <v>18704638.7887455</v>
      </c>
      <c r="H36" s="67"/>
      <c r="I36" s="67"/>
      <c r="J36" s="67" t="n">
        <f aca="false">G36*3.8235866717</f>
        <v>71518807.57161</v>
      </c>
      <c r="K36" s="9"/>
      <c r="L36" s="67"/>
      <c r="M36" s="67" t="n">
        <f aca="false">F36*2.511711692</f>
        <v>291992.697771951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65"/>
      <c r="B37" s="65" t="n">
        <v>2022</v>
      </c>
      <c r="C37" s="5" t="n">
        <v>1</v>
      </c>
      <c r="D37" s="65" t="n">
        <v>189</v>
      </c>
      <c r="E37" s="151" t="n">
        <v>15014983.182647</v>
      </c>
      <c r="F37" s="151" t="n">
        <v>119609.110142928</v>
      </c>
      <c r="G37" s="8" t="n">
        <f aca="false">E37-F37*0.7</f>
        <v>14931256.8055469</v>
      </c>
      <c r="H37" s="8"/>
      <c r="I37" s="8"/>
      <c r="J37" s="8" t="n">
        <f aca="false">G37*3.8235866717</f>
        <v>57090954.5134192</v>
      </c>
      <c r="K37" s="6"/>
      <c r="L37" s="8"/>
      <c r="M37" s="8" t="n">
        <f aca="false">F37*2.511711692</f>
        <v>300423.600415708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3" t="n">
        <v>18284308.6581458</v>
      </c>
      <c r="F38" s="153" t="n">
        <v>121097.323360236</v>
      </c>
      <c r="G38" s="67" t="n">
        <f aca="false">E38-F38*0.7</f>
        <v>18199540.5317936</v>
      </c>
      <c r="H38" s="67"/>
      <c r="I38" s="67"/>
      <c r="J38" s="67" t="n">
        <f aca="false">G38*3.8235866717</f>
        <v>69587520.6084301</v>
      </c>
      <c r="K38" s="9"/>
      <c r="L38" s="67"/>
      <c r="M38" s="67" t="n">
        <f aca="false">F38*2.511711692</f>
        <v>304161.56295381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3" t="n">
        <v>15965258.8571957</v>
      </c>
      <c r="F39" s="153" t="n">
        <v>127584.454102612</v>
      </c>
      <c r="G39" s="67" t="n">
        <f aca="false">E39-F39*0.7</f>
        <v>15875949.7393239</v>
      </c>
      <c r="H39" s="67"/>
      <c r="I39" s="67"/>
      <c r="J39" s="67" t="n">
        <f aca="false">G39*3.8235866717</f>
        <v>60703069.8238579</v>
      </c>
      <c r="K39" s="9"/>
      <c r="L39" s="67"/>
      <c r="M39" s="67" t="n">
        <f aca="false">F39*2.511711692</f>
        <v>320455.365086968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3" t="n">
        <v>19077360.6121512</v>
      </c>
      <c r="F40" s="153" t="n">
        <v>133247.930899258</v>
      </c>
      <c r="G40" s="67" t="n">
        <f aca="false">E40-F40*0.7</f>
        <v>18984087.0605217</v>
      </c>
      <c r="H40" s="67"/>
      <c r="I40" s="67"/>
      <c r="J40" s="67" t="n">
        <f aca="false">G40*3.8235866717</f>
        <v>72587302.2590033</v>
      </c>
      <c r="K40" s="9"/>
      <c r="L40" s="67"/>
      <c r="M40" s="67" t="n">
        <f aca="false">F40*2.511711692</f>
        <v>334680.385974474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65"/>
      <c r="B41" s="65" t="n">
        <v>2023</v>
      </c>
      <c r="C41" s="5" t="n">
        <v>1</v>
      </c>
      <c r="D41" s="65" t="n">
        <v>193</v>
      </c>
      <c r="E41" s="151" t="n">
        <v>16097276.6011006</v>
      </c>
      <c r="F41" s="151" t="n">
        <v>134561.42159583</v>
      </c>
      <c r="G41" s="8" t="n">
        <f aca="false">E41-F41*0.7</f>
        <v>16003083.6059835</v>
      </c>
      <c r="H41" s="8"/>
      <c r="I41" s="8"/>
      <c r="J41" s="8" t="n">
        <f aca="false">G41*3.8235866717</f>
        <v>61189177.1819394</v>
      </c>
      <c r="K41" s="6"/>
      <c r="L41" s="8"/>
      <c r="M41" s="8" t="n">
        <f aca="false">F41*2.511711692</f>
        <v>337979.495914387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3" t="n">
        <v>19171244.1285514</v>
      </c>
      <c r="F42" s="153" t="n">
        <v>132902.227237141</v>
      </c>
      <c r="G42" s="67" t="n">
        <f aca="false">E42-F42*0.7</f>
        <v>19078212.5694854</v>
      </c>
      <c r="H42" s="67"/>
      <c r="I42" s="67"/>
      <c r="J42" s="67" t="n">
        <f aca="false">G42*3.8235866717</f>
        <v>72947199.3005438</v>
      </c>
      <c r="K42" s="9"/>
      <c r="L42" s="67"/>
      <c r="M42" s="67" t="n">
        <f aca="false">F42*2.511711692</f>
        <v>333812.078044368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3" t="n">
        <v>16760201.8426453</v>
      </c>
      <c r="F43" s="153" t="n">
        <v>130897.67832982</v>
      </c>
      <c r="G43" s="67" t="n">
        <f aca="false">E43-F43*0.7</f>
        <v>16668573.4678144</v>
      </c>
      <c r="H43" s="67"/>
      <c r="I43" s="67"/>
      <c r="J43" s="67" t="n">
        <f aca="false">G43*3.8235866717</f>
        <v>63733735.3477875</v>
      </c>
      <c r="K43" s="9"/>
      <c r="L43" s="67"/>
      <c r="M43" s="67" t="n">
        <f aca="false">F43*2.511711692</f>
        <v>328777.229116664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3" t="n">
        <v>20010607.2860065</v>
      </c>
      <c r="F44" s="153" t="n">
        <v>129801.587088652</v>
      </c>
      <c r="G44" s="67" t="n">
        <f aca="false">E44-F44*0.7</f>
        <v>19919746.1750444</v>
      </c>
      <c r="H44" s="67"/>
      <c r="I44" s="67"/>
      <c r="J44" s="67" t="n">
        <f aca="false">G44*3.8235866717</f>
        <v>76164875.978547</v>
      </c>
      <c r="K44" s="9"/>
      <c r="L44" s="67"/>
      <c r="M44" s="67" t="n">
        <f aca="false">F44*2.511711692</f>
        <v>326024.163930723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65"/>
      <c r="B45" s="65" t="n">
        <v>2024</v>
      </c>
      <c r="C45" s="5" t="n">
        <v>1</v>
      </c>
      <c r="D45" s="65" t="n">
        <v>197</v>
      </c>
      <c r="E45" s="151" t="n">
        <v>16865067.3150653</v>
      </c>
      <c r="F45" s="151" t="n">
        <v>129949.553663499</v>
      </c>
      <c r="G45" s="8" t="n">
        <f aca="false">E45-F45*0.7</f>
        <v>16774102.6275009</v>
      </c>
      <c r="H45" s="8"/>
      <c r="I45" s="8"/>
      <c r="J45" s="8" t="n">
        <f aca="false">G45*3.8235866717</f>
        <v>64137235.2362402</v>
      </c>
      <c r="K45" s="6"/>
      <c r="L45" s="8"/>
      <c r="M45" s="8" t="n">
        <f aca="false">F45*2.511711692</f>
        <v>326395.813306792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3" t="n">
        <v>20170639.5370008</v>
      </c>
      <c r="F46" s="153" t="n">
        <v>136747.386811614</v>
      </c>
      <c r="G46" s="67" t="n">
        <f aca="false">E46-F46*0.7</f>
        <v>20074916.3662327</v>
      </c>
      <c r="H46" s="67"/>
      <c r="I46" s="67"/>
      <c r="J46" s="67" t="n">
        <f aca="false">G46*3.8235866717</f>
        <v>76758182.6534194</v>
      </c>
      <c r="K46" s="9"/>
      <c r="L46" s="67"/>
      <c r="M46" s="67" t="n">
        <f aca="false">F46*2.511711692</f>
        <v>343470.010305177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3" t="n">
        <v>17536862.1992306</v>
      </c>
      <c r="F47" s="153" t="n">
        <v>131534.598542847</v>
      </c>
      <c r="G47" s="67" t="n">
        <f aca="false">E47-F47*0.7</f>
        <v>17444787.9802506</v>
      </c>
      <c r="H47" s="67"/>
      <c r="I47" s="67"/>
      <c r="J47" s="67" t="n">
        <f aca="false">G47*3.8235866717</f>
        <v>66701658.8119186</v>
      </c>
      <c r="K47" s="9"/>
      <c r="L47" s="67"/>
      <c r="M47" s="67" t="n">
        <f aca="false">F47*2.511711692</f>
        <v>330376.989062595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3" t="n">
        <v>20833967.5678549</v>
      </c>
      <c r="F48" s="153" t="n">
        <v>131639.781179261</v>
      </c>
      <c r="G48" s="67" t="n">
        <f aca="false">E48-F48*0.7</f>
        <v>20741819.7210294</v>
      </c>
      <c r="H48" s="67"/>
      <c r="I48" s="67"/>
      <c r="J48" s="67" t="n">
        <f aca="false">G48*3.8235866717</f>
        <v>79308145.4321323</v>
      </c>
      <c r="K48" s="9"/>
      <c r="L48" s="67"/>
      <c r="M48" s="67" t="n">
        <f aca="false">F48*2.511711692</f>
        <v>330641.177520271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65"/>
      <c r="B49" s="65" t="n">
        <v>2025</v>
      </c>
      <c r="C49" s="5" t="n">
        <v>1</v>
      </c>
      <c r="D49" s="65" t="n">
        <v>201</v>
      </c>
      <c r="E49" s="151" t="n">
        <v>17667708.662152</v>
      </c>
      <c r="F49" s="151" t="n">
        <v>139333.765584613</v>
      </c>
      <c r="G49" s="8" t="n">
        <f aca="false">E49-F49*0.7</f>
        <v>17570175.0262428</v>
      </c>
      <c r="H49" s="8"/>
      <c r="I49" s="8"/>
      <c r="J49" s="8" t="n">
        <f aca="false">G49*3.8235866717</f>
        <v>67181087.0497781</v>
      </c>
      <c r="K49" s="6"/>
      <c r="L49" s="8"/>
      <c r="M49" s="8" t="n">
        <f aca="false">F49*2.511711692</f>
        <v>349966.24810926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3" t="n">
        <v>21109846.7995798</v>
      </c>
      <c r="F50" s="153" t="n">
        <v>136218.15107575</v>
      </c>
      <c r="G50" s="67" t="n">
        <f aca="false">E50-F50*0.7</f>
        <v>21014494.0938268</v>
      </c>
      <c r="H50" s="67"/>
      <c r="I50" s="67"/>
      <c r="J50" s="67" t="n">
        <f aca="false">G50*3.8235866717</f>
        <v>80350739.5296744</v>
      </c>
      <c r="K50" s="9"/>
      <c r="L50" s="67"/>
      <c r="M50" s="67" t="n">
        <f aca="false">F50*2.511711692</f>
        <v>342140.722719584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3" t="n">
        <v>18208491.8729415</v>
      </c>
      <c r="F51" s="153" t="n">
        <v>140257.749395673</v>
      </c>
      <c r="G51" s="67" t="n">
        <f aca="false">E51-F51*0.7</f>
        <v>18110311.4483645</v>
      </c>
      <c r="H51" s="67"/>
      <c r="I51" s="67"/>
      <c r="J51" s="67" t="n">
        <f aca="false">G51*3.8235866717</f>
        <v>69246345.4743025</v>
      </c>
      <c r="K51" s="9"/>
      <c r="L51" s="67"/>
      <c r="M51" s="67" t="n">
        <f aca="false">F51*2.511711692</f>
        <v>352287.029050718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3" t="n">
        <v>21570115.7767961</v>
      </c>
      <c r="F52" s="153" t="n">
        <v>141069.622637299</v>
      </c>
      <c r="G52" s="67" t="n">
        <f aca="false">E52-F52*0.7</f>
        <v>21471367.04095</v>
      </c>
      <c r="H52" s="67"/>
      <c r="I52" s="67"/>
      <c r="J52" s="67" t="n">
        <f aca="false">G52*3.8235866717</f>
        <v>82097632.8409551</v>
      </c>
      <c r="K52" s="9"/>
      <c r="L52" s="67"/>
      <c r="M52" s="67" t="n">
        <f aca="false">F52*2.511711692</f>
        <v>354326.220564132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65"/>
      <c r="B53" s="65" t="n">
        <v>2026</v>
      </c>
      <c r="C53" s="5" t="n">
        <v>1</v>
      </c>
      <c r="D53" s="65" t="n">
        <v>205</v>
      </c>
      <c r="E53" s="151" t="n">
        <v>18427012.6546315</v>
      </c>
      <c r="F53" s="151" t="n">
        <v>143986.687958143</v>
      </c>
      <c r="G53" s="8" t="n">
        <f aca="false">E53-F53*0.7</f>
        <v>18326221.9730608</v>
      </c>
      <c r="H53" s="8"/>
      <c r="I53" s="8"/>
      <c r="J53" s="8" t="n">
        <f aca="false">G53*3.8235866717</f>
        <v>70071898.078811</v>
      </c>
      <c r="K53" s="6"/>
      <c r="L53" s="8"/>
      <c r="M53" s="8" t="n">
        <f aca="false">F53*2.511711692</f>
        <v>361653.047636823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3" t="n">
        <v>21993790.3889987</v>
      </c>
      <c r="F54" s="153" t="n">
        <v>138884.136317412</v>
      </c>
      <c r="G54" s="67" t="n">
        <f aca="false">E54-F54*0.7</f>
        <v>21896571.4935765</v>
      </c>
      <c r="H54" s="67"/>
      <c r="I54" s="67"/>
      <c r="J54" s="67" t="n">
        <f aca="false">G54*3.8235866717</f>
        <v>83723438.9187653</v>
      </c>
      <c r="K54" s="9"/>
      <c r="L54" s="67"/>
      <c r="M54" s="67" t="n">
        <f aca="false">F54*2.511711692</f>
        <v>348836.909021766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3" t="n">
        <v>19053963.8207427</v>
      </c>
      <c r="F55" s="153" t="n">
        <v>136753.104214329</v>
      </c>
      <c r="G55" s="67" t="n">
        <f aca="false">E55-F55*0.7</f>
        <v>18958236.6477927</v>
      </c>
      <c r="H55" s="67"/>
      <c r="I55" s="67"/>
      <c r="J55" s="67" t="n">
        <f aca="false">G55*3.8235866717</f>
        <v>72488460.9654346</v>
      </c>
      <c r="K55" s="9"/>
      <c r="L55" s="67"/>
      <c r="M55" s="67" t="n">
        <f aca="false">F55*2.511711692</f>
        <v>343484.370772425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3" t="n">
        <v>22476530.1521552</v>
      </c>
      <c r="F56" s="153" t="n">
        <v>139982.257263846</v>
      </c>
      <c r="G56" s="67" t="n">
        <f aca="false">E56-F56*0.7</f>
        <v>22378542.5720705</v>
      </c>
      <c r="H56" s="67"/>
      <c r="I56" s="67"/>
      <c r="J56" s="67" t="n">
        <f aca="false">G56*3.8235866717</f>
        <v>85566297.1106398</v>
      </c>
      <c r="K56" s="9"/>
      <c r="L56" s="67"/>
      <c r="M56" s="67" t="n">
        <f aca="false">F56*2.511711692</f>
        <v>351595.072242154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65"/>
      <c r="B57" s="65" t="n">
        <v>2027</v>
      </c>
      <c r="C57" s="5" t="n">
        <v>1</v>
      </c>
      <c r="D57" s="65" t="n">
        <v>209</v>
      </c>
      <c r="E57" s="151" t="n">
        <v>19286706.055427</v>
      </c>
      <c r="F57" s="151" t="n">
        <v>141637.275265987</v>
      </c>
      <c r="G57" s="8" t="n">
        <f aca="false">E57-F57*0.7</f>
        <v>19187559.9627408</v>
      </c>
      <c r="H57" s="8"/>
      <c r="I57" s="8"/>
      <c r="J57" s="8" t="n">
        <f aca="false">G57*3.8235866717</f>
        <v>73365298.5359803</v>
      </c>
      <c r="K57" s="6"/>
      <c r="L57" s="8"/>
      <c r="M57" s="8" t="n">
        <f aca="false">F57*2.511711692</f>
        <v>355752.000308602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3" t="n">
        <v>22970760.4854426</v>
      </c>
      <c r="F58" s="153" t="n">
        <v>137978.912850517</v>
      </c>
      <c r="G58" s="67" t="n">
        <f aca="false">E58-F58*0.7</f>
        <v>22874175.2464472</v>
      </c>
      <c r="H58" s="67"/>
      <c r="I58" s="67"/>
      <c r="J58" s="67" t="n">
        <f aca="false">G58*3.8235866717</f>
        <v>87461391.5984457</v>
      </c>
      <c r="K58" s="9"/>
      <c r="L58" s="67"/>
      <c r="M58" s="67" t="n">
        <f aca="false">F58*2.511711692</f>
        <v>346563.248656093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3" t="n">
        <v>19883861.307459</v>
      </c>
      <c r="F59" s="153" t="n">
        <v>137244.607528205</v>
      </c>
      <c r="G59" s="67" t="n">
        <f aca="false">E59-F59*0.7</f>
        <v>19787790.0821893</v>
      </c>
      <c r="H59" s="67"/>
      <c r="I59" s="67"/>
      <c r="J59" s="67" t="n">
        <f aca="false">G59*3.8235866717</f>
        <v>75660330.4206563</v>
      </c>
      <c r="K59" s="9"/>
      <c r="L59" s="67"/>
      <c r="M59" s="67" t="n">
        <f aca="false">F59*2.511711692</f>
        <v>344718.885392544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3" t="n">
        <v>23618585.6851216</v>
      </c>
      <c r="F60" s="153" t="n">
        <v>142631.790516127</v>
      </c>
      <c r="G60" s="67" t="n">
        <f aca="false">E60-F60*0.7</f>
        <v>23518743.4317603</v>
      </c>
      <c r="H60" s="67"/>
      <c r="I60" s="67"/>
      <c r="J60" s="67" t="n">
        <f aca="false">G60*3.8235866717</f>
        <v>89925953.9208107</v>
      </c>
      <c r="K60" s="9"/>
      <c r="L60" s="67"/>
      <c r="M60" s="67" t="n">
        <f aca="false">F60*2.511711692</f>
        <v>358249.935890251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65"/>
      <c r="B61" s="65" t="n">
        <v>2028</v>
      </c>
      <c r="C61" s="5" t="n">
        <v>1</v>
      </c>
      <c r="D61" s="65" t="n">
        <v>213</v>
      </c>
      <c r="E61" s="151" t="n">
        <v>20198360.2898246</v>
      </c>
      <c r="F61" s="151" t="n">
        <v>144690.339563122</v>
      </c>
      <c r="G61" s="8" t="n">
        <f aca="false">E61-F61*0.7</f>
        <v>20097077.0521304</v>
      </c>
      <c r="H61" s="8"/>
      <c r="I61" s="8"/>
      <c r="J61" s="8" t="n">
        <f aca="false">G61*3.8235866717</f>
        <v>76842915.9566538</v>
      </c>
      <c r="K61" s="6"/>
      <c r="L61" s="8"/>
      <c r="M61" s="8" t="n">
        <f aca="false">F61*2.511711692</f>
        <v>363420.417600144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3" t="n">
        <v>23883270.4189865</v>
      </c>
      <c r="F62" s="153" t="n">
        <v>147397.36933089</v>
      </c>
      <c r="G62" s="67" t="n">
        <f aca="false">E62-F62*0.7</f>
        <v>23780092.2604549</v>
      </c>
      <c r="H62" s="67"/>
      <c r="I62" s="67"/>
      <c r="J62" s="67" t="n">
        <f aca="false">G62*3.8235866717</f>
        <v>90925243.8188716</v>
      </c>
      <c r="K62" s="9"/>
      <c r="L62" s="67"/>
      <c r="M62" s="67" t="n">
        <f aca="false">F62*2.511711692</f>
        <v>370219.695918439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3" t="n">
        <v>20631636.0858686</v>
      </c>
      <c r="F63" s="153" t="n">
        <v>148597.156082954</v>
      </c>
      <c r="G63" s="67" t="n">
        <f aca="false">E63-F63*0.7</f>
        <v>20527618.0766105</v>
      </c>
      <c r="H63" s="67"/>
      <c r="I63" s="67"/>
      <c r="J63" s="67" t="n">
        <f aca="false">G63*3.8235866717</f>
        <v>78489126.879476</v>
      </c>
      <c r="K63" s="9"/>
      <c r="L63" s="67"/>
      <c r="M63" s="67" t="n">
        <f aca="false">F63*2.511711692</f>
        <v>373233.214331504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3" t="n">
        <v>24500660.3021394</v>
      </c>
      <c r="F64" s="153" t="n">
        <v>148877.438426205</v>
      </c>
      <c r="G64" s="67" t="n">
        <f aca="false">E64-F64*0.7</f>
        <v>24396446.0952411</v>
      </c>
      <c r="H64" s="67"/>
      <c r="I64" s="67"/>
      <c r="J64" s="67" t="n">
        <f aca="false">G64*3.8235866717</f>
        <v>93281926.1266112</v>
      </c>
      <c r="K64" s="9"/>
      <c r="L64" s="67"/>
      <c r="M64" s="67" t="n">
        <f aca="false">F64*2.511711692</f>
        <v>373937.202770109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65"/>
      <c r="B65" s="65" t="n">
        <v>2029</v>
      </c>
      <c r="C65" s="5" t="n">
        <v>1</v>
      </c>
      <c r="D65" s="65" t="n">
        <v>217</v>
      </c>
      <c r="E65" s="151" t="n">
        <v>21036130.867389</v>
      </c>
      <c r="F65" s="151" t="n">
        <v>146045.905864917</v>
      </c>
      <c r="G65" s="8" t="n">
        <f aca="false">E65-F65*0.7</f>
        <v>20933898.7332836</v>
      </c>
      <c r="H65" s="8"/>
      <c r="I65" s="8"/>
      <c r="J65" s="8" t="n">
        <f aca="false">G65*3.8235866717</f>
        <v>80042576.1833005</v>
      </c>
      <c r="K65" s="6"/>
      <c r="L65" s="8"/>
      <c r="M65" s="8" t="n">
        <f aca="false">F65*2.511711692</f>
        <v>366825.209329643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3" t="n">
        <v>24854206.5642701</v>
      </c>
      <c r="F66" s="153" t="n">
        <v>152008.971786277</v>
      </c>
      <c r="G66" s="67" t="n">
        <f aca="false">E66-F66*0.7</f>
        <v>24747800.2840197</v>
      </c>
      <c r="H66" s="67"/>
      <c r="I66" s="67"/>
      <c r="J66" s="67" t="n">
        <f aca="false">G66*3.8235866717</f>
        <v>94625359.3198712</v>
      </c>
      <c r="K66" s="9"/>
      <c r="L66" s="67"/>
      <c r="M66" s="67" t="n">
        <f aca="false">F66*2.511711692</f>
        <v>381802.71172449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3" t="n">
        <v>21594349.0930771</v>
      </c>
      <c r="F67" s="153" t="n">
        <v>148884.357589235</v>
      </c>
      <c r="G67" s="67" t="n">
        <f aca="false">E67-F67*0.7</f>
        <v>21490130.0427646</v>
      </c>
      <c r="H67" s="67"/>
      <c r="I67" s="67"/>
      <c r="J67" s="67" t="n">
        <f aca="false">G67*3.8235866717</f>
        <v>82169374.8046146</v>
      </c>
      <c r="K67" s="9"/>
      <c r="L67" s="67"/>
      <c r="M67" s="67" t="n">
        <f aca="false">F67*2.511711692</f>
        <v>373954.58171279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3" t="n">
        <v>25530736.7188401</v>
      </c>
      <c r="F68" s="153" t="n">
        <v>151215.97251842</v>
      </c>
      <c r="G68" s="67" t="n">
        <f aca="false">E68-F68*0.7</f>
        <v>25424885.5380772</v>
      </c>
      <c r="H68" s="67"/>
      <c r="I68" s="67"/>
      <c r="J68" s="67" t="n">
        <f aca="false">G68*3.8235866717</f>
        <v>97214253.4728901</v>
      </c>
      <c r="K68" s="9"/>
      <c r="L68" s="67"/>
      <c r="M68" s="67" t="n">
        <f aca="false">F68*2.511711692</f>
        <v>379810.926191666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65"/>
      <c r="B69" s="65" t="n">
        <v>2030</v>
      </c>
      <c r="C69" s="5" t="n">
        <v>1</v>
      </c>
      <c r="D69" s="65" t="n">
        <v>221</v>
      </c>
      <c r="E69" s="151" t="n">
        <v>21999331.2000312</v>
      </c>
      <c r="F69" s="151" t="n">
        <v>152079.331049635</v>
      </c>
      <c r="G69" s="8" t="n">
        <f aca="false">E69-F69*0.7</f>
        <v>21892875.6682965</v>
      </c>
      <c r="H69" s="8"/>
      <c r="I69" s="8"/>
      <c r="J69" s="8" t="n">
        <f aca="false">G69*3.8235866717</f>
        <v>83709307.6104836</v>
      </c>
      <c r="K69" s="6"/>
      <c r="L69" s="8"/>
      <c r="M69" s="8" t="n">
        <f aca="false">F69*2.511711692</f>
        <v>381979.433908907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3" t="n">
        <v>25905705.6183219</v>
      </c>
      <c r="F70" s="153" t="n">
        <v>148866.976569525</v>
      </c>
      <c r="G70" s="67" t="n">
        <f aca="false">E70-F70*0.7</f>
        <v>25801498.7347232</v>
      </c>
      <c r="H70" s="67"/>
      <c r="I70" s="67"/>
      <c r="J70" s="67" t="n">
        <f aca="false">G70*3.8235866717</f>
        <v>98654266.6719722</v>
      </c>
      <c r="K70" s="9"/>
      <c r="L70" s="67"/>
      <c r="M70" s="67" t="n">
        <f aca="false">F70*2.511711692</f>
        <v>373910.925602366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3" t="n">
        <v>22395497.2687652</v>
      </c>
      <c r="F71" s="153" t="n">
        <v>154990.541982352</v>
      </c>
      <c r="G71" s="67" t="n">
        <f aca="false">E71-F71*0.7</f>
        <v>22287003.8893776</v>
      </c>
      <c r="H71" s="67"/>
      <c r="I71" s="67"/>
      <c r="J71" s="67" t="n">
        <f aca="false">G71*3.8235866717</f>
        <v>85216291.0235501</v>
      </c>
      <c r="K71" s="9"/>
      <c r="L71" s="67"/>
      <c r="M71" s="67" t="n">
        <f aca="false">F71*2.511711692</f>
        <v>389291.55644649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3" t="n">
        <v>26669451.4442724</v>
      </c>
      <c r="F72" s="153" t="n">
        <v>149505.716441487</v>
      </c>
      <c r="G72" s="67" t="n">
        <f aca="false">E72-F72*0.7</f>
        <v>26564797.4427634</v>
      </c>
      <c r="H72" s="67"/>
      <c r="I72" s="67"/>
      <c r="J72" s="67" t="n">
        <f aca="false">G72*3.8235866717</f>
        <v>101572805.43856</v>
      </c>
      <c r="K72" s="9"/>
      <c r="L72" s="67"/>
      <c r="M72" s="67" t="n">
        <f aca="false">F72*2.511711692</f>
        <v>375515.256006919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65"/>
      <c r="B73" s="65" t="n">
        <v>2031</v>
      </c>
      <c r="C73" s="5" t="n">
        <v>1</v>
      </c>
      <c r="D73" s="65" t="n">
        <v>225</v>
      </c>
      <c r="E73" s="151" t="n">
        <v>23051259.6663044</v>
      </c>
      <c r="F73" s="151" t="n">
        <v>151424.019657982</v>
      </c>
      <c r="G73" s="8" t="n">
        <f aca="false">E73-F73*0.7</f>
        <v>22945262.8525438</v>
      </c>
      <c r="H73" s="8"/>
      <c r="I73" s="8"/>
      <c r="J73" s="8" t="n">
        <f aca="false">G73*3.8235866717</f>
        <v>87733201.2216396</v>
      </c>
      <c r="K73" s="6"/>
      <c r="L73" s="8"/>
      <c r="M73" s="8" t="n">
        <f aca="false">F73*2.511711692</f>
        <v>380333.480624591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3" t="n">
        <v>26815357.5625516</v>
      </c>
      <c r="F74" s="153" t="n">
        <v>151822.246663959</v>
      </c>
      <c r="G74" s="67" t="n">
        <f aca="false">E74-F74*0.7</f>
        <v>26709081.9898868</v>
      </c>
      <c r="H74" s="67"/>
      <c r="I74" s="67"/>
      <c r="J74" s="67" t="n">
        <f aca="false">G74*3.8235866717</f>
        <v>102124489.909874</v>
      </c>
      <c r="K74" s="9"/>
      <c r="L74" s="67"/>
      <c r="M74" s="67" t="n">
        <f aca="false">F74*2.511711692</f>
        <v>381333.712051574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3" t="n">
        <v>23134110.3054021</v>
      </c>
      <c r="F75" s="153" t="n">
        <v>152668.256343816</v>
      </c>
      <c r="G75" s="67" t="n">
        <f aca="false">E75-F75*0.7</f>
        <v>23027242.5259614</v>
      </c>
      <c r="H75" s="67"/>
      <c r="I75" s="67"/>
      <c r="J75" s="67" t="n">
        <f aca="false">G75*3.8235866717</f>
        <v>88046657.6082696</v>
      </c>
      <c r="K75" s="9"/>
      <c r="L75" s="67"/>
      <c r="M75" s="67" t="n">
        <f aca="false">F75*2.511711692</f>
        <v>383458.644456016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3" t="n">
        <v>27470164.8213182</v>
      </c>
      <c r="F76" s="153" t="n">
        <v>154193.767377933</v>
      </c>
      <c r="G76" s="67" t="n">
        <f aca="false">E76-F76*0.7</f>
        <v>27362229.1841536</v>
      </c>
      <c r="H76" s="67"/>
      <c r="I76" s="67"/>
      <c r="J76" s="67" t="n">
        <f aca="false">G76*3.8235866717</f>
        <v>104621854.816531</v>
      </c>
      <c r="K76" s="9"/>
      <c r="L76" s="67"/>
      <c r="M76" s="67" t="n">
        <f aca="false">F76*2.511711692</f>
        <v>387290.288356682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65"/>
      <c r="B77" s="65" t="n">
        <v>2032</v>
      </c>
      <c r="C77" s="5" t="n">
        <v>1</v>
      </c>
      <c r="D77" s="65" t="n">
        <v>229</v>
      </c>
      <c r="E77" s="151" t="n">
        <v>23510209.7910904</v>
      </c>
      <c r="F77" s="151" t="n">
        <v>157869.825450059</v>
      </c>
      <c r="G77" s="8" t="n">
        <f aca="false">E77-F77*0.7</f>
        <v>23399700.9132754</v>
      </c>
      <c r="H77" s="8"/>
      <c r="I77" s="8"/>
      <c r="J77" s="8" t="n">
        <f aca="false">G77*3.8235866717</f>
        <v>89470784.533766</v>
      </c>
      <c r="K77" s="6"/>
      <c r="L77" s="8"/>
      <c r="M77" s="8" t="n">
        <f aca="false">F77*2.511711692</f>
        <v>396523.486396912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3" t="n">
        <v>27945359.5114574</v>
      </c>
      <c r="F78" s="153" t="n">
        <v>154126.402356755</v>
      </c>
      <c r="G78" s="67" t="n">
        <f aca="false">E78-F78*0.7</f>
        <v>27837471.0298077</v>
      </c>
      <c r="H78" s="67"/>
      <c r="I78" s="67"/>
      <c r="J78" s="67" t="n">
        <f aca="false">G78*3.8235866717</f>
        <v>106438983.203407</v>
      </c>
      <c r="K78" s="9"/>
      <c r="L78" s="67"/>
      <c r="M78" s="67" t="n">
        <f aca="false">F78*2.511711692</f>
        <v>387121.086845358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3" t="n">
        <v>24163048.8442979</v>
      </c>
      <c r="F79" s="153" t="n">
        <v>152078.453083453</v>
      </c>
      <c r="G79" s="67" t="n">
        <f aca="false">E79-F79*0.7</f>
        <v>24056593.9271395</v>
      </c>
      <c r="H79" s="67"/>
      <c r="I79" s="67"/>
      <c r="J79" s="67" t="n">
        <f aca="false">G79*3.8235866717</f>
        <v>91982471.9063097</v>
      </c>
      <c r="K79" s="9"/>
      <c r="L79" s="67"/>
      <c r="M79" s="67" t="n">
        <f aca="false">F79*2.511711692</f>
        <v>381977.228710982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3" t="n">
        <v>28546905.1882845</v>
      </c>
      <c r="F80" s="153" t="n">
        <v>154416.623779945</v>
      </c>
      <c r="G80" s="67" t="n">
        <f aca="false">E80-F80*0.7</f>
        <v>28438813.5516385</v>
      </c>
      <c r="H80" s="67"/>
      <c r="I80" s="67"/>
      <c r="J80" s="67" t="n">
        <f aca="false">G80*3.8235866717</f>
        <v>108738268.455006</v>
      </c>
      <c r="K80" s="9"/>
      <c r="L80" s="67"/>
      <c r="M80" s="67" t="n">
        <f aca="false">F80*2.511711692</f>
        <v>387850.039387253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65"/>
      <c r="B81" s="65" t="n">
        <v>2033</v>
      </c>
      <c r="C81" s="5" t="n">
        <v>1</v>
      </c>
      <c r="D81" s="65" t="n">
        <v>233</v>
      </c>
      <c r="E81" s="151" t="n">
        <v>24369335.0465378</v>
      </c>
      <c r="F81" s="151" t="n">
        <v>158427.818731587</v>
      </c>
      <c r="G81" s="8" t="n">
        <f aca="false">E81-F81*0.7</f>
        <v>24258435.5734257</v>
      </c>
      <c r="H81" s="8"/>
      <c r="I81" s="8"/>
      <c r="J81" s="8" t="n">
        <f aca="false">G81*3.8235866717</f>
        <v>92754230.9348436</v>
      </c>
      <c r="K81" s="6"/>
      <c r="L81" s="8"/>
      <c r="M81" s="8" t="n">
        <f aca="false">F81*2.511711692</f>
        <v>397925.004646184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3" t="n">
        <v>28834163.6978629</v>
      </c>
      <c r="F82" s="153" t="n">
        <v>159257.82147534</v>
      </c>
      <c r="G82" s="67" t="n">
        <f aca="false">E82-F82*0.7</f>
        <v>28722683.2228302</v>
      </c>
      <c r="H82" s="67"/>
      <c r="I82" s="67"/>
      <c r="J82" s="67" t="n">
        <f aca="false">G82*3.8235866717</f>
        <v>109823668.746275</v>
      </c>
      <c r="K82" s="9"/>
      <c r="L82" s="67"/>
      <c r="M82" s="67" t="n">
        <f aca="false">F82*2.511711692</f>
        <v>400009.73224206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3" t="n">
        <v>24995718.7718374</v>
      </c>
      <c r="F83" s="153" t="n">
        <v>158562.956056037</v>
      </c>
      <c r="G83" s="67" t="n">
        <f aca="false">E83-F83*0.7</f>
        <v>24884724.7025982</v>
      </c>
      <c r="H83" s="67"/>
      <c r="I83" s="67"/>
      <c r="J83" s="67" t="n">
        <f aca="false">G83*3.8235866717</f>
        <v>95148901.7017781</v>
      </c>
      <c r="K83" s="9"/>
      <c r="L83" s="67"/>
      <c r="M83" s="67" t="n">
        <f aca="false">F83*2.511711692</f>
        <v>398264.43064403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3" t="n">
        <v>29637262.4220073</v>
      </c>
      <c r="F84" s="153" t="n">
        <v>161675.180576914</v>
      </c>
      <c r="G84" s="67" t="n">
        <f aca="false">E84-F84*0.7</f>
        <v>29524089.7956035</v>
      </c>
      <c r="H84" s="67"/>
      <c r="I84" s="67"/>
      <c r="J84" s="67" t="n">
        <f aca="false">G84*3.8235866717</f>
        <v>112887916.236543</v>
      </c>
      <c r="K84" s="9"/>
      <c r="L84" s="67"/>
      <c r="M84" s="67" t="n">
        <f aca="false">F84*2.511711692</f>
        <v>406081.441361246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65"/>
      <c r="B85" s="65" t="n">
        <v>2034</v>
      </c>
      <c r="C85" s="5" t="n">
        <v>1</v>
      </c>
      <c r="D85" s="65" t="n">
        <v>237</v>
      </c>
      <c r="E85" s="151" t="n">
        <v>25375102.3122187</v>
      </c>
      <c r="F85" s="151" t="n">
        <v>160014.81965249</v>
      </c>
      <c r="G85" s="8" t="n">
        <f aca="false">E85-F85*0.7</f>
        <v>25263091.938462</v>
      </c>
      <c r="H85" s="8"/>
      <c r="I85" s="8"/>
      <c r="J85" s="8" t="n">
        <f aca="false">G85*3.8235866717</f>
        <v>96595621.6218349</v>
      </c>
      <c r="K85" s="6"/>
      <c r="L85" s="8"/>
      <c r="M85" s="8" t="n">
        <f aca="false">F85*2.511711692</f>
        <v>401911.093414431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3" t="n">
        <v>29937081.2447326</v>
      </c>
      <c r="F86" s="153" t="n">
        <v>161660.883550193</v>
      </c>
      <c r="G86" s="67" t="n">
        <f aca="false">E86-F86*0.7</f>
        <v>29823918.6262475</v>
      </c>
      <c r="H86" s="67"/>
      <c r="I86" s="67"/>
      <c r="J86" s="67" t="n">
        <f aca="false">G86*3.8235866717</f>
        <v>114034337.757185</v>
      </c>
      <c r="K86" s="9"/>
      <c r="L86" s="67"/>
      <c r="M86" s="67" t="n">
        <f aca="false">F86*2.511711692</f>
        <v>406045.53135207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3" t="n">
        <v>25752673.9826925</v>
      </c>
      <c r="F87" s="153" t="n">
        <v>164562.027015833</v>
      </c>
      <c r="G87" s="67" t="n">
        <f aca="false">E87-F87*0.7</f>
        <v>25637480.5637814</v>
      </c>
      <c r="H87" s="67"/>
      <c r="I87" s="67"/>
      <c r="J87" s="67" t="n">
        <f aca="false">G87*3.8235866717</f>
        <v>98027128.9796424</v>
      </c>
      <c r="K87" s="9"/>
      <c r="L87" s="67"/>
      <c r="M87" s="67" t="n">
        <f aca="false">F87*2.511711692</f>
        <v>413332.367314888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3" t="n">
        <v>30806361.5144195</v>
      </c>
      <c r="F88" s="153" t="n">
        <v>168295.349039124</v>
      </c>
      <c r="G88" s="67" t="n">
        <f aca="false">E88-F88*0.7</f>
        <v>30688554.7700921</v>
      </c>
      <c r="H88" s="67"/>
      <c r="I88" s="67"/>
      <c r="J88" s="67" t="n">
        <f aca="false">G88*3.8235866717</f>
        <v>117340348.99266</v>
      </c>
      <c r="K88" s="9"/>
      <c r="L88" s="67"/>
      <c r="M88" s="67" t="n">
        <f aca="false">F88*2.511711692</f>
        <v>422709.395890789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65"/>
      <c r="B89" s="65" t="n">
        <v>2035</v>
      </c>
      <c r="C89" s="5" t="n">
        <v>1</v>
      </c>
      <c r="D89" s="65" t="n">
        <v>241</v>
      </c>
      <c r="E89" s="151" t="n">
        <v>26245003.7288299</v>
      </c>
      <c r="F89" s="151" t="n">
        <v>164311.193262262</v>
      </c>
      <c r="G89" s="8" t="n">
        <f aca="false">E89-F89*0.7</f>
        <v>26129985.8935463</v>
      </c>
      <c r="H89" s="8"/>
      <c r="I89" s="8"/>
      <c r="J89" s="8" t="n">
        <f aca="false">G89*3.8235866717</f>
        <v>99910265.7942727</v>
      </c>
      <c r="K89" s="6"/>
      <c r="L89" s="8"/>
      <c r="M89" s="8" t="n">
        <f aca="false">F89*2.511711692</f>
        <v>412702.345243295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3" t="n">
        <v>30816595.583128</v>
      </c>
      <c r="F90" s="153" t="n">
        <v>172476.262507304</v>
      </c>
      <c r="G90" s="67" t="n">
        <f aca="false">E90-F90*0.7</f>
        <v>30695862.1993729</v>
      </c>
      <c r="H90" s="67"/>
      <c r="I90" s="67"/>
      <c r="J90" s="67" t="n">
        <f aca="false">G90*3.8235866717</f>
        <v>117368289.581862</v>
      </c>
      <c r="K90" s="9"/>
      <c r="L90" s="67"/>
      <c r="M90" s="67" t="n">
        <f aca="false">F90*2.511711692</f>
        <v>433210.645132057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3" t="n">
        <v>26585735.6067397</v>
      </c>
      <c r="F91" s="153" t="n">
        <v>172931.266135659</v>
      </c>
      <c r="G91" s="67" t="n">
        <f aca="false">E91-F91*0.7</f>
        <v>26464683.7204447</v>
      </c>
      <c r="H91" s="67"/>
      <c r="I91" s="67"/>
      <c r="J91" s="67" t="n">
        <f aca="false">G91*3.8235866717</f>
        <v>101190011.944248</v>
      </c>
      <c r="K91" s="9"/>
      <c r="L91" s="67"/>
      <c r="M91" s="67" t="n">
        <f aca="false">F91*2.511711692</f>
        <v>434353.483065298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3" t="n">
        <v>31445668.9938345</v>
      </c>
      <c r="F92" s="153" t="n">
        <v>176018.236987083</v>
      </c>
      <c r="G92" s="67" t="n">
        <f aca="false">E92-F92*0.7</f>
        <v>31322456.2279435</v>
      </c>
      <c r="H92" s="67"/>
      <c r="I92" s="67"/>
      <c r="J92" s="67" t="n">
        <f aca="false">G92*3.8235866717</f>
        <v>119764126.158072</v>
      </c>
      <c r="K92" s="9"/>
      <c r="L92" s="67"/>
      <c r="M92" s="67" t="n">
        <f aca="false">F92*2.511711692</f>
        <v>442107.063845683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65"/>
      <c r="B93" s="65" t="n">
        <v>2036</v>
      </c>
      <c r="C93" s="5" t="n">
        <v>1</v>
      </c>
      <c r="D93" s="65" t="n">
        <v>245</v>
      </c>
      <c r="E93" s="151" t="n">
        <v>26850968.8906318</v>
      </c>
      <c r="F93" s="151" t="n">
        <v>171976.665274911</v>
      </c>
      <c r="G93" s="8" t="n">
        <f aca="false">E93-F93*0.7</f>
        <v>26730585.2249394</v>
      </c>
      <c r="H93" s="8"/>
      <c r="I93" s="8"/>
      <c r="J93" s="8" t="n">
        <f aca="false">G93*3.8235866717</f>
        <v>102206709.392819</v>
      </c>
      <c r="K93" s="6"/>
      <c r="L93" s="8"/>
      <c r="M93" s="8" t="n">
        <f aca="false">F93*2.511711692</f>
        <v>431955.800922164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3" t="n">
        <v>31711452.4437477</v>
      </c>
      <c r="F94" s="153" t="n">
        <v>166530.563777548</v>
      </c>
      <c r="G94" s="67" t="n">
        <f aca="false">E94-F94*0.7</f>
        <v>31594881.0491034</v>
      </c>
      <c r="H94" s="67"/>
      <c r="I94" s="67"/>
      <c r="J94" s="67" t="n">
        <f aca="false">G94*3.8235866717</f>
        <v>120805766.073299</v>
      </c>
      <c r="K94" s="9"/>
      <c r="L94" s="67"/>
      <c r="M94" s="67" t="n">
        <f aca="false">F94*2.511711692</f>
        <v>418276.764115419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3" t="n">
        <v>27365209.187973</v>
      </c>
      <c r="F95" s="153" t="n">
        <v>168523.67687673</v>
      </c>
      <c r="G95" s="67" t="n">
        <f aca="false">E95-F95*0.7</f>
        <v>27247242.6141593</v>
      </c>
      <c r="H95" s="67"/>
      <c r="I95" s="67"/>
      <c r="J95" s="67" t="n">
        <f aca="false">G95*3.8235866717</f>
        <v>104182193.700076</v>
      </c>
      <c r="K95" s="9"/>
      <c r="L95" s="67"/>
      <c r="M95" s="67" t="n">
        <f aca="false">F95*2.511711692</f>
        <v>423282.889590113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3" t="n">
        <v>32348340.1440291</v>
      </c>
      <c r="F96" s="153" t="n">
        <v>171935.708783176</v>
      </c>
      <c r="G96" s="67" t="n">
        <f aca="false">E96-F96*0.7</f>
        <v>32227985.1478809</v>
      </c>
      <c r="H96" s="67"/>
      <c r="I96" s="67"/>
      <c r="J96" s="67" t="n">
        <f aca="false">G96*3.8235866717</f>
        <v>123226494.467183</v>
      </c>
      <c r="K96" s="9"/>
      <c r="L96" s="67"/>
      <c r="M96" s="67" t="n">
        <f aca="false">F96*2.511711692</f>
        <v>431852.93002301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65"/>
      <c r="B97" s="65" t="n">
        <v>2037</v>
      </c>
      <c r="C97" s="5" t="n">
        <v>1</v>
      </c>
      <c r="D97" s="65" t="n">
        <v>249</v>
      </c>
      <c r="E97" s="151" t="n">
        <v>27797791.7247556</v>
      </c>
      <c r="F97" s="151" t="n">
        <v>165188.888285344</v>
      </c>
      <c r="G97" s="8" t="n">
        <f aca="false">E97-F97*0.7</f>
        <v>27682159.5029559</v>
      </c>
      <c r="H97" s="8"/>
      <c r="I97" s="8"/>
      <c r="J97" s="8" t="n">
        <f aca="false">G97*3.8235866717</f>
        <v>105845136.119376</v>
      </c>
      <c r="K97" s="6"/>
      <c r="L97" s="8"/>
      <c r="M97" s="8" t="n">
        <f aca="false">F97*2.511711692</f>
        <v>414906.86209478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3" t="n">
        <v>33090186.5782167</v>
      </c>
      <c r="F98" s="153" t="n">
        <v>163622.4394696</v>
      </c>
      <c r="G98" s="67" t="n">
        <f aca="false">E98-F98*0.7</f>
        <v>32975650.870588</v>
      </c>
      <c r="H98" s="67"/>
      <c r="I98" s="67"/>
      <c r="J98" s="67" t="n">
        <f aca="false">G98*3.8235866717</f>
        <v>126085259.159413</v>
      </c>
      <c r="K98" s="9"/>
      <c r="L98" s="67"/>
      <c r="M98" s="67" t="n">
        <f aca="false">F98*2.511711692</f>
        <v>410972.394289357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3" t="n">
        <v>28493122.0355939</v>
      </c>
      <c r="F99" s="153" t="n">
        <v>169164.432356366</v>
      </c>
      <c r="G99" s="67" t="n">
        <f aca="false">E99-F99*0.7</f>
        <v>28374706.9329444</v>
      </c>
      <c r="H99" s="67"/>
      <c r="I99" s="67"/>
      <c r="J99" s="67" t="n">
        <f aca="false">G99*3.8235866717</f>
        <v>108493151.2422</v>
      </c>
      <c r="K99" s="9"/>
      <c r="L99" s="67"/>
      <c r="M99" s="67" t="n">
        <f aca="false">F99*2.511711692</f>
        <v>424892.282620028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3" t="n">
        <v>33843784.0176318</v>
      </c>
      <c r="F100" s="153" t="n">
        <v>161508.410802656</v>
      </c>
      <c r="G100" s="67" t="n">
        <f aca="false">E100-F100*0.7</f>
        <v>33730728.1300699</v>
      </c>
      <c r="H100" s="67"/>
      <c r="I100" s="67"/>
      <c r="J100" s="67" t="n">
        <f aca="false">G100*3.8235866717</f>
        <v>128972362.504872</v>
      </c>
      <c r="K100" s="9"/>
      <c r="L100" s="67"/>
      <c r="M100" s="67" t="n">
        <f aca="false">F100*2.511711692</f>
        <v>405662.56376937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65"/>
      <c r="B101" s="65" t="n">
        <v>2038</v>
      </c>
      <c r="C101" s="5" t="n">
        <v>1</v>
      </c>
      <c r="D101" s="65" t="n">
        <v>253</v>
      </c>
      <c r="E101" s="151" t="n">
        <v>28931963.2377727</v>
      </c>
      <c r="F101" s="151" t="n">
        <v>165657.630388158</v>
      </c>
      <c r="G101" s="8" t="n">
        <f aca="false">E101-F101*0.7</f>
        <v>28816002.896501</v>
      </c>
      <c r="H101" s="8"/>
      <c r="I101" s="8"/>
      <c r="J101" s="8" t="n">
        <f aca="false">G101*3.8235866717</f>
        <v>110180484.60673</v>
      </c>
      <c r="K101" s="6"/>
      <c r="L101" s="8"/>
      <c r="M101" s="8" t="n">
        <f aca="false">F101*2.511711692</f>
        <v>416084.207114951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3" t="n">
        <v>34128224.811842</v>
      </c>
      <c r="F102" s="153" t="n">
        <v>165897.174718432</v>
      </c>
      <c r="G102" s="67" t="n">
        <f aca="false">E102-F102*0.7</f>
        <v>34012096.7895391</v>
      </c>
      <c r="H102" s="67"/>
      <c r="I102" s="67"/>
      <c r="J102" s="67" t="n">
        <f aca="false">G102*3.8235866717</f>
        <v>130048199.961052</v>
      </c>
      <c r="K102" s="9"/>
      <c r="L102" s="67"/>
      <c r="M102" s="67" t="n">
        <f aca="false">F102*2.511711692</f>
        <v>416685.873410053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3" t="n">
        <v>29386453.3006049</v>
      </c>
      <c r="F103" s="153" t="n">
        <v>165412.81444821</v>
      </c>
      <c r="G103" s="67" t="n">
        <f aca="false">E103-F103*0.7</f>
        <v>29270664.3304912</v>
      </c>
      <c r="H103" s="67"/>
      <c r="I103" s="67"/>
      <c r="J103" s="67" t="n">
        <f aca="false">G103*3.8235866717</f>
        <v>111918922.005871</v>
      </c>
      <c r="K103" s="9"/>
      <c r="L103" s="67"/>
      <c r="M103" s="67" t="n">
        <f aca="false">F103*2.511711692</f>
        <v>415469.300056196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3" t="n">
        <v>34811007.9893926</v>
      </c>
      <c r="F104" s="153" t="n">
        <v>166660.017624483</v>
      </c>
      <c r="G104" s="67" t="n">
        <f aca="false">E104-F104*0.7</f>
        <v>34694345.9770555</v>
      </c>
      <c r="H104" s="67"/>
      <c r="I104" s="67"/>
      <c r="J104" s="67" t="n">
        <f aca="false">G104*3.8235866717</f>
        <v>132656838.861218</v>
      </c>
      <c r="K104" s="9"/>
      <c r="L104" s="67"/>
      <c r="M104" s="67" t="n">
        <f aca="false">F104*2.511711692</f>
        <v>418601.91485634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65"/>
      <c r="B105" s="65" t="n">
        <v>2039</v>
      </c>
      <c r="C105" s="5" t="n">
        <v>1</v>
      </c>
      <c r="D105" s="65" t="n">
        <v>257</v>
      </c>
      <c r="E105" s="151" t="n">
        <v>29700780.833646</v>
      </c>
      <c r="F105" s="151" t="n">
        <v>166266.87780429</v>
      </c>
      <c r="G105" s="8" t="n">
        <f aca="false">E105-F105*0.7</f>
        <v>29584394.019183</v>
      </c>
      <c r="H105" s="8"/>
      <c r="I105" s="8"/>
      <c r="J105" s="8" t="n">
        <f aca="false">G105*3.8235866717</f>
        <v>113118494.662069</v>
      </c>
      <c r="K105" s="6"/>
      <c r="L105" s="8"/>
      <c r="M105" s="8" t="n">
        <f aca="false">F105*2.511711692</f>
        <v>417614.460973371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3" t="n">
        <v>35073328.4256206</v>
      </c>
      <c r="F106" s="153" t="n">
        <v>160594.257179329</v>
      </c>
      <c r="G106" s="67" t="n">
        <f aca="false">E106-F106*0.7</f>
        <v>34960912.4455951</v>
      </c>
      <c r="H106" s="67"/>
      <c r="I106" s="67"/>
      <c r="J106" s="67" t="n">
        <f aca="false">G106*3.8235866717</f>
        <v>133676078.857448</v>
      </c>
      <c r="K106" s="9"/>
      <c r="L106" s="67"/>
      <c r="M106" s="67" t="n">
        <f aca="false">F106*2.511711692</f>
        <v>403366.473425376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3" t="n">
        <v>30068748.057058</v>
      </c>
      <c r="F107" s="153" t="n">
        <v>170758.014112592</v>
      </c>
      <c r="G107" s="67" t="n">
        <f aca="false">E107-F107*0.7</f>
        <v>29949217.4471792</v>
      </c>
      <c r="H107" s="67"/>
      <c r="I107" s="67"/>
      <c r="J107" s="67" t="n">
        <f aca="false">G107*3.8235866717</f>
        <v>114513428.658879</v>
      </c>
      <c r="K107" s="9"/>
      <c r="L107" s="67"/>
      <c r="M107" s="67" t="n">
        <f aca="false">F107*2.511711692</f>
        <v>428894.900549298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3" t="n">
        <v>35474215.3006164</v>
      </c>
      <c r="F108" s="153" t="n">
        <v>175661.358861215</v>
      </c>
      <c r="G108" s="67" t="n">
        <f aca="false">E108-F108*0.7</f>
        <v>35351252.3494135</v>
      </c>
      <c r="H108" s="67"/>
      <c r="I108" s="67"/>
      <c r="J108" s="67" t="n">
        <f aca="false">G108*3.8235866717</f>
        <v>135168577.311121</v>
      </c>
      <c r="K108" s="9"/>
      <c r="L108" s="67"/>
      <c r="M108" s="67" t="n">
        <f aca="false">F108*2.511711692</f>
        <v>441210.688884322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65"/>
      <c r="B109" s="65" t="n">
        <v>2040</v>
      </c>
      <c r="C109" s="5" t="n">
        <v>1</v>
      </c>
      <c r="D109" s="65" t="n">
        <v>261</v>
      </c>
      <c r="E109" s="151" t="n">
        <v>30243131.9210951</v>
      </c>
      <c r="F109" s="151" t="n">
        <v>178843.862557944</v>
      </c>
      <c r="G109" s="8" t="n">
        <f aca="false">E109-F109*0.7</f>
        <v>30117941.2173045</v>
      </c>
      <c r="H109" s="8"/>
      <c r="I109" s="8"/>
      <c r="J109" s="8" t="n">
        <f aca="false">G109*3.8235866717</f>
        <v>115158558.61753</v>
      </c>
      <c r="K109" s="6"/>
      <c r="L109" s="8"/>
      <c r="M109" s="8" t="n">
        <f aca="false">F109*2.511711692</f>
        <v>449204.220629229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3" t="n">
        <v>36003519.9410007</v>
      </c>
      <c r="F110" s="153" t="n">
        <v>173367.582007687</v>
      </c>
      <c r="G110" s="67" t="n">
        <f aca="false">E110-F110*0.7</f>
        <v>35882162.6335953</v>
      </c>
      <c r="H110" s="67"/>
      <c r="I110" s="67"/>
      <c r="J110" s="67" t="n">
        <f aca="false">G110*3.8235866717</f>
        <v>137198558.797587</v>
      </c>
      <c r="K110" s="9"/>
      <c r="L110" s="67"/>
      <c r="M110" s="67" t="n">
        <f aca="false">F110*2.511711692</f>
        <v>435449.382742476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3" t="n">
        <v>31134212.8422472</v>
      </c>
      <c r="F111" s="153" t="n">
        <v>167211.817638966</v>
      </c>
      <c r="G111" s="67" t="n">
        <f aca="false">E111-F111*0.7</f>
        <v>31017164.5698999</v>
      </c>
      <c r="H111" s="67"/>
      <c r="I111" s="67"/>
      <c r="J111" s="67" t="n">
        <f aca="false">G111*3.8235866717</f>
        <v>118596817.043395</v>
      </c>
      <c r="K111" s="9"/>
      <c r="L111" s="67"/>
      <c r="M111" s="67" t="n">
        <f aca="false">F111*2.511711692</f>
        <v>419987.877404363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3" t="n">
        <v>36872798.9371531</v>
      </c>
      <c r="F112" s="153" t="n">
        <v>163612.525344445</v>
      </c>
      <c r="G112" s="67" t="n">
        <f aca="false">E112-F112*0.7</f>
        <v>36758270.169412</v>
      </c>
      <c r="H112" s="67"/>
      <c r="I112" s="67"/>
      <c r="J112" s="67" t="n">
        <f aca="false">G112*3.8235866717</f>
        <v>140548431.894511</v>
      </c>
      <c r="K112" s="9"/>
      <c r="L112" s="67"/>
      <c r="M112" s="67" t="n">
        <f aca="false">F112*2.511711692</f>
        <v>410947.492865289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65"/>
      <c r="B113" s="65"/>
      <c r="C113" s="5"/>
      <c r="D113" s="6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212</v>
      </c>
      <c r="B1" s="0" t="s">
        <v>213</v>
      </c>
      <c r="C1" s="0" t="s">
        <v>214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5911.63495348748</v>
      </c>
      <c r="C22" s="0" t="n">
        <v>11604031</v>
      </c>
    </row>
    <row r="23" customFormat="false" ht="12.8" hidden="false" customHeight="false" outlineLevel="0" collapsed="false">
      <c r="A23" s="0" t="n">
        <v>70</v>
      </c>
      <c r="B23" s="0" t="n">
        <v>5817.08296723388</v>
      </c>
      <c r="C23" s="0" t="n">
        <v>11089388</v>
      </c>
    </row>
    <row r="24" customFormat="false" ht="12.8" hidden="false" customHeight="false" outlineLevel="0" collapsed="false">
      <c r="A24" s="0" t="n">
        <v>71</v>
      </c>
      <c r="B24" s="0" t="n">
        <v>5403.92495080786</v>
      </c>
      <c r="C24" s="0" t="n">
        <v>11692717</v>
      </c>
    </row>
    <row r="25" customFormat="false" ht="12.8" hidden="false" customHeight="false" outlineLevel="0" collapsed="false">
      <c r="A25" s="0" t="n">
        <v>72</v>
      </c>
      <c r="B25" s="0" t="n">
        <v>5369.97887955747</v>
      </c>
      <c r="C25" s="0" t="n">
        <v>11758762</v>
      </c>
    </row>
    <row r="26" customFormat="false" ht="12.8" hidden="false" customHeight="false" outlineLevel="0" collapsed="false">
      <c r="A26" s="0" t="n">
        <v>73</v>
      </c>
      <c r="B26" s="0" t="n">
        <v>5544.55019366428</v>
      </c>
      <c r="C26" s="0" t="n">
        <v>11782017</v>
      </c>
    </row>
    <row r="27" customFormat="false" ht="12.8" hidden="false" customHeight="false" outlineLevel="0" collapsed="false">
      <c r="A27" s="0" t="n">
        <v>74</v>
      </c>
      <c r="B27" s="0" t="n">
        <v>5735.81915154257</v>
      </c>
      <c r="C27" s="0" t="n">
        <v>11816251</v>
      </c>
    </row>
    <row r="28" customFormat="false" ht="12.8" hidden="false" customHeight="false" outlineLevel="0" collapsed="false">
      <c r="A28" s="0" t="n">
        <v>75</v>
      </c>
      <c r="B28" s="0" t="n">
        <v>5832.00605225659</v>
      </c>
      <c r="C28" s="0" t="n">
        <v>11851058</v>
      </c>
    </row>
    <row r="29" customFormat="false" ht="12.8" hidden="false" customHeight="false" outlineLevel="0" collapsed="false">
      <c r="A29" s="0" t="n">
        <v>76</v>
      </c>
      <c r="B29" s="0" t="n">
        <v>5941.10987511572</v>
      </c>
      <c r="C29" s="0" t="n">
        <v>11857717</v>
      </c>
    </row>
    <row r="30" customFormat="false" ht="12.8" hidden="false" customHeight="false" outlineLevel="0" collapsed="false">
      <c r="A30" s="0" t="n">
        <v>77</v>
      </c>
      <c r="B30" s="0" t="n">
        <v>6006.73780641689</v>
      </c>
      <c r="C30" s="0" t="n">
        <v>11937097</v>
      </c>
    </row>
    <row r="31" customFormat="false" ht="12.8" hidden="false" customHeight="false" outlineLevel="0" collapsed="false">
      <c r="A31" s="0" t="n">
        <v>78</v>
      </c>
      <c r="B31" s="0" t="n">
        <v>6046.34740356739</v>
      </c>
      <c r="C31" s="0" t="n">
        <v>11986468</v>
      </c>
    </row>
    <row r="32" customFormat="false" ht="12.8" hidden="false" customHeight="false" outlineLevel="0" collapsed="false">
      <c r="A32" s="0" t="n">
        <v>79</v>
      </c>
      <c r="B32" s="0" t="n">
        <v>6074.02499771067</v>
      </c>
      <c r="C32" s="0" t="n">
        <v>12002121</v>
      </c>
    </row>
    <row r="33" customFormat="false" ht="12.8" hidden="false" customHeight="false" outlineLevel="0" collapsed="false">
      <c r="A33" s="0" t="n">
        <v>80</v>
      </c>
      <c r="B33" s="0" t="n">
        <v>6118.42308515289</v>
      </c>
      <c r="C33" s="0" t="n">
        <v>12031948</v>
      </c>
    </row>
    <row r="34" customFormat="false" ht="12.8" hidden="false" customHeight="false" outlineLevel="0" collapsed="false">
      <c r="A34" s="0" t="n">
        <v>81</v>
      </c>
      <c r="B34" s="0" t="n">
        <v>6150.65695407745</v>
      </c>
      <c r="C34" s="0" t="n">
        <v>12105538</v>
      </c>
    </row>
    <row r="35" customFormat="false" ht="12.8" hidden="false" customHeight="false" outlineLevel="0" collapsed="false">
      <c r="A35" s="0" t="n">
        <v>82</v>
      </c>
      <c r="B35" s="0" t="n">
        <v>6193.86534000137</v>
      </c>
      <c r="C35" s="0" t="n">
        <v>12133250</v>
      </c>
    </row>
    <row r="36" customFormat="false" ht="12.8" hidden="false" customHeight="false" outlineLevel="0" collapsed="false">
      <c r="A36" s="0" t="n">
        <v>83</v>
      </c>
      <c r="B36" s="0" t="n">
        <v>6219.47198334682</v>
      </c>
      <c r="C36" s="0" t="n">
        <v>12177474</v>
      </c>
    </row>
    <row r="37" customFormat="false" ht="12.8" hidden="false" customHeight="false" outlineLevel="0" collapsed="false">
      <c r="A37" s="0" t="n">
        <v>84</v>
      </c>
      <c r="B37" s="0" t="n">
        <v>6264.57329403818</v>
      </c>
      <c r="C37" s="0" t="n">
        <v>12237579</v>
      </c>
    </row>
    <row r="38" customFormat="false" ht="12.8" hidden="false" customHeight="false" outlineLevel="0" collapsed="false">
      <c r="A38" s="0" t="n">
        <v>85</v>
      </c>
      <c r="B38" s="0" t="n">
        <v>6326.27636409552</v>
      </c>
      <c r="C38" s="0" t="n">
        <v>12252500</v>
      </c>
    </row>
    <row r="39" customFormat="false" ht="12.8" hidden="false" customHeight="false" outlineLevel="0" collapsed="false">
      <c r="A39" s="0" t="n">
        <v>86</v>
      </c>
      <c r="B39" s="0" t="n">
        <v>6395.17786893838</v>
      </c>
      <c r="C39" s="0" t="n">
        <v>12303605</v>
      </c>
    </row>
    <row r="40" customFormat="false" ht="12.8" hidden="false" customHeight="false" outlineLevel="0" collapsed="false">
      <c r="A40" s="0" t="n">
        <v>87</v>
      </c>
      <c r="B40" s="0" t="n">
        <v>6424.85381458221</v>
      </c>
      <c r="C40" s="0" t="n">
        <v>12298027</v>
      </c>
    </row>
    <row r="41" customFormat="false" ht="12.8" hidden="false" customHeight="false" outlineLevel="0" collapsed="false">
      <c r="A41" s="0" t="n">
        <v>88</v>
      </c>
      <c r="B41" s="0" t="n">
        <v>6469.38868614341</v>
      </c>
      <c r="C41" s="0" t="n">
        <v>12340283</v>
      </c>
    </row>
    <row r="42" customFormat="false" ht="12.8" hidden="false" customHeight="false" outlineLevel="0" collapsed="false">
      <c r="A42" s="0" t="n">
        <v>89</v>
      </c>
      <c r="B42" s="0" t="n">
        <v>6517.21295539009</v>
      </c>
      <c r="C42" s="0" t="n">
        <v>12389916</v>
      </c>
    </row>
    <row r="43" customFormat="false" ht="12.8" hidden="false" customHeight="false" outlineLevel="0" collapsed="false">
      <c r="A43" s="0" t="n">
        <v>90</v>
      </c>
      <c r="B43" s="0" t="n">
        <v>6566.88223436841</v>
      </c>
      <c r="C43" s="0" t="n">
        <v>12447884</v>
      </c>
    </row>
    <row r="44" customFormat="false" ht="12.8" hidden="false" customHeight="false" outlineLevel="0" collapsed="false">
      <c r="A44" s="0" t="n">
        <v>91</v>
      </c>
      <c r="B44" s="0" t="n">
        <v>6589.01110079349</v>
      </c>
      <c r="C44" s="0" t="n">
        <v>12494012</v>
      </c>
    </row>
    <row r="45" customFormat="false" ht="12.8" hidden="false" customHeight="false" outlineLevel="0" collapsed="false">
      <c r="A45" s="0" t="n">
        <v>92</v>
      </c>
      <c r="B45" s="0" t="n">
        <v>6634.41834981478</v>
      </c>
      <c r="C45" s="0" t="n">
        <v>12572610</v>
      </c>
    </row>
    <row r="46" customFormat="false" ht="12.8" hidden="false" customHeight="false" outlineLevel="0" collapsed="false">
      <c r="A46" s="0" t="n">
        <v>93</v>
      </c>
      <c r="B46" s="0" t="n">
        <v>6675.90013910516</v>
      </c>
      <c r="C46" s="0" t="n">
        <v>12614041</v>
      </c>
    </row>
    <row r="47" customFormat="false" ht="12.8" hidden="false" customHeight="false" outlineLevel="0" collapsed="false">
      <c r="A47" s="0" t="n">
        <v>94</v>
      </c>
      <c r="B47" s="0" t="n">
        <v>6714.03965740269</v>
      </c>
      <c r="C47" s="0" t="n">
        <v>12635412</v>
      </c>
    </row>
    <row r="48" customFormat="false" ht="12.8" hidden="false" customHeight="false" outlineLevel="0" collapsed="false">
      <c r="A48" s="0" t="n">
        <v>95</v>
      </c>
      <c r="B48" s="0" t="n">
        <v>6717.87825389238</v>
      </c>
      <c r="C48" s="0" t="n">
        <v>12672503</v>
      </c>
    </row>
    <row r="49" customFormat="false" ht="12.8" hidden="false" customHeight="false" outlineLevel="0" collapsed="false">
      <c r="A49" s="0" t="n">
        <v>96</v>
      </c>
      <c r="B49" s="0" t="n">
        <v>6737.11771452782</v>
      </c>
      <c r="C49" s="0" t="n">
        <v>12701843</v>
      </c>
    </row>
    <row r="50" customFormat="false" ht="12.8" hidden="false" customHeight="false" outlineLevel="0" collapsed="false">
      <c r="A50" s="0" t="n">
        <v>97</v>
      </c>
      <c r="B50" s="0" t="n">
        <v>6736.86388600753</v>
      </c>
      <c r="C50" s="0" t="n">
        <v>12710878</v>
      </c>
    </row>
    <row r="51" customFormat="false" ht="12.8" hidden="false" customHeight="false" outlineLevel="0" collapsed="false">
      <c r="A51" s="0" t="n">
        <v>98</v>
      </c>
      <c r="B51" s="0" t="n">
        <v>6775.19408022456</v>
      </c>
      <c r="C51" s="0" t="n">
        <v>12716996</v>
      </c>
    </row>
    <row r="52" customFormat="false" ht="12.8" hidden="false" customHeight="false" outlineLevel="0" collapsed="false">
      <c r="A52" s="0" t="n">
        <v>99</v>
      </c>
      <c r="B52" s="0" t="n">
        <v>6846.94738548626</v>
      </c>
      <c r="C52" s="0" t="n">
        <v>12748495</v>
      </c>
    </row>
    <row r="53" customFormat="false" ht="12.8" hidden="false" customHeight="false" outlineLevel="0" collapsed="false">
      <c r="A53" s="0" t="n">
        <v>100</v>
      </c>
      <c r="B53" s="0" t="n">
        <v>6847.45305358333</v>
      </c>
      <c r="C53" s="0" t="n">
        <v>12831171</v>
      </c>
    </row>
    <row r="54" customFormat="false" ht="12.8" hidden="false" customHeight="false" outlineLevel="0" collapsed="false">
      <c r="A54" s="0" t="n">
        <v>101</v>
      </c>
      <c r="B54" s="0" t="n">
        <v>6893.83725346049</v>
      </c>
      <c r="C54" s="0" t="n">
        <v>12863618</v>
      </c>
    </row>
    <row r="55" customFormat="false" ht="12.8" hidden="false" customHeight="false" outlineLevel="0" collapsed="false">
      <c r="A55" s="0" t="n">
        <v>102</v>
      </c>
      <c r="B55" s="0" t="n">
        <v>6876.50379761463</v>
      </c>
      <c r="C55" s="0" t="n">
        <v>12899106</v>
      </c>
    </row>
    <row r="56" customFormat="false" ht="12.8" hidden="false" customHeight="false" outlineLevel="0" collapsed="false">
      <c r="A56" s="0" t="n">
        <v>103</v>
      </c>
      <c r="B56" s="0" t="n">
        <v>6911.65185236938</v>
      </c>
      <c r="C56" s="0" t="n">
        <v>12954467</v>
      </c>
    </row>
    <row r="57" customFormat="false" ht="12.8" hidden="false" customHeight="false" outlineLevel="0" collapsed="false">
      <c r="A57" s="0" t="n">
        <v>104</v>
      </c>
      <c r="B57" s="0" t="n">
        <v>6976.70555307276</v>
      </c>
      <c r="C57" s="0" t="n">
        <v>12918458</v>
      </c>
    </row>
    <row r="58" customFormat="false" ht="12.8" hidden="false" customHeight="false" outlineLevel="0" collapsed="false">
      <c r="A58" s="0" t="n">
        <v>105</v>
      </c>
      <c r="B58" s="0" t="n">
        <v>6976.30012556846</v>
      </c>
      <c r="C58" s="0" t="n">
        <v>12970200</v>
      </c>
    </row>
    <row r="59" customFormat="false" ht="12.8" hidden="false" customHeight="false" outlineLevel="0" collapsed="false">
      <c r="A59" s="0" t="n">
        <v>106</v>
      </c>
      <c r="B59" s="0" t="n">
        <v>7020.53074473626</v>
      </c>
      <c r="C59" s="0" t="n">
        <v>12997827</v>
      </c>
    </row>
    <row r="60" customFormat="false" ht="12.8" hidden="false" customHeight="false" outlineLevel="0" collapsed="false">
      <c r="A60" s="0" t="n">
        <v>107</v>
      </c>
      <c r="B60" s="0" t="n">
        <v>7011.29623284403</v>
      </c>
      <c r="C60" s="0" t="n">
        <v>13090305</v>
      </c>
    </row>
    <row r="61" customFormat="false" ht="12.8" hidden="false" customHeight="false" outlineLevel="0" collapsed="false">
      <c r="A61" s="0" t="n">
        <v>108</v>
      </c>
      <c r="B61" s="0" t="n">
        <v>7054.26160253829</v>
      </c>
      <c r="C61" s="0" t="n">
        <v>13092935</v>
      </c>
    </row>
    <row r="62" customFormat="false" ht="12.8" hidden="false" customHeight="false" outlineLevel="0" collapsed="false">
      <c r="A62" s="0" t="n">
        <v>109</v>
      </c>
      <c r="B62" s="0" t="n">
        <v>7090.25640166714</v>
      </c>
      <c r="C62" s="0" t="n">
        <v>13167882</v>
      </c>
    </row>
    <row r="63" customFormat="false" ht="12.8" hidden="false" customHeight="false" outlineLevel="0" collapsed="false">
      <c r="A63" s="0" t="n">
        <v>110</v>
      </c>
      <c r="B63" s="0" t="n">
        <v>7098.73958188966</v>
      </c>
      <c r="C63" s="0" t="n">
        <v>13182651</v>
      </c>
    </row>
    <row r="64" customFormat="false" ht="12.8" hidden="false" customHeight="false" outlineLevel="0" collapsed="false">
      <c r="A64" s="0" t="n">
        <v>111</v>
      </c>
      <c r="B64" s="0" t="n">
        <v>7140.32862118231</v>
      </c>
      <c r="C64" s="0" t="n">
        <v>13188743</v>
      </c>
    </row>
    <row r="65" customFormat="false" ht="12.8" hidden="false" customHeight="false" outlineLevel="0" collapsed="false">
      <c r="A65" s="0" t="n">
        <v>112</v>
      </c>
      <c r="B65" s="0" t="n">
        <v>7149.66572185899</v>
      </c>
      <c r="C65" s="0" t="n">
        <v>13243330</v>
      </c>
    </row>
    <row r="66" customFormat="false" ht="12.8" hidden="false" customHeight="false" outlineLevel="0" collapsed="false">
      <c r="A66" s="0" t="n">
        <v>113</v>
      </c>
      <c r="B66" s="0" t="n">
        <v>7172.70803448914</v>
      </c>
      <c r="C66" s="0" t="n">
        <v>13232417</v>
      </c>
    </row>
    <row r="67" customFormat="false" ht="12.8" hidden="false" customHeight="false" outlineLevel="0" collapsed="false">
      <c r="A67" s="0" t="n">
        <v>114</v>
      </c>
      <c r="B67" s="0" t="n">
        <v>7211.3312103332</v>
      </c>
      <c r="C67" s="0" t="n">
        <v>13250709</v>
      </c>
    </row>
    <row r="68" customFormat="false" ht="12.8" hidden="false" customHeight="false" outlineLevel="0" collapsed="false">
      <c r="A68" s="0" t="n">
        <v>115</v>
      </c>
      <c r="B68" s="0" t="n">
        <v>7223.32468202964</v>
      </c>
      <c r="C68" s="0" t="n">
        <v>13286125</v>
      </c>
    </row>
    <row r="69" customFormat="false" ht="12.8" hidden="false" customHeight="false" outlineLevel="0" collapsed="false">
      <c r="A69" s="0" t="n">
        <v>116</v>
      </c>
      <c r="B69" s="0" t="n">
        <v>7239.74028266406</v>
      </c>
      <c r="C69" s="0" t="n">
        <v>13324718</v>
      </c>
    </row>
    <row r="70" customFormat="false" ht="12.8" hidden="false" customHeight="false" outlineLevel="0" collapsed="false">
      <c r="A70" s="0" t="n">
        <v>117</v>
      </c>
      <c r="B70" s="0" t="n">
        <v>7242.62051587761</v>
      </c>
      <c r="C70" s="0" t="n">
        <v>13330364</v>
      </c>
    </row>
    <row r="71" customFormat="false" ht="12.8" hidden="false" customHeight="false" outlineLevel="0" collapsed="false">
      <c r="A71" s="0" t="n">
        <v>118</v>
      </c>
      <c r="B71" s="0" t="n">
        <v>7285.02511046816</v>
      </c>
      <c r="C71" s="0" t="n">
        <v>13344143</v>
      </c>
    </row>
    <row r="72" customFormat="false" ht="12.8" hidden="false" customHeight="false" outlineLevel="0" collapsed="false">
      <c r="A72" s="0" t="n">
        <v>119</v>
      </c>
      <c r="B72" s="0" t="n">
        <v>7285.85236992994</v>
      </c>
      <c r="C72" s="0" t="n">
        <v>13390304</v>
      </c>
    </row>
    <row r="73" customFormat="false" ht="12.8" hidden="false" customHeight="false" outlineLevel="0" collapsed="false">
      <c r="A73" s="0" t="n">
        <v>120</v>
      </c>
      <c r="B73" s="0" t="n">
        <v>7304.86099334831</v>
      </c>
      <c r="C73" s="0" t="n">
        <v>13418045</v>
      </c>
    </row>
    <row r="74" customFormat="false" ht="12.8" hidden="false" customHeight="false" outlineLevel="0" collapsed="false">
      <c r="A74" s="0" t="n">
        <v>121</v>
      </c>
      <c r="B74" s="0" t="n">
        <v>7358.40147078823</v>
      </c>
      <c r="C74" s="0" t="n">
        <v>13447320</v>
      </c>
    </row>
    <row r="75" customFormat="false" ht="12.8" hidden="false" customHeight="false" outlineLevel="0" collapsed="false">
      <c r="A75" s="0" t="n">
        <v>122</v>
      </c>
      <c r="B75" s="0" t="n">
        <v>7389.50970234211</v>
      </c>
      <c r="C75" s="0" t="n">
        <v>13440233</v>
      </c>
    </row>
    <row r="76" customFormat="false" ht="12.8" hidden="false" customHeight="false" outlineLevel="0" collapsed="false">
      <c r="A76" s="0" t="n">
        <v>123</v>
      </c>
      <c r="B76" s="0" t="n">
        <v>7420.80717186779</v>
      </c>
      <c r="C76" s="0" t="n">
        <v>13500466</v>
      </c>
    </row>
    <row r="77" customFormat="false" ht="12.8" hidden="false" customHeight="false" outlineLevel="0" collapsed="false">
      <c r="A77" s="0" t="n">
        <v>124</v>
      </c>
      <c r="B77" s="0" t="n">
        <v>7445.57044490549</v>
      </c>
      <c r="C77" s="0" t="n">
        <v>13583179</v>
      </c>
    </row>
    <row r="78" customFormat="false" ht="12.8" hidden="false" customHeight="false" outlineLevel="0" collapsed="false">
      <c r="A78" s="0" t="n">
        <v>125</v>
      </c>
      <c r="B78" s="0" t="n">
        <v>7485.96231731618</v>
      </c>
      <c r="C78" s="0" t="n">
        <v>13524997</v>
      </c>
    </row>
    <row r="79" customFormat="false" ht="12.8" hidden="false" customHeight="false" outlineLevel="0" collapsed="false">
      <c r="A79" s="0" t="n">
        <v>126</v>
      </c>
      <c r="B79" s="0" t="n">
        <v>7540.51960455742</v>
      </c>
      <c r="C79" s="0" t="n">
        <v>13557284</v>
      </c>
    </row>
    <row r="80" customFormat="false" ht="12.8" hidden="false" customHeight="false" outlineLevel="0" collapsed="false">
      <c r="A80" s="0" t="n">
        <v>127</v>
      </c>
      <c r="B80" s="0" t="n">
        <v>7513.35043504607</v>
      </c>
      <c r="C80" s="0" t="n">
        <v>13560832</v>
      </c>
    </row>
    <row r="81" customFormat="false" ht="12.8" hidden="false" customHeight="false" outlineLevel="0" collapsed="false">
      <c r="A81" s="0" t="n">
        <v>128</v>
      </c>
      <c r="B81" s="0" t="n">
        <v>7547.79201149662</v>
      </c>
      <c r="C81" s="0" t="n">
        <v>13600362</v>
      </c>
    </row>
    <row r="82" customFormat="false" ht="12.8" hidden="false" customHeight="false" outlineLevel="0" collapsed="false">
      <c r="A82" s="0" t="n">
        <v>129</v>
      </c>
      <c r="B82" s="0" t="n">
        <v>7577.4994930063</v>
      </c>
      <c r="C82" s="0" t="n">
        <v>13592111</v>
      </c>
    </row>
    <row r="83" customFormat="false" ht="12.8" hidden="false" customHeight="false" outlineLevel="0" collapsed="false">
      <c r="A83" s="0" t="n">
        <v>130</v>
      </c>
      <c r="B83" s="0" t="n">
        <v>7555.79974196189</v>
      </c>
      <c r="C83" s="0" t="n">
        <v>13691094</v>
      </c>
    </row>
    <row r="84" customFormat="false" ht="12.8" hidden="false" customHeight="false" outlineLevel="0" collapsed="false">
      <c r="A84" s="0" t="n">
        <v>131</v>
      </c>
      <c r="B84" s="0" t="n">
        <v>7578.43390111504</v>
      </c>
      <c r="C84" s="0" t="n">
        <v>13685310</v>
      </c>
    </row>
    <row r="85" customFormat="false" ht="12.8" hidden="false" customHeight="false" outlineLevel="0" collapsed="false">
      <c r="A85" s="0" t="n">
        <v>132</v>
      </c>
      <c r="B85" s="0" t="n">
        <v>7592.85282734171</v>
      </c>
      <c r="C85" s="0" t="n">
        <v>13716637</v>
      </c>
    </row>
    <row r="86" customFormat="false" ht="12.8" hidden="false" customHeight="false" outlineLevel="0" collapsed="false">
      <c r="A86" s="0" t="n">
        <v>133</v>
      </c>
      <c r="B86" s="0" t="n">
        <v>7617.22089029571</v>
      </c>
      <c r="C86" s="0" t="n">
        <v>13723916</v>
      </c>
    </row>
    <row r="87" customFormat="false" ht="12.8" hidden="false" customHeight="false" outlineLevel="0" collapsed="false">
      <c r="A87" s="0" t="n">
        <v>134</v>
      </c>
      <c r="B87" s="0" t="n">
        <v>7611.65559269703</v>
      </c>
      <c r="C87" s="0" t="n">
        <v>13734423</v>
      </c>
    </row>
    <row r="88" customFormat="false" ht="12.8" hidden="false" customHeight="false" outlineLevel="0" collapsed="false">
      <c r="A88" s="0" t="n">
        <v>135</v>
      </c>
      <c r="B88" s="0" t="n">
        <v>7660.58814402768</v>
      </c>
      <c r="C88" s="0" t="n">
        <v>13742393</v>
      </c>
    </row>
    <row r="89" customFormat="false" ht="12.8" hidden="false" customHeight="false" outlineLevel="0" collapsed="false">
      <c r="A89" s="0" t="n">
        <v>136</v>
      </c>
      <c r="B89" s="0" t="n">
        <v>7696.48506261314</v>
      </c>
      <c r="C89" s="0" t="n">
        <v>13772381</v>
      </c>
    </row>
    <row r="90" customFormat="false" ht="12.8" hidden="false" customHeight="false" outlineLevel="0" collapsed="false">
      <c r="A90" s="0" t="n">
        <v>137</v>
      </c>
      <c r="B90" s="0" t="n">
        <v>7733.77623698979</v>
      </c>
      <c r="C90" s="0" t="n">
        <v>13805289</v>
      </c>
    </row>
    <row r="91" customFormat="false" ht="12.8" hidden="false" customHeight="false" outlineLevel="0" collapsed="false">
      <c r="A91" s="0" t="n">
        <v>138</v>
      </c>
      <c r="B91" s="0" t="n">
        <v>7773.57307090552</v>
      </c>
      <c r="C91" s="0" t="n">
        <v>13809509</v>
      </c>
    </row>
    <row r="92" customFormat="false" ht="12.8" hidden="false" customHeight="false" outlineLevel="0" collapsed="false">
      <c r="A92" s="0" t="n">
        <v>139</v>
      </c>
      <c r="B92" s="0" t="n">
        <v>7766.09889426037</v>
      </c>
      <c r="C92" s="0" t="n">
        <v>13860433</v>
      </c>
    </row>
    <row r="93" customFormat="false" ht="12.8" hidden="false" customHeight="false" outlineLevel="0" collapsed="false">
      <c r="A93" s="0" t="n">
        <v>140</v>
      </c>
      <c r="B93" s="0" t="n">
        <v>7772.39586598897</v>
      </c>
      <c r="C93" s="0" t="n">
        <v>13879251</v>
      </c>
    </row>
    <row r="94" customFormat="false" ht="12.8" hidden="false" customHeight="false" outlineLevel="0" collapsed="false">
      <c r="A94" s="0" t="n">
        <v>141</v>
      </c>
      <c r="B94" s="0" t="n">
        <v>7774.83799003582</v>
      </c>
      <c r="C94" s="0" t="n">
        <v>13930138</v>
      </c>
    </row>
    <row r="95" customFormat="false" ht="12.8" hidden="false" customHeight="false" outlineLevel="0" collapsed="false">
      <c r="A95" s="0" t="n">
        <v>142</v>
      </c>
      <c r="B95" s="0" t="n">
        <v>7804.1195316748</v>
      </c>
      <c r="C95" s="0" t="n">
        <v>13984192</v>
      </c>
    </row>
    <row r="96" customFormat="false" ht="12.8" hidden="false" customHeight="false" outlineLevel="0" collapsed="false">
      <c r="A96" s="0" t="n">
        <v>143</v>
      </c>
      <c r="B96" s="0" t="n">
        <v>7822.08859919395</v>
      </c>
      <c r="C96" s="0" t="n">
        <v>13985268</v>
      </c>
    </row>
    <row r="97" customFormat="false" ht="12.8" hidden="false" customHeight="false" outlineLevel="0" collapsed="false">
      <c r="A97" s="0" t="n">
        <v>144</v>
      </c>
      <c r="B97" s="0" t="n">
        <v>7860.01025498189</v>
      </c>
      <c r="C97" s="0" t="n">
        <v>14023638</v>
      </c>
    </row>
    <row r="98" customFormat="false" ht="12.8" hidden="false" customHeight="false" outlineLevel="0" collapsed="false">
      <c r="A98" s="0" t="n">
        <v>145</v>
      </c>
      <c r="B98" s="0" t="n">
        <v>7894.15282157864</v>
      </c>
      <c r="C98" s="0" t="n">
        <v>14086071</v>
      </c>
    </row>
    <row r="99" customFormat="false" ht="12.8" hidden="false" customHeight="false" outlineLevel="0" collapsed="false">
      <c r="A99" s="0" t="n">
        <v>146</v>
      </c>
      <c r="B99" s="0" t="n">
        <v>7943.49651385787</v>
      </c>
      <c r="C99" s="0" t="n">
        <v>14059457</v>
      </c>
    </row>
    <row r="100" customFormat="false" ht="12.8" hidden="false" customHeight="false" outlineLevel="0" collapsed="false">
      <c r="A100" s="0" t="n">
        <v>147</v>
      </c>
      <c r="B100" s="0" t="n">
        <v>7979.05025127118</v>
      </c>
      <c r="C100" s="0" t="n">
        <v>14074428</v>
      </c>
    </row>
    <row r="101" customFormat="false" ht="12.8" hidden="false" customHeight="false" outlineLevel="0" collapsed="false">
      <c r="A101" s="0" t="n">
        <v>148</v>
      </c>
      <c r="B101" s="0" t="n">
        <v>7995.3455279338</v>
      </c>
      <c r="C101" s="0" t="n">
        <v>14057307</v>
      </c>
    </row>
    <row r="102" customFormat="false" ht="12.8" hidden="false" customHeight="false" outlineLevel="0" collapsed="false">
      <c r="A102" s="0" t="n">
        <v>149</v>
      </c>
      <c r="B102" s="0" t="n">
        <v>8001.46405056019</v>
      </c>
      <c r="C102" s="0" t="n">
        <v>14106796</v>
      </c>
    </row>
    <row r="103" customFormat="false" ht="12.8" hidden="false" customHeight="false" outlineLevel="0" collapsed="false">
      <c r="A103" s="0" t="n">
        <v>150</v>
      </c>
      <c r="B103" s="0" t="n">
        <v>8043.44551509315</v>
      </c>
      <c r="C103" s="0" t="n">
        <v>14128651</v>
      </c>
    </row>
    <row r="104" customFormat="false" ht="12.8" hidden="false" customHeight="false" outlineLevel="0" collapsed="false">
      <c r="A104" s="0" t="n">
        <v>151</v>
      </c>
      <c r="B104" s="0" t="n">
        <v>8081.19443084428</v>
      </c>
      <c r="C104" s="0" t="n">
        <v>14075744</v>
      </c>
    </row>
    <row r="105" customFormat="false" ht="12.8" hidden="false" customHeight="false" outlineLevel="0" collapsed="false">
      <c r="A105" s="0" t="n">
        <v>152</v>
      </c>
      <c r="B105" s="0" t="n">
        <v>8083.42020533072</v>
      </c>
      <c r="C105" s="0" t="n">
        <v>14084377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67" colorId="64" zoomScale="65" zoomScaleNormal="65" zoomScalePageLayoutView="100" workbookViewId="0">
      <selection pane="topLeft" activeCell="C105" activeCellId="0" sqref="C105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212</v>
      </c>
      <c r="B1" s="0" t="s">
        <v>213</v>
      </c>
      <c r="C1" s="0" t="s">
        <v>214</v>
      </c>
    </row>
    <row r="2" customFormat="false" ht="12.8" hidden="false" customHeight="false" outlineLevel="0" collapsed="false">
      <c r="A2" s="0" t="n">
        <v>49</v>
      </c>
      <c r="B2" s="163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63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63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63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63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63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63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63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63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63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63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63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63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63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63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63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63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63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63" t="n">
        <v>5869.78477201805</v>
      </c>
      <c r="C20" s="0" t="n">
        <v>11558765</v>
      </c>
    </row>
    <row r="21" customFormat="false" ht="12.8" hidden="false" customHeight="false" outlineLevel="0" collapsed="false">
      <c r="A21" s="0" t="n">
        <v>68</v>
      </c>
      <c r="B21" s="163" t="n">
        <v>5675.71936373082</v>
      </c>
      <c r="C21" s="0" t="n">
        <v>11625202</v>
      </c>
    </row>
    <row r="22" customFormat="false" ht="12.8" hidden="false" customHeight="false" outlineLevel="0" collapsed="false">
      <c r="A22" s="0" t="n">
        <v>69</v>
      </c>
      <c r="B22" s="163" t="n">
        <v>5895.39994110246</v>
      </c>
      <c r="C22" s="0" t="n">
        <v>11692196</v>
      </c>
    </row>
    <row r="23" customFormat="false" ht="12.8" hidden="false" customHeight="false" outlineLevel="0" collapsed="false">
      <c r="A23" s="0" t="n">
        <v>70</v>
      </c>
      <c r="B23" s="163" t="n">
        <v>5800.35755882689</v>
      </c>
      <c r="C23" s="0" t="n">
        <v>11097138</v>
      </c>
    </row>
    <row r="24" customFormat="false" ht="12.8" hidden="false" customHeight="false" outlineLevel="0" collapsed="false">
      <c r="A24" s="0" t="n">
        <v>71</v>
      </c>
      <c r="B24" s="163" t="n">
        <v>5502.09402482739</v>
      </c>
      <c r="C24" s="0" t="n">
        <v>11683462</v>
      </c>
    </row>
    <row r="25" customFormat="false" ht="12.8" hidden="false" customHeight="false" outlineLevel="0" collapsed="false">
      <c r="A25" s="0" t="n">
        <v>72</v>
      </c>
      <c r="B25" s="163" t="n">
        <v>5575.17150589064</v>
      </c>
      <c r="C25" s="0" t="n">
        <v>11713128</v>
      </c>
    </row>
    <row r="26" customFormat="false" ht="12.8" hidden="false" customHeight="false" outlineLevel="0" collapsed="false">
      <c r="A26" s="0" t="n">
        <v>73</v>
      </c>
      <c r="B26" s="163" t="n">
        <v>5800.5480245875</v>
      </c>
      <c r="C26" s="0" t="n">
        <v>11733535</v>
      </c>
    </row>
    <row r="27" customFormat="false" ht="12.8" hidden="false" customHeight="false" outlineLevel="0" collapsed="false">
      <c r="A27" s="0" t="n">
        <v>74</v>
      </c>
      <c r="B27" s="163" t="n">
        <v>5994.59024162285</v>
      </c>
      <c r="C27" s="0" t="n">
        <v>11790495</v>
      </c>
    </row>
    <row r="28" customFormat="false" ht="12.8" hidden="false" customHeight="false" outlineLevel="0" collapsed="false">
      <c r="A28" s="0" t="n">
        <v>75</v>
      </c>
      <c r="B28" s="163" t="n">
        <v>6201.58748230454</v>
      </c>
      <c r="C28" s="0" t="n">
        <v>11869543</v>
      </c>
    </row>
    <row r="29" customFormat="false" ht="12.8" hidden="false" customHeight="false" outlineLevel="0" collapsed="false">
      <c r="A29" s="0" t="n">
        <v>76</v>
      </c>
      <c r="B29" s="163" t="n">
        <v>6391.98678132025</v>
      </c>
      <c r="C29" s="0" t="n">
        <v>11931907</v>
      </c>
    </row>
    <row r="30" customFormat="false" ht="12.8" hidden="false" customHeight="false" outlineLevel="0" collapsed="false">
      <c r="A30" s="0" t="n">
        <v>77</v>
      </c>
      <c r="B30" s="163" t="n">
        <v>6516.1153562653</v>
      </c>
      <c r="C30" s="0" t="n">
        <v>11963031</v>
      </c>
    </row>
    <row r="31" customFormat="false" ht="12.8" hidden="false" customHeight="false" outlineLevel="0" collapsed="false">
      <c r="A31" s="0" t="n">
        <v>78</v>
      </c>
      <c r="B31" s="163" t="n">
        <v>6636.34716668956</v>
      </c>
      <c r="C31" s="0" t="n">
        <v>11978061</v>
      </c>
    </row>
    <row r="32" customFormat="false" ht="12.8" hidden="false" customHeight="false" outlineLevel="0" collapsed="false">
      <c r="A32" s="0" t="n">
        <v>79</v>
      </c>
      <c r="B32" s="163" t="n">
        <v>6709.26417125372</v>
      </c>
      <c r="C32" s="0" t="n">
        <v>11986242</v>
      </c>
    </row>
    <row r="33" customFormat="false" ht="12.8" hidden="false" customHeight="false" outlineLevel="0" collapsed="false">
      <c r="A33" s="0" t="n">
        <v>80</v>
      </c>
      <c r="B33" s="163" t="n">
        <v>6747.60440231109</v>
      </c>
      <c r="C33" s="0" t="n">
        <v>12045737</v>
      </c>
    </row>
    <row r="34" customFormat="false" ht="12.8" hidden="false" customHeight="false" outlineLevel="0" collapsed="false">
      <c r="A34" s="0" t="n">
        <v>81</v>
      </c>
      <c r="B34" s="163" t="n">
        <v>6809.90160884451</v>
      </c>
      <c r="C34" s="0" t="n">
        <v>12137487</v>
      </c>
    </row>
    <row r="35" customFormat="false" ht="12.8" hidden="false" customHeight="false" outlineLevel="0" collapsed="false">
      <c r="A35" s="0" t="n">
        <v>82</v>
      </c>
      <c r="B35" s="163" t="n">
        <v>6818.61398891895</v>
      </c>
      <c r="C35" s="0" t="n">
        <v>12162380</v>
      </c>
    </row>
    <row r="36" customFormat="false" ht="12.8" hidden="false" customHeight="false" outlineLevel="0" collapsed="false">
      <c r="A36" s="0" t="n">
        <v>83</v>
      </c>
      <c r="B36" s="163" t="n">
        <v>6852.96938356179</v>
      </c>
      <c r="C36" s="0" t="n">
        <v>12236064</v>
      </c>
    </row>
    <row r="37" customFormat="false" ht="12.8" hidden="false" customHeight="false" outlineLevel="0" collapsed="false">
      <c r="A37" s="0" t="n">
        <v>84</v>
      </c>
      <c r="B37" s="163" t="n">
        <v>6884.57098585129</v>
      </c>
      <c r="C37" s="0" t="n">
        <v>12280650</v>
      </c>
    </row>
    <row r="38" customFormat="false" ht="12.8" hidden="false" customHeight="false" outlineLevel="0" collapsed="false">
      <c r="A38" s="0" t="n">
        <v>85</v>
      </c>
      <c r="B38" s="163" t="n">
        <v>6953.99529582236</v>
      </c>
      <c r="C38" s="0" t="n">
        <v>12300716</v>
      </c>
    </row>
    <row r="39" customFormat="false" ht="12.8" hidden="false" customHeight="false" outlineLevel="0" collapsed="false">
      <c r="A39" s="0" t="n">
        <v>86</v>
      </c>
      <c r="B39" s="163" t="n">
        <v>7003.12251580633</v>
      </c>
      <c r="C39" s="0" t="n">
        <v>12358863</v>
      </c>
    </row>
    <row r="40" customFormat="false" ht="12.8" hidden="false" customHeight="false" outlineLevel="0" collapsed="false">
      <c r="A40" s="0" t="n">
        <v>87</v>
      </c>
      <c r="B40" s="163" t="n">
        <v>7028.2237225364</v>
      </c>
      <c r="C40" s="0" t="n">
        <v>12380413</v>
      </c>
    </row>
    <row r="41" customFormat="false" ht="12.8" hidden="false" customHeight="false" outlineLevel="0" collapsed="false">
      <c r="A41" s="0" t="n">
        <v>88</v>
      </c>
      <c r="B41" s="163" t="n">
        <v>7049.12040418796</v>
      </c>
      <c r="C41" s="0" t="n">
        <v>12422264</v>
      </c>
    </row>
    <row r="42" customFormat="false" ht="12.8" hidden="false" customHeight="false" outlineLevel="0" collapsed="false">
      <c r="A42" s="0" t="n">
        <v>89</v>
      </c>
      <c r="B42" s="163" t="n">
        <v>7108.57552582361</v>
      </c>
      <c r="C42" s="0" t="n">
        <v>12515350</v>
      </c>
    </row>
    <row r="43" customFormat="false" ht="12.8" hidden="false" customHeight="false" outlineLevel="0" collapsed="false">
      <c r="A43" s="0" t="n">
        <v>90</v>
      </c>
      <c r="B43" s="163" t="n">
        <v>7157.14776018672</v>
      </c>
      <c r="C43" s="0" t="n">
        <v>12547843</v>
      </c>
    </row>
    <row r="44" customFormat="false" ht="12.8" hidden="false" customHeight="false" outlineLevel="0" collapsed="false">
      <c r="A44" s="0" t="n">
        <v>91</v>
      </c>
      <c r="B44" s="163" t="n">
        <v>7168.53766252379</v>
      </c>
      <c r="C44" s="0" t="n">
        <v>12600019</v>
      </c>
    </row>
    <row r="45" customFormat="false" ht="12.8" hidden="false" customHeight="false" outlineLevel="0" collapsed="false">
      <c r="A45" s="0" t="n">
        <v>92</v>
      </c>
      <c r="B45" s="163" t="n">
        <v>7167.86233194293</v>
      </c>
      <c r="C45" s="0" t="n">
        <v>12672279</v>
      </c>
    </row>
    <row r="46" customFormat="false" ht="12.8" hidden="false" customHeight="false" outlineLevel="0" collapsed="false">
      <c r="A46" s="0" t="n">
        <v>93</v>
      </c>
      <c r="B46" s="163" t="n">
        <v>7223.7222206989</v>
      </c>
      <c r="C46" s="0" t="n">
        <v>12755684</v>
      </c>
    </row>
    <row r="47" customFormat="false" ht="12.8" hidden="false" customHeight="false" outlineLevel="0" collapsed="false">
      <c r="A47" s="0" t="n">
        <v>94</v>
      </c>
      <c r="B47" s="163" t="n">
        <v>7299.2781105148</v>
      </c>
      <c r="C47" s="0" t="n">
        <v>12765503</v>
      </c>
    </row>
    <row r="48" customFormat="false" ht="12.8" hidden="false" customHeight="false" outlineLevel="0" collapsed="false">
      <c r="A48" s="0" t="n">
        <v>95</v>
      </c>
      <c r="B48" s="163" t="n">
        <v>7324.16783032642</v>
      </c>
      <c r="C48" s="0" t="n">
        <v>12830279</v>
      </c>
    </row>
    <row r="49" customFormat="false" ht="12.8" hidden="false" customHeight="false" outlineLevel="0" collapsed="false">
      <c r="A49" s="0" t="n">
        <v>96</v>
      </c>
      <c r="B49" s="163" t="n">
        <v>7330.07720734927</v>
      </c>
      <c r="C49" s="0" t="n">
        <v>12927357</v>
      </c>
    </row>
    <row r="50" customFormat="false" ht="12.8" hidden="false" customHeight="false" outlineLevel="0" collapsed="false">
      <c r="A50" s="0" t="n">
        <v>97</v>
      </c>
      <c r="B50" s="163" t="n">
        <v>7371.87516856975</v>
      </c>
      <c r="C50" s="0" t="n">
        <v>12967459</v>
      </c>
    </row>
    <row r="51" customFormat="false" ht="12.8" hidden="false" customHeight="false" outlineLevel="0" collapsed="false">
      <c r="A51" s="0" t="n">
        <v>98</v>
      </c>
      <c r="B51" s="163" t="n">
        <v>7416.35873587758</v>
      </c>
      <c r="C51" s="0" t="n">
        <v>13010753</v>
      </c>
    </row>
    <row r="52" customFormat="false" ht="12.8" hidden="false" customHeight="false" outlineLevel="0" collapsed="false">
      <c r="A52" s="0" t="n">
        <v>99</v>
      </c>
      <c r="B52" s="163" t="n">
        <v>7475.09862644684</v>
      </c>
      <c r="C52" s="0" t="n">
        <v>13031071</v>
      </c>
    </row>
    <row r="53" customFormat="false" ht="12.8" hidden="false" customHeight="false" outlineLevel="0" collapsed="false">
      <c r="A53" s="0" t="n">
        <v>100</v>
      </c>
      <c r="B53" s="163" t="n">
        <v>7508.43359810487</v>
      </c>
      <c r="C53" s="0" t="n">
        <v>13090457</v>
      </c>
    </row>
    <row r="54" customFormat="false" ht="12.8" hidden="false" customHeight="false" outlineLevel="0" collapsed="false">
      <c r="A54" s="0" t="n">
        <v>101</v>
      </c>
      <c r="B54" s="163" t="n">
        <v>7516.35081900477</v>
      </c>
      <c r="C54" s="0" t="n">
        <v>13156882</v>
      </c>
    </row>
    <row r="55" customFormat="false" ht="12.8" hidden="false" customHeight="false" outlineLevel="0" collapsed="false">
      <c r="A55" s="0" t="n">
        <v>102</v>
      </c>
      <c r="B55" s="163" t="n">
        <v>7520.39305783082</v>
      </c>
      <c r="C55" s="0" t="n">
        <v>13222390</v>
      </c>
    </row>
    <row r="56" customFormat="false" ht="12.8" hidden="false" customHeight="false" outlineLevel="0" collapsed="false">
      <c r="A56" s="0" t="n">
        <v>103</v>
      </c>
      <c r="B56" s="163" t="n">
        <v>7560.85862262067</v>
      </c>
      <c r="C56" s="0" t="n">
        <v>13255935</v>
      </c>
    </row>
    <row r="57" customFormat="false" ht="12.8" hidden="false" customHeight="false" outlineLevel="0" collapsed="false">
      <c r="A57" s="0" t="n">
        <v>104</v>
      </c>
      <c r="B57" s="163" t="n">
        <v>7609.59676465969</v>
      </c>
      <c r="C57" s="0" t="n">
        <v>13317851</v>
      </c>
    </row>
    <row r="58" customFormat="false" ht="12.8" hidden="false" customHeight="false" outlineLevel="0" collapsed="false">
      <c r="A58" s="0" t="n">
        <v>105</v>
      </c>
      <c r="B58" s="163" t="n">
        <v>7644.40554699685</v>
      </c>
      <c r="C58" s="0" t="n">
        <v>13364649</v>
      </c>
    </row>
    <row r="59" customFormat="false" ht="12.8" hidden="false" customHeight="false" outlineLevel="0" collapsed="false">
      <c r="A59" s="0" t="n">
        <v>106</v>
      </c>
      <c r="B59" s="163" t="n">
        <v>7653.69653670277</v>
      </c>
      <c r="C59" s="0" t="n">
        <v>13466315</v>
      </c>
    </row>
    <row r="60" customFormat="false" ht="12.8" hidden="false" customHeight="false" outlineLevel="0" collapsed="false">
      <c r="A60" s="0" t="n">
        <v>107</v>
      </c>
      <c r="B60" s="163" t="n">
        <v>7704.56475629191</v>
      </c>
      <c r="C60" s="0" t="n">
        <v>13516988</v>
      </c>
    </row>
    <row r="61" customFormat="false" ht="12.8" hidden="false" customHeight="false" outlineLevel="0" collapsed="false">
      <c r="A61" s="0" t="n">
        <v>108</v>
      </c>
      <c r="B61" s="163" t="n">
        <v>7729.86487547151</v>
      </c>
      <c r="C61" s="0" t="n">
        <v>13547574</v>
      </c>
    </row>
    <row r="62" customFormat="false" ht="12.8" hidden="false" customHeight="false" outlineLevel="0" collapsed="false">
      <c r="A62" s="0" t="n">
        <v>109</v>
      </c>
      <c r="B62" s="163" t="n">
        <v>7803.22190775209</v>
      </c>
      <c r="C62" s="0" t="n">
        <v>13531504</v>
      </c>
    </row>
    <row r="63" customFormat="false" ht="12.8" hidden="false" customHeight="false" outlineLevel="0" collapsed="false">
      <c r="A63" s="0" t="n">
        <v>110</v>
      </c>
      <c r="B63" s="163" t="n">
        <v>7800.5342531494</v>
      </c>
      <c r="C63" s="0" t="n">
        <v>13598632</v>
      </c>
    </row>
    <row r="64" customFormat="false" ht="12.8" hidden="false" customHeight="false" outlineLevel="0" collapsed="false">
      <c r="A64" s="0" t="n">
        <v>111</v>
      </c>
      <c r="B64" s="163" t="n">
        <v>7826.16291092863</v>
      </c>
      <c r="C64" s="0" t="n">
        <v>13659111</v>
      </c>
    </row>
    <row r="65" customFormat="false" ht="12.8" hidden="false" customHeight="false" outlineLevel="0" collapsed="false">
      <c r="A65" s="0" t="n">
        <v>112</v>
      </c>
      <c r="B65" s="163" t="n">
        <v>7889.00819739189</v>
      </c>
      <c r="C65" s="0" t="n">
        <v>13698458</v>
      </c>
    </row>
    <row r="66" customFormat="false" ht="12.8" hidden="false" customHeight="false" outlineLevel="0" collapsed="false">
      <c r="A66" s="0" t="n">
        <v>113</v>
      </c>
      <c r="B66" s="163" t="n">
        <v>7938.34989232213</v>
      </c>
      <c r="C66" s="0" t="n">
        <v>13788368</v>
      </c>
    </row>
    <row r="67" customFormat="false" ht="12.8" hidden="false" customHeight="false" outlineLevel="0" collapsed="false">
      <c r="A67" s="0" t="n">
        <v>114</v>
      </c>
      <c r="B67" s="163" t="n">
        <v>7926.63307754429</v>
      </c>
      <c r="C67" s="0" t="n">
        <v>13740259</v>
      </c>
    </row>
    <row r="68" customFormat="false" ht="12.8" hidden="false" customHeight="false" outlineLevel="0" collapsed="false">
      <c r="A68" s="0" t="n">
        <v>115</v>
      </c>
      <c r="B68" s="163" t="n">
        <v>7966.77754621448</v>
      </c>
      <c r="C68" s="0" t="n">
        <v>13754458</v>
      </c>
    </row>
    <row r="69" customFormat="false" ht="12.8" hidden="false" customHeight="false" outlineLevel="0" collapsed="false">
      <c r="A69" s="0" t="n">
        <v>116</v>
      </c>
      <c r="B69" s="163" t="n">
        <v>8016.33828239821</v>
      </c>
      <c r="C69" s="0" t="n">
        <v>13797426</v>
      </c>
    </row>
    <row r="70" customFormat="false" ht="12.8" hidden="false" customHeight="false" outlineLevel="0" collapsed="false">
      <c r="A70" s="0" t="n">
        <v>117</v>
      </c>
      <c r="B70" s="163" t="n">
        <v>8056.85260082482</v>
      </c>
      <c r="C70" s="0" t="n">
        <v>13813179</v>
      </c>
    </row>
    <row r="71" customFormat="false" ht="12.8" hidden="false" customHeight="false" outlineLevel="0" collapsed="false">
      <c r="A71" s="0" t="n">
        <v>118</v>
      </c>
      <c r="B71" s="163" t="n">
        <v>8101.11440005784</v>
      </c>
      <c r="C71" s="0" t="n">
        <v>13867196</v>
      </c>
    </row>
    <row r="72" customFormat="false" ht="12.8" hidden="false" customHeight="false" outlineLevel="0" collapsed="false">
      <c r="A72" s="0" t="n">
        <v>119</v>
      </c>
      <c r="B72" s="163" t="n">
        <v>8172.03611339378</v>
      </c>
      <c r="C72" s="0" t="n">
        <v>13828066</v>
      </c>
    </row>
    <row r="73" customFormat="false" ht="12.8" hidden="false" customHeight="false" outlineLevel="0" collapsed="false">
      <c r="A73" s="0" t="n">
        <v>120</v>
      </c>
      <c r="B73" s="163" t="n">
        <v>8171.53336525665</v>
      </c>
      <c r="C73" s="0" t="n">
        <v>13933974</v>
      </c>
    </row>
    <row r="74" customFormat="false" ht="12.8" hidden="false" customHeight="false" outlineLevel="0" collapsed="false">
      <c r="A74" s="0" t="n">
        <v>121</v>
      </c>
      <c r="B74" s="163" t="n">
        <v>8228.48215656734</v>
      </c>
      <c r="C74" s="0" t="n">
        <v>13889331</v>
      </c>
    </row>
    <row r="75" customFormat="false" ht="12.8" hidden="false" customHeight="false" outlineLevel="0" collapsed="false">
      <c r="A75" s="0" t="n">
        <v>122</v>
      </c>
      <c r="B75" s="163" t="n">
        <v>8250.85753111482</v>
      </c>
      <c r="C75" s="0" t="n">
        <v>13942014</v>
      </c>
    </row>
    <row r="76" customFormat="false" ht="12.8" hidden="false" customHeight="false" outlineLevel="0" collapsed="false">
      <c r="A76" s="0" t="n">
        <v>123</v>
      </c>
      <c r="B76" s="163" t="n">
        <v>8312.42164336183</v>
      </c>
      <c r="C76" s="0" t="n">
        <v>13974139</v>
      </c>
    </row>
    <row r="77" customFormat="false" ht="12.8" hidden="false" customHeight="false" outlineLevel="0" collapsed="false">
      <c r="A77" s="0" t="n">
        <v>124</v>
      </c>
      <c r="B77" s="163" t="n">
        <v>8350.24971510219</v>
      </c>
      <c r="C77" s="0" t="n">
        <v>14047188</v>
      </c>
    </row>
    <row r="78" customFormat="false" ht="12.8" hidden="false" customHeight="false" outlineLevel="0" collapsed="false">
      <c r="A78" s="0" t="n">
        <v>125</v>
      </c>
      <c r="B78" s="163" t="n">
        <v>8362.6723120205</v>
      </c>
      <c r="C78" s="0" t="n">
        <v>14105843</v>
      </c>
    </row>
    <row r="79" customFormat="false" ht="12.8" hidden="false" customHeight="false" outlineLevel="0" collapsed="false">
      <c r="A79" s="0" t="n">
        <v>126</v>
      </c>
      <c r="B79" s="163" t="n">
        <v>8403.59453363578</v>
      </c>
      <c r="C79" s="0" t="n">
        <v>14106603</v>
      </c>
    </row>
    <row r="80" customFormat="false" ht="12.8" hidden="false" customHeight="false" outlineLevel="0" collapsed="false">
      <c r="A80" s="0" t="n">
        <v>127</v>
      </c>
      <c r="B80" s="163" t="n">
        <v>8437.92180070342</v>
      </c>
      <c r="C80" s="0" t="n">
        <v>14146354</v>
      </c>
    </row>
    <row r="81" customFormat="false" ht="12.8" hidden="false" customHeight="false" outlineLevel="0" collapsed="false">
      <c r="A81" s="0" t="n">
        <v>128</v>
      </c>
      <c r="B81" s="163" t="n">
        <v>8494.20950570364</v>
      </c>
      <c r="C81" s="0" t="n">
        <v>14237471</v>
      </c>
    </row>
    <row r="82" customFormat="false" ht="12.8" hidden="false" customHeight="false" outlineLevel="0" collapsed="false">
      <c r="A82" s="0" t="n">
        <v>129</v>
      </c>
      <c r="B82" s="163" t="n">
        <v>8515.00058014235</v>
      </c>
      <c r="C82" s="0" t="n">
        <v>14242889</v>
      </c>
    </row>
    <row r="83" customFormat="false" ht="12.8" hidden="false" customHeight="false" outlineLevel="0" collapsed="false">
      <c r="A83" s="0" t="n">
        <v>130</v>
      </c>
      <c r="B83" s="163" t="n">
        <v>8525.42573611718</v>
      </c>
      <c r="C83" s="0" t="n">
        <v>14278531</v>
      </c>
    </row>
    <row r="84" customFormat="false" ht="12.8" hidden="false" customHeight="false" outlineLevel="0" collapsed="false">
      <c r="A84" s="0" t="n">
        <v>131</v>
      </c>
      <c r="B84" s="163" t="n">
        <v>8552.67608236188</v>
      </c>
      <c r="C84" s="0" t="n">
        <v>14287688</v>
      </c>
    </row>
    <row r="85" customFormat="false" ht="12.8" hidden="false" customHeight="false" outlineLevel="0" collapsed="false">
      <c r="A85" s="0" t="n">
        <v>132</v>
      </c>
      <c r="B85" s="163" t="n">
        <v>8582.05703196654</v>
      </c>
      <c r="C85" s="0" t="n">
        <v>14341787</v>
      </c>
    </row>
    <row r="86" customFormat="false" ht="12.8" hidden="false" customHeight="false" outlineLevel="0" collapsed="false">
      <c r="A86" s="0" t="n">
        <v>133</v>
      </c>
      <c r="B86" s="163" t="n">
        <v>8610.46418695533</v>
      </c>
      <c r="C86" s="0" t="n">
        <v>14373377</v>
      </c>
    </row>
    <row r="87" customFormat="false" ht="12.8" hidden="false" customHeight="false" outlineLevel="0" collapsed="false">
      <c r="A87" s="0" t="n">
        <v>134</v>
      </c>
      <c r="B87" s="163" t="n">
        <v>8637.99561808264</v>
      </c>
      <c r="C87" s="0" t="n">
        <v>14357436</v>
      </c>
    </row>
    <row r="88" customFormat="false" ht="12.8" hidden="false" customHeight="false" outlineLevel="0" collapsed="false">
      <c r="A88" s="0" t="n">
        <v>135</v>
      </c>
      <c r="B88" s="163" t="n">
        <v>8682.34559467967</v>
      </c>
      <c r="C88" s="0" t="n">
        <v>14421148</v>
      </c>
    </row>
    <row r="89" customFormat="false" ht="12.8" hidden="false" customHeight="false" outlineLevel="0" collapsed="false">
      <c r="A89" s="0" t="n">
        <v>136</v>
      </c>
      <c r="B89" s="163" t="n">
        <v>8733.92266641715</v>
      </c>
      <c r="C89" s="0" t="n">
        <v>14425571</v>
      </c>
    </row>
    <row r="90" customFormat="false" ht="12.8" hidden="false" customHeight="false" outlineLevel="0" collapsed="false">
      <c r="A90" s="0" t="n">
        <v>137</v>
      </c>
      <c r="B90" s="163" t="n">
        <v>8761.94127169046</v>
      </c>
      <c r="C90" s="0" t="n">
        <v>14486984</v>
      </c>
    </row>
    <row r="91" customFormat="false" ht="12.8" hidden="false" customHeight="false" outlineLevel="0" collapsed="false">
      <c r="A91" s="0" t="n">
        <v>138</v>
      </c>
      <c r="B91" s="163" t="n">
        <v>8806.17797962886</v>
      </c>
      <c r="C91" s="0" t="n">
        <v>14528771</v>
      </c>
    </row>
    <row r="92" customFormat="false" ht="12.8" hidden="false" customHeight="false" outlineLevel="0" collapsed="false">
      <c r="A92" s="0" t="n">
        <v>139</v>
      </c>
      <c r="B92" s="163" t="n">
        <v>8819.08024389658</v>
      </c>
      <c r="C92" s="0" t="n">
        <v>14612070</v>
      </c>
    </row>
    <row r="93" customFormat="false" ht="12.8" hidden="false" customHeight="false" outlineLevel="0" collapsed="false">
      <c r="A93" s="0" t="n">
        <v>140</v>
      </c>
      <c r="B93" s="163" t="n">
        <v>8879.15513342539</v>
      </c>
      <c r="C93" s="0" t="n">
        <v>14626456</v>
      </c>
    </row>
    <row r="94" customFormat="false" ht="12.8" hidden="false" customHeight="false" outlineLevel="0" collapsed="false">
      <c r="A94" s="0" t="n">
        <v>141</v>
      </c>
      <c r="B94" s="163" t="n">
        <v>8919.50945624209</v>
      </c>
      <c r="C94" s="0" t="n">
        <v>14641182</v>
      </c>
    </row>
    <row r="95" customFormat="false" ht="12.8" hidden="false" customHeight="false" outlineLevel="0" collapsed="false">
      <c r="A95" s="0" t="n">
        <v>142</v>
      </c>
      <c r="B95" s="163" t="n">
        <v>8919.87234714464</v>
      </c>
      <c r="C95" s="0" t="n">
        <v>14695558</v>
      </c>
    </row>
    <row r="96" customFormat="false" ht="12.8" hidden="false" customHeight="false" outlineLevel="0" collapsed="false">
      <c r="A96" s="0" t="n">
        <v>143</v>
      </c>
      <c r="B96" s="163" t="n">
        <v>8969.55830177563</v>
      </c>
      <c r="C96" s="0" t="n">
        <v>14669980</v>
      </c>
    </row>
    <row r="97" customFormat="false" ht="12.8" hidden="false" customHeight="false" outlineLevel="0" collapsed="false">
      <c r="A97" s="0" t="n">
        <v>144</v>
      </c>
      <c r="B97" s="163" t="n">
        <v>9007.24840826915</v>
      </c>
      <c r="C97" s="0" t="n">
        <v>14743026</v>
      </c>
    </row>
    <row r="98" customFormat="false" ht="12.8" hidden="false" customHeight="false" outlineLevel="0" collapsed="false">
      <c r="A98" s="0" t="n">
        <v>145</v>
      </c>
      <c r="B98" s="163" t="n">
        <v>9041.15278317417</v>
      </c>
      <c r="C98" s="0" t="n">
        <v>14705066</v>
      </c>
    </row>
    <row r="99" customFormat="false" ht="12.8" hidden="false" customHeight="false" outlineLevel="0" collapsed="false">
      <c r="A99" s="0" t="n">
        <v>146</v>
      </c>
      <c r="B99" s="163" t="n">
        <v>9072.05947766633</v>
      </c>
      <c r="C99" s="0" t="n">
        <v>14749583</v>
      </c>
    </row>
    <row r="100" customFormat="false" ht="12.8" hidden="false" customHeight="false" outlineLevel="0" collapsed="false">
      <c r="A100" s="0" t="n">
        <v>147</v>
      </c>
      <c r="B100" s="163" t="n">
        <v>9093.44403380164</v>
      </c>
      <c r="C100" s="0" t="n">
        <v>14763966</v>
      </c>
    </row>
    <row r="101" customFormat="false" ht="12.8" hidden="false" customHeight="false" outlineLevel="0" collapsed="false">
      <c r="A101" s="0" t="n">
        <v>148</v>
      </c>
      <c r="B101" s="163" t="n">
        <v>9137.19108547634</v>
      </c>
      <c r="C101" s="0" t="n">
        <v>14797155</v>
      </c>
    </row>
    <row r="102" customFormat="false" ht="12.8" hidden="false" customHeight="false" outlineLevel="0" collapsed="false">
      <c r="A102" s="0" t="n">
        <v>149</v>
      </c>
      <c r="B102" s="163" t="n">
        <v>9162.39438866019</v>
      </c>
      <c r="C102" s="0" t="n">
        <v>14830211</v>
      </c>
    </row>
    <row r="103" customFormat="false" ht="12.8" hidden="false" customHeight="false" outlineLevel="0" collapsed="false">
      <c r="A103" s="0" t="n">
        <v>150</v>
      </c>
      <c r="B103" s="163" t="n">
        <v>9211.32542693413</v>
      </c>
      <c r="C103" s="0" t="n">
        <v>14878570</v>
      </c>
    </row>
    <row r="104" customFormat="false" ht="12.8" hidden="false" customHeight="false" outlineLevel="0" collapsed="false">
      <c r="A104" s="0" t="n">
        <v>151</v>
      </c>
      <c r="B104" s="163" t="n">
        <v>9253.40262978567</v>
      </c>
      <c r="C104" s="0" t="n">
        <v>14910367</v>
      </c>
    </row>
    <row r="105" customFormat="false" ht="12.8" hidden="false" customHeight="false" outlineLevel="0" collapsed="false">
      <c r="A105" s="0" t="n">
        <v>152</v>
      </c>
      <c r="B105" s="163" t="n">
        <v>9293.31146669104</v>
      </c>
      <c r="C105" s="0" t="n">
        <v>14930737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0" sqref="C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212</v>
      </c>
      <c r="B1" s="0" t="s">
        <v>213</v>
      </c>
      <c r="C1" s="0" t="s">
        <v>214</v>
      </c>
    </row>
    <row r="2" customFormat="false" ht="12.8" hidden="false" customHeight="false" outlineLevel="0" collapsed="false">
      <c r="A2" s="0" t="n">
        <v>49</v>
      </c>
      <c r="B2" s="164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64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64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64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64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64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64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64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64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64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64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64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64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64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164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164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164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164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164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164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164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164" t="n">
        <v>5803.64800906552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164" t="n">
        <v>5308.25923613636</v>
      </c>
      <c r="C24" s="0" t="n">
        <v>11693078</v>
      </c>
    </row>
    <row r="25" customFormat="false" ht="12.8" hidden="false" customHeight="false" outlineLevel="0" collapsed="false">
      <c r="A25" s="0" t="n">
        <v>72</v>
      </c>
      <c r="B25" s="164" t="n">
        <v>5188.60331055529</v>
      </c>
      <c r="C25" s="0" t="n">
        <v>11747084</v>
      </c>
    </row>
    <row r="26" customFormat="false" ht="12.8" hidden="false" customHeight="false" outlineLevel="0" collapsed="false">
      <c r="A26" s="0" t="n">
        <v>73</v>
      </c>
      <c r="B26" s="164" t="n">
        <v>5277.12645574335</v>
      </c>
      <c r="C26" s="0" t="n">
        <v>11760228</v>
      </c>
    </row>
    <row r="27" customFormat="false" ht="12.8" hidden="false" customHeight="false" outlineLevel="0" collapsed="false">
      <c r="A27" s="0" t="n">
        <v>74</v>
      </c>
      <c r="B27" s="164" t="n">
        <v>5372.88778142423</v>
      </c>
      <c r="C27" s="0" t="n">
        <v>11795836</v>
      </c>
    </row>
    <row r="28" customFormat="false" ht="12.8" hidden="false" customHeight="false" outlineLevel="0" collapsed="false">
      <c r="A28" s="0" t="n">
        <v>75</v>
      </c>
      <c r="B28" s="164" t="n">
        <v>5412.02179470707</v>
      </c>
      <c r="C28" s="0" t="n">
        <v>11827500</v>
      </c>
    </row>
    <row r="29" customFormat="false" ht="12.8" hidden="false" customHeight="false" outlineLevel="0" collapsed="false">
      <c r="A29" s="0" t="n">
        <v>76</v>
      </c>
      <c r="B29" s="164" t="n">
        <v>5463.32863054921</v>
      </c>
      <c r="C29" s="0" t="n">
        <v>11824511</v>
      </c>
    </row>
    <row r="30" customFormat="false" ht="12.8" hidden="false" customHeight="false" outlineLevel="0" collapsed="false">
      <c r="A30" s="0" t="n">
        <v>77</v>
      </c>
      <c r="B30" s="164" t="n">
        <v>5494.16034010557</v>
      </c>
      <c r="C30" s="0" t="n">
        <v>11886882</v>
      </c>
    </row>
    <row r="31" customFormat="false" ht="12.8" hidden="false" customHeight="false" outlineLevel="0" collapsed="false">
      <c r="A31" s="0" t="n">
        <v>78</v>
      </c>
      <c r="B31" s="164" t="n">
        <v>5494.37556691702</v>
      </c>
      <c r="C31" s="0" t="n">
        <v>11924865</v>
      </c>
    </row>
    <row r="32" customFormat="false" ht="12.8" hidden="false" customHeight="false" outlineLevel="0" collapsed="false">
      <c r="A32" s="0" t="n">
        <v>79</v>
      </c>
      <c r="B32" s="164" t="n">
        <v>5525.03235088068</v>
      </c>
      <c r="C32" s="0" t="n">
        <v>11968994</v>
      </c>
    </row>
    <row r="33" customFormat="false" ht="12.8" hidden="false" customHeight="false" outlineLevel="0" collapsed="false">
      <c r="A33" s="0" t="n">
        <v>80</v>
      </c>
      <c r="B33" s="164" t="n">
        <v>5525.38455998843</v>
      </c>
      <c r="C33" s="0" t="n">
        <v>12034543</v>
      </c>
    </row>
    <row r="34" customFormat="false" ht="12.8" hidden="false" customHeight="false" outlineLevel="0" collapsed="false">
      <c r="A34" s="0" t="n">
        <v>81</v>
      </c>
      <c r="B34" s="164" t="n">
        <v>5567.56969934123</v>
      </c>
      <c r="C34" s="0" t="n">
        <v>11982597</v>
      </c>
    </row>
    <row r="35" customFormat="false" ht="12.8" hidden="false" customHeight="false" outlineLevel="0" collapsed="false">
      <c r="A35" s="0" t="n">
        <v>82</v>
      </c>
      <c r="B35" s="164" t="n">
        <v>5624.34890998357</v>
      </c>
      <c r="C35" s="0" t="n">
        <v>11989707</v>
      </c>
    </row>
    <row r="36" customFormat="false" ht="12.8" hidden="false" customHeight="false" outlineLevel="0" collapsed="false">
      <c r="A36" s="0" t="n">
        <v>83</v>
      </c>
      <c r="B36" s="164" t="n">
        <v>5640.2400458913</v>
      </c>
      <c r="C36" s="0" t="n">
        <v>12034116</v>
      </c>
    </row>
    <row r="37" customFormat="false" ht="12.8" hidden="false" customHeight="false" outlineLevel="0" collapsed="false">
      <c r="A37" s="0" t="n">
        <v>84</v>
      </c>
      <c r="B37" s="164" t="n">
        <v>5674.52140824468</v>
      </c>
      <c r="C37" s="0" t="n">
        <v>12045074</v>
      </c>
    </row>
    <row r="38" customFormat="false" ht="12.8" hidden="false" customHeight="false" outlineLevel="0" collapsed="false">
      <c r="A38" s="0" t="n">
        <v>85</v>
      </c>
      <c r="B38" s="164" t="n">
        <v>5677.30983807495</v>
      </c>
      <c r="C38" s="0" t="n">
        <v>12081801</v>
      </c>
    </row>
    <row r="39" customFormat="false" ht="12.8" hidden="false" customHeight="false" outlineLevel="0" collapsed="false">
      <c r="A39" s="0" t="n">
        <v>86</v>
      </c>
      <c r="B39" s="164" t="n">
        <v>5688.99941984947</v>
      </c>
      <c r="C39" s="0" t="n">
        <v>12176963</v>
      </c>
    </row>
    <row r="40" customFormat="false" ht="12.8" hidden="false" customHeight="false" outlineLevel="0" collapsed="false">
      <c r="A40" s="0" t="n">
        <v>87</v>
      </c>
      <c r="B40" s="164" t="n">
        <v>5727.81552635651</v>
      </c>
      <c r="C40" s="0" t="n">
        <v>12196013</v>
      </c>
    </row>
    <row r="41" customFormat="false" ht="12.8" hidden="false" customHeight="false" outlineLevel="0" collapsed="false">
      <c r="A41" s="0" t="n">
        <v>88</v>
      </c>
      <c r="B41" s="164" t="n">
        <v>5775.37829500618</v>
      </c>
      <c r="C41" s="0" t="n">
        <v>12230295</v>
      </c>
    </row>
    <row r="42" customFormat="false" ht="12.8" hidden="false" customHeight="false" outlineLevel="0" collapsed="false">
      <c r="A42" s="0" t="n">
        <v>89</v>
      </c>
      <c r="B42" s="164" t="n">
        <v>5829.38714085459</v>
      </c>
      <c r="C42" s="0" t="n">
        <v>12261660</v>
      </c>
    </row>
    <row r="43" customFormat="false" ht="12.8" hidden="false" customHeight="false" outlineLevel="0" collapsed="false">
      <c r="A43" s="0" t="n">
        <v>90</v>
      </c>
      <c r="B43" s="164" t="n">
        <v>5867.12289643513</v>
      </c>
      <c r="C43" s="0" t="n">
        <v>12259549</v>
      </c>
    </row>
    <row r="44" customFormat="false" ht="12.8" hidden="false" customHeight="false" outlineLevel="0" collapsed="false">
      <c r="A44" s="0" t="n">
        <v>91</v>
      </c>
      <c r="B44" s="164" t="n">
        <v>5900.74907684992</v>
      </c>
      <c r="C44" s="0" t="n">
        <v>12303032</v>
      </c>
    </row>
    <row r="45" customFormat="false" ht="12.8" hidden="false" customHeight="false" outlineLevel="0" collapsed="false">
      <c r="A45" s="0" t="n">
        <v>92</v>
      </c>
      <c r="B45" s="164" t="n">
        <v>5942.85489378775</v>
      </c>
      <c r="C45" s="0" t="n">
        <v>12342739</v>
      </c>
    </row>
    <row r="46" customFormat="false" ht="12.8" hidden="false" customHeight="false" outlineLevel="0" collapsed="false">
      <c r="A46" s="0" t="n">
        <v>93</v>
      </c>
      <c r="B46" s="164" t="n">
        <v>5998.64579294728</v>
      </c>
      <c r="C46" s="0" t="n">
        <v>12376723</v>
      </c>
    </row>
    <row r="47" customFormat="false" ht="12.8" hidden="false" customHeight="false" outlineLevel="0" collapsed="false">
      <c r="A47" s="0" t="n">
        <v>94</v>
      </c>
      <c r="B47" s="164" t="n">
        <v>6045.1621213671</v>
      </c>
      <c r="C47" s="0" t="n">
        <v>12449927</v>
      </c>
    </row>
    <row r="48" customFormat="false" ht="12.8" hidden="false" customHeight="false" outlineLevel="0" collapsed="false">
      <c r="A48" s="0" t="n">
        <v>95</v>
      </c>
      <c r="B48" s="164" t="n">
        <v>6093.00298506986</v>
      </c>
      <c r="C48" s="0" t="n">
        <v>12480124</v>
      </c>
    </row>
    <row r="49" customFormat="false" ht="12.8" hidden="false" customHeight="false" outlineLevel="0" collapsed="false">
      <c r="A49" s="0" t="n">
        <v>96</v>
      </c>
      <c r="B49" s="164" t="n">
        <v>6172.12388056228</v>
      </c>
      <c r="C49" s="0" t="n">
        <v>12457117</v>
      </c>
    </row>
    <row r="50" customFormat="false" ht="12.8" hidden="false" customHeight="false" outlineLevel="0" collapsed="false">
      <c r="A50" s="0" t="n">
        <v>97</v>
      </c>
      <c r="B50" s="164" t="n">
        <v>6217.00871168883</v>
      </c>
      <c r="C50" s="0" t="n">
        <v>12462186</v>
      </c>
    </row>
    <row r="51" customFormat="false" ht="12.8" hidden="false" customHeight="false" outlineLevel="0" collapsed="false">
      <c r="A51" s="0" t="n">
        <v>98</v>
      </c>
      <c r="B51" s="164" t="n">
        <v>6244.011434446</v>
      </c>
      <c r="C51" s="0" t="n">
        <v>12538266</v>
      </c>
    </row>
    <row r="52" customFormat="false" ht="12.8" hidden="false" customHeight="false" outlineLevel="0" collapsed="false">
      <c r="A52" s="0" t="n">
        <v>99</v>
      </c>
      <c r="B52" s="164" t="n">
        <v>6272.84627365221</v>
      </c>
      <c r="C52" s="0" t="n">
        <v>12575479</v>
      </c>
    </row>
    <row r="53" customFormat="false" ht="12.8" hidden="false" customHeight="false" outlineLevel="0" collapsed="false">
      <c r="A53" s="0" t="n">
        <v>100</v>
      </c>
      <c r="B53" s="164" t="n">
        <v>6327.65058797464</v>
      </c>
      <c r="C53" s="0" t="n">
        <v>12641171</v>
      </c>
    </row>
    <row r="54" customFormat="false" ht="12.8" hidden="false" customHeight="false" outlineLevel="0" collapsed="false">
      <c r="A54" s="0" t="n">
        <v>101</v>
      </c>
      <c r="B54" s="164" t="n">
        <v>6353.49826717779</v>
      </c>
      <c r="C54" s="0" t="n">
        <v>12633484</v>
      </c>
    </row>
    <row r="55" customFormat="false" ht="12.8" hidden="false" customHeight="false" outlineLevel="0" collapsed="false">
      <c r="A55" s="0" t="n">
        <v>102</v>
      </c>
      <c r="B55" s="164" t="n">
        <v>6325.38933162428</v>
      </c>
      <c r="C55" s="0" t="n">
        <v>12668386</v>
      </c>
    </row>
    <row r="56" customFormat="false" ht="12.8" hidden="false" customHeight="false" outlineLevel="0" collapsed="false">
      <c r="A56" s="0" t="n">
        <v>103</v>
      </c>
      <c r="B56" s="164" t="n">
        <v>6353.91038788381</v>
      </c>
      <c r="C56" s="0" t="n">
        <v>12668854</v>
      </c>
    </row>
    <row r="57" customFormat="false" ht="12.8" hidden="false" customHeight="false" outlineLevel="0" collapsed="false">
      <c r="A57" s="0" t="n">
        <v>104</v>
      </c>
      <c r="B57" s="164" t="n">
        <v>6337.1843927011</v>
      </c>
      <c r="C57" s="0" t="n">
        <v>12731852</v>
      </c>
    </row>
    <row r="58" customFormat="false" ht="12.8" hidden="false" customHeight="false" outlineLevel="0" collapsed="false">
      <c r="A58" s="0" t="n">
        <v>105</v>
      </c>
      <c r="B58" s="164" t="n">
        <v>6366.24820289182</v>
      </c>
      <c r="C58" s="0" t="n">
        <v>12750923</v>
      </c>
    </row>
    <row r="59" customFormat="false" ht="12.8" hidden="false" customHeight="false" outlineLevel="0" collapsed="false">
      <c r="A59" s="0" t="n">
        <v>106</v>
      </c>
      <c r="B59" s="164" t="n">
        <v>6360.9355015625</v>
      </c>
      <c r="C59" s="0" t="n">
        <v>12809491</v>
      </c>
    </row>
    <row r="60" customFormat="false" ht="12.8" hidden="false" customHeight="false" outlineLevel="0" collapsed="false">
      <c r="A60" s="0" t="n">
        <v>107</v>
      </c>
      <c r="B60" s="164" t="n">
        <v>6407.37066473245</v>
      </c>
      <c r="C60" s="0" t="n">
        <v>12762460</v>
      </c>
    </row>
    <row r="61" customFormat="false" ht="12.8" hidden="false" customHeight="false" outlineLevel="0" collapsed="false">
      <c r="A61" s="0" t="n">
        <v>108</v>
      </c>
      <c r="B61" s="164" t="n">
        <v>6411.54348472997</v>
      </c>
      <c r="C61" s="0" t="n">
        <v>12776860</v>
      </c>
    </row>
    <row r="62" customFormat="false" ht="12.8" hidden="false" customHeight="false" outlineLevel="0" collapsed="false">
      <c r="A62" s="0" t="n">
        <v>109</v>
      </c>
      <c r="B62" s="164" t="n">
        <v>6462.09888586087</v>
      </c>
      <c r="C62" s="0" t="n">
        <v>12778891</v>
      </c>
    </row>
    <row r="63" customFormat="false" ht="12.8" hidden="false" customHeight="false" outlineLevel="0" collapsed="false">
      <c r="A63" s="0" t="n">
        <v>110</v>
      </c>
      <c r="B63" s="164" t="n">
        <v>6472.15775271798</v>
      </c>
      <c r="C63" s="0" t="n">
        <v>12808352</v>
      </c>
    </row>
    <row r="64" customFormat="false" ht="12.8" hidden="false" customHeight="false" outlineLevel="0" collapsed="false">
      <c r="A64" s="0" t="n">
        <v>111</v>
      </c>
      <c r="B64" s="164" t="n">
        <v>6497.90396553438</v>
      </c>
      <c r="C64" s="0" t="n">
        <v>12817087</v>
      </c>
    </row>
    <row r="65" customFormat="false" ht="12.8" hidden="false" customHeight="false" outlineLevel="0" collapsed="false">
      <c r="A65" s="0" t="n">
        <v>112</v>
      </c>
      <c r="B65" s="164" t="n">
        <v>6490.03114815658</v>
      </c>
      <c r="C65" s="0" t="n">
        <v>12854264</v>
      </c>
    </row>
    <row r="66" customFormat="false" ht="12.8" hidden="false" customHeight="false" outlineLevel="0" collapsed="false">
      <c r="A66" s="0" t="n">
        <v>113</v>
      </c>
      <c r="B66" s="164" t="n">
        <v>6488.90111532391</v>
      </c>
      <c r="C66" s="0" t="n">
        <v>12813097</v>
      </c>
    </row>
    <row r="67" customFormat="false" ht="12.8" hidden="false" customHeight="false" outlineLevel="0" collapsed="false">
      <c r="A67" s="0" t="n">
        <v>114</v>
      </c>
      <c r="B67" s="164" t="n">
        <v>6511.18485577837</v>
      </c>
      <c r="C67" s="0" t="n">
        <v>12824881</v>
      </c>
    </row>
    <row r="68" customFormat="false" ht="12.8" hidden="false" customHeight="false" outlineLevel="0" collapsed="false">
      <c r="A68" s="0" t="n">
        <v>115</v>
      </c>
      <c r="B68" s="164" t="n">
        <v>6481.97805737545</v>
      </c>
      <c r="C68" s="0" t="n">
        <v>12867816</v>
      </c>
    </row>
    <row r="69" customFormat="false" ht="12.8" hidden="false" customHeight="false" outlineLevel="0" collapsed="false">
      <c r="A69" s="0" t="n">
        <v>116</v>
      </c>
      <c r="B69" s="164" t="n">
        <v>6490.50898462117</v>
      </c>
      <c r="C69" s="0" t="n">
        <v>12855141</v>
      </c>
    </row>
    <row r="70" customFormat="false" ht="12.8" hidden="false" customHeight="false" outlineLevel="0" collapsed="false">
      <c r="A70" s="0" t="n">
        <v>117</v>
      </c>
      <c r="B70" s="164" t="n">
        <v>6496.80408405544</v>
      </c>
      <c r="C70" s="0" t="n">
        <v>12888312</v>
      </c>
    </row>
    <row r="71" customFormat="false" ht="12.8" hidden="false" customHeight="false" outlineLevel="0" collapsed="false">
      <c r="A71" s="0" t="n">
        <v>118</v>
      </c>
      <c r="B71" s="164" t="n">
        <v>6499.56810566354</v>
      </c>
      <c r="C71" s="0" t="n">
        <v>12910201</v>
      </c>
    </row>
    <row r="72" customFormat="false" ht="12.8" hidden="false" customHeight="false" outlineLevel="0" collapsed="false">
      <c r="A72" s="0" t="n">
        <v>119</v>
      </c>
      <c r="B72" s="164" t="n">
        <v>6504.66691882661</v>
      </c>
      <c r="C72" s="0" t="n">
        <v>12876169</v>
      </c>
    </row>
    <row r="73" customFormat="false" ht="12.8" hidden="false" customHeight="false" outlineLevel="0" collapsed="false">
      <c r="A73" s="0" t="n">
        <v>120</v>
      </c>
      <c r="B73" s="164" t="n">
        <v>6519.91161135909</v>
      </c>
      <c r="C73" s="0" t="n">
        <v>12865286</v>
      </c>
    </row>
    <row r="74" customFormat="false" ht="12.8" hidden="false" customHeight="false" outlineLevel="0" collapsed="false">
      <c r="A74" s="0" t="n">
        <v>121</v>
      </c>
      <c r="B74" s="164" t="n">
        <v>6572.21549455715</v>
      </c>
      <c r="C74" s="0" t="n">
        <v>12856854</v>
      </c>
    </row>
    <row r="75" customFormat="false" ht="12.8" hidden="false" customHeight="false" outlineLevel="0" collapsed="false">
      <c r="A75" s="0" t="n">
        <v>122</v>
      </c>
      <c r="B75" s="164" t="n">
        <v>6552.96998322075</v>
      </c>
      <c r="C75" s="0" t="n">
        <v>12929673</v>
      </c>
    </row>
    <row r="76" customFormat="false" ht="12.8" hidden="false" customHeight="false" outlineLevel="0" collapsed="false">
      <c r="A76" s="0" t="n">
        <v>123</v>
      </c>
      <c r="B76" s="164" t="n">
        <v>6525.46251673519</v>
      </c>
      <c r="C76" s="0" t="n">
        <v>12935999</v>
      </c>
    </row>
    <row r="77" customFormat="false" ht="12.8" hidden="false" customHeight="false" outlineLevel="0" collapsed="false">
      <c r="A77" s="0" t="n">
        <v>124</v>
      </c>
      <c r="B77" s="164" t="n">
        <v>6554.42095635491</v>
      </c>
      <c r="C77" s="0" t="n">
        <v>12900816</v>
      </c>
    </row>
    <row r="78" customFormat="false" ht="12.8" hidden="false" customHeight="false" outlineLevel="0" collapsed="false">
      <c r="A78" s="0" t="n">
        <v>125</v>
      </c>
      <c r="B78" s="164" t="n">
        <v>6556.32386396482</v>
      </c>
      <c r="C78" s="0" t="n">
        <v>12898043</v>
      </c>
    </row>
    <row r="79" customFormat="false" ht="12.8" hidden="false" customHeight="false" outlineLevel="0" collapsed="false">
      <c r="A79" s="0" t="n">
        <v>126</v>
      </c>
      <c r="B79" s="164" t="n">
        <v>6548.48910071568</v>
      </c>
      <c r="C79" s="0" t="n">
        <v>12920242</v>
      </c>
    </row>
    <row r="80" customFormat="false" ht="12.8" hidden="false" customHeight="false" outlineLevel="0" collapsed="false">
      <c r="A80" s="0" t="n">
        <v>127</v>
      </c>
      <c r="B80" s="164" t="n">
        <v>6524.86770498686</v>
      </c>
      <c r="C80" s="0" t="n">
        <v>12953412</v>
      </c>
    </row>
    <row r="81" customFormat="false" ht="12.8" hidden="false" customHeight="false" outlineLevel="0" collapsed="false">
      <c r="A81" s="0" t="n">
        <v>128</v>
      </c>
      <c r="B81" s="164" t="n">
        <v>6525.91875645626</v>
      </c>
      <c r="C81" s="0" t="n">
        <v>12982048</v>
      </c>
    </row>
    <row r="82" customFormat="false" ht="12.8" hidden="false" customHeight="false" outlineLevel="0" collapsed="false">
      <c r="A82" s="0" t="n">
        <v>129</v>
      </c>
      <c r="B82" s="164" t="n">
        <v>6546.2453735187</v>
      </c>
      <c r="C82" s="0" t="n">
        <v>12980425</v>
      </c>
    </row>
    <row r="83" customFormat="false" ht="12.8" hidden="false" customHeight="false" outlineLevel="0" collapsed="false">
      <c r="A83" s="0" t="n">
        <v>130</v>
      </c>
      <c r="B83" s="164" t="n">
        <v>6578.25666654555</v>
      </c>
      <c r="C83" s="0" t="n">
        <v>12991772</v>
      </c>
    </row>
    <row r="84" customFormat="false" ht="12.8" hidden="false" customHeight="false" outlineLevel="0" collapsed="false">
      <c r="A84" s="0" t="n">
        <v>131</v>
      </c>
      <c r="B84" s="164" t="n">
        <v>6561.80980724684</v>
      </c>
      <c r="C84" s="0" t="n">
        <v>13040821</v>
      </c>
    </row>
    <row r="85" customFormat="false" ht="12.8" hidden="false" customHeight="false" outlineLevel="0" collapsed="false">
      <c r="A85" s="0" t="n">
        <v>132</v>
      </c>
      <c r="B85" s="164" t="n">
        <v>6568.10677836483</v>
      </c>
      <c r="C85" s="0" t="n">
        <v>13006210</v>
      </c>
    </row>
    <row r="86" customFormat="false" ht="12.8" hidden="false" customHeight="false" outlineLevel="0" collapsed="false">
      <c r="A86" s="0" t="n">
        <v>133</v>
      </c>
      <c r="B86" s="164" t="n">
        <v>6569.85706926293</v>
      </c>
      <c r="C86" s="0" t="n">
        <v>13040579</v>
      </c>
    </row>
    <row r="87" customFormat="false" ht="12.8" hidden="false" customHeight="false" outlineLevel="0" collapsed="false">
      <c r="A87" s="0" t="n">
        <v>134</v>
      </c>
      <c r="B87" s="164" t="n">
        <v>6569.03708689225</v>
      </c>
      <c r="C87" s="0" t="n">
        <v>13086598</v>
      </c>
    </row>
    <row r="88" customFormat="false" ht="12.8" hidden="false" customHeight="false" outlineLevel="0" collapsed="false">
      <c r="A88" s="0" t="n">
        <v>135</v>
      </c>
      <c r="B88" s="164" t="n">
        <v>6591.46744025801</v>
      </c>
      <c r="C88" s="0" t="n">
        <v>13077160</v>
      </c>
    </row>
    <row r="89" customFormat="false" ht="12.8" hidden="false" customHeight="false" outlineLevel="0" collapsed="false">
      <c r="A89" s="0" t="n">
        <v>136</v>
      </c>
      <c r="B89" s="164" t="n">
        <v>6596.97163838668</v>
      </c>
      <c r="C89" s="0" t="n">
        <v>13064848</v>
      </c>
    </row>
    <row r="90" customFormat="false" ht="12.8" hidden="false" customHeight="false" outlineLevel="0" collapsed="false">
      <c r="A90" s="0" t="n">
        <v>137</v>
      </c>
      <c r="B90" s="164" t="n">
        <v>6587.42101893379</v>
      </c>
      <c r="C90" s="0" t="n">
        <v>13092623</v>
      </c>
    </row>
    <row r="91" customFormat="false" ht="12.8" hidden="false" customHeight="false" outlineLevel="0" collapsed="false">
      <c r="A91" s="0" t="n">
        <v>138</v>
      </c>
      <c r="B91" s="164" t="n">
        <v>6603.59324358808</v>
      </c>
      <c r="C91" s="0" t="n">
        <v>13098902</v>
      </c>
    </row>
    <row r="92" customFormat="false" ht="12.8" hidden="false" customHeight="false" outlineLevel="0" collapsed="false">
      <c r="A92" s="0" t="n">
        <v>139</v>
      </c>
      <c r="B92" s="164" t="n">
        <v>6628.95511212705</v>
      </c>
      <c r="C92" s="0" t="n">
        <v>13110811</v>
      </c>
    </row>
    <row r="93" customFormat="false" ht="12.8" hidden="false" customHeight="false" outlineLevel="0" collapsed="false">
      <c r="A93" s="0" t="n">
        <v>140</v>
      </c>
      <c r="B93" s="164" t="n">
        <v>6648.86846118677</v>
      </c>
      <c r="C93" s="0" t="n">
        <v>13134404</v>
      </c>
    </row>
    <row r="94" customFormat="false" ht="12.8" hidden="false" customHeight="false" outlineLevel="0" collapsed="false">
      <c r="A94" s="0" t="n">
        <v>141</v>
      </c>
      <c r="B94" s="164" t="n">
        <v>6682.38135199558</v>
      </c>
      <c r="C94" s="0" t="n">
        <v>13082987</v>
      </c>
    </row>
    <row r="95" customFormat="false" ht="12.8" hidden="false" customHeight="false" outlineLevel="0" collapsed="false">
      <c r="A95" s="0" t="n">
        <v>142</v>
      </c>
      <c r="B95" s="164" t="n">
        <v>6712.26837454879</v>
      </c>
      <c r="C95" s="0" t="n">
        <v>13119270</v>
      </c>
    </row>
    <row r="96" customFormat="false" ht="12.8" hidden="false" customHeight="false" outlineLevel="0" collapsed="false">
      <c r="A96" s="0" t="n">
        <v>143</v>
      </c>
      <c r="B96" s="164" t="n">
        <v>6706.74182935012</v>
      </c>
      <c r="C96" s="0" t="n">
        <v>13146462</v>
      </c>
    </row>
    <row r="97" customFormat="false" ht="12.8" hidden="false" customHeight="false" outlineLevel="0" collapsed="false">
      <c r="A97" s="0" t="n">
        <v>144</v>
      </c>
      <c r="B97" s="164" t="n">
        <v>6718.59621181985</v>
      </c>
      <c r="C97" s="0" t="n">
        <v>13058479</v>
      </c>
    </row>
    <row r="98" customFormat="false" ht="12.8" hidden="false" customHeight="false" outlineLevel="0" collapsed="false">
      <c r="A98" s="0" t="n">
        <v>145</v>
      </c>
      <c r="B98" s="164" t="n">
        <v>6709.79183414103</v>
      </c>
      <c r="C98" s="0" t="n">
        <v>13090478</v>
      </c>
    </row>
    <row r="99" customFormat="false" ht="12.8" hidden="false" customHeight="false" outlineLevel="0" collapsed="false">
      <c r="A99" s="0" t="n">
        <v>146</v>
      </c>
      <c r="B99" s="164" t="n">
        <v>6706.57133470319</v>
      </c>
      <c r="C99" s="0" t="n">
        <v>13141204</v>
      </c>
    </row>
    <row r="100" customFormat="false" ht="12.8" hidden="false" customHeight="false" outlineLevel="0" collapsed="false">
      <c r="A100" s="0" t="n">
        <v>147</v>
      </c>
      <c r="B100" s="164" t="n">
        <v>6738.59484616685</v>
      </c>
      <c r="C100" s="0" t="n">
        <v>13136673</v>
      </c>
    </row>
    <row r="101" customFormat="false" ht="12.8" hidden="false" customHeight="false" outlineLevel="0" collapsed="false">
      <c r="A101" s="0" t="n">
        <v>148</v>
      </c>
      <c r="B101" s="164" t="n">
        <v>6728.48745371225</v>
      </c>
      <c r="C101" s="0" t="n">
        <v>13187856</v>
      </c>
    </row>
    <row r="102" customFormat="false" ht="12.8" hidden="false" customHeight="false" outlineLevel="0" collapsed="false">
      <c r="A102" s="0" t="n">
        <v>149</v>
      </c>
      <c r="B102" s="164" t="n">
        <v>6748.55390132106</v>
      </c>
      <c r="C102" s="0" t="n">
        <v>13169004</v>
      </c>
    </row>
    <row r="103" customFormat="false" ht="12.8" hidden="false" customHeight="false" outlineLevel="0" collapsed="false">
      <c r="A103" s="0" t="n">
        <v>150</v>
      </c>
      <c r="B103" s="164" t="n">
        <v>6732.73442001615</v>
      </c>
      <c r="C103" s="0" t="n">
        <v>13215673</v>
      </c>
    </row>
    <row r="104" customFormat="false" ht="12.8" hidden="false" customHeight="false" outlineLevel="0" collapsed="false">
      <c r="A104" s="0" t="n">
        <v>151</v>
      </c>
      <c r="B104" s="164" t="n">
        <v>6735.65785483324</v>
      </c>
      <c r="C104" s="0" t="n">
        <v>13240579</v>
      </c>
    </row>
    <row r="105" customFormat="false" ht="12.8" hidden="false" customHeight="false" outlineLevel="0" collapsed="false">
      <c r="A105" s="0" t="n">
        <v>152</v>
      </c>
      <c r="B105" s="164" t="n">
        <v>6718.90245248794</v>
      </c>
      <c r="C105" s="0" t="n">
        <v>13212230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7773437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1" customFormat="false" ht="12.8" hidden="false" customHeight="false" outlineLevel="0" collapsed="false"/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f aca="false">'[1]Central projection'!L274</f>
        <v>34.2274371921194</v>
      </c>
      <c r="E4" s="22"/>
      <c r="F4" s="21" t="n">
        <f aca="false">'[1]Central projection'!C274</f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f aca="false">'[1]Central projection'!L277</f>
        <v>36.0654421469069</v>
      </c>
      <c r="E5" s="25" t="n">
        <f aca="false">(D7/D6)^(1/3)-1</f>
        <v>0.0200745496556636</v>
      </c>
      <c r="F5" s="24" t="n">
        <f aca="false">'[1]Central projection'!C277</f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f aca="false">'[1]Central projection'!L280</f>
        <v>37.9112181792913</v>
      </c>
      <c r="E6" s="22" t="n">
        <f aca="false">(D8/D7)^(1/3)-1</f>
        <v>0.0217205625419932</v>
      </c>
      <c r="F6" s="21" t="n">
        <f aca="false">'[1]Central projection'!C280</f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f aca="false">'[1]Central projection'!L283</f>
        <v>40.2405100148553</v>
      </c>
      <c r="E7" s="25" t="n">
        <f aca="false">(D9/D8)^(1/3)-1</f>
        <v>0.0284809714113086</v>
      </c>
      <c r="F7" s="24" t="n">
        <f aca="false">'[1]Central projection'!C283</f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3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f aca="false">'[1]Central projection'!L286</f>
        <v>42.9200162644462</v>
      </c>
      <c r="E8" s="22" t="n">
        <f aca="false">(D10/D9)^(1/3)-1</f>
        <v>0.0449818647633</v>
      </c>
      <c r="F8" s="21" t="n">
        <f aca="false">'[1]Central projection'!C286</f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3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f aca="false">'[1]Central projection'!L289</f>
        <v>46.6926648443866</v>
      </c>
      <c r="E9" s="25" t="n">
        <f aca="false">(D9/D8)^(1/3)-1</f>
        <v>0.0284809714113086</v>
      </c>
      <c r="F9" s="24" t="n">
        <f aca="false">'[1]Central projection'!C289</f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3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f aca="false">'[1]Central projection'!L292</f>
        <v>53.281313331461</v>
      </c>
      <c r="E10" s="22" t="n">
        <f aca="false">(D10/D9)^(1/3)-1</f>
        <v>0.0449818647633</v>
      </c>
      <c r="F10" s="21" t="n">
        <f aca="false">'[1]Central projection'!C292</f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3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f aca="false">'[1]Central projection'!L295</f>
        <v>59.4133384581602</v>
      </c>
      <c r="E11" s="25" t="n">
        <f aca="false">(D11/D10)^(1/3)-1</f>
        <v>0.036978323830404</v>
      </c>
      <c r="F11" s="24" t="n">
        <f aca="false">'[1]Central projection'!C295</f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3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f aca="false">'[1]Central projection'!L298</f>
        <v>66.4111454665113</v>
      </c>
      <c r="E12" s="22" t="n">
        <f aca="false">(D12/D11)^(1/3)-1</f>
        <v>0.0378127572782889</v>
      </c>
      <c r="F12" s="21" t="n">
        <f aca="false">'[1]Central projection'!C298</f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3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f aca="false">'[1]Central projection'!L301</f>
        <v>72.7247107047078</v>
      </c>
      <c r="E13" s="25" t="n">
        <f aca="false">(D13/D12)^(1/3)-1</f>
        <v>0.0307349693063796</v>
      </c>
      <c r="F13" s="24" t="n">
        <f aca="false">'[1]Central projection'!C301</f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3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f aca="false">'[1]Central projection'!L304</f>
        <v>81.8091971509488</v>
      </c>
      <c r="E14" s="22" t="n">
        <f aca="false">(D14/D13)^(1/3)-1</f>
        <v>0.0400160528698503</v>
      </c>
      <c r="F14" s="21" t="n">
        <f aca="false">'[1]Central projection'!C304</f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3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f aca="false">'[1]Central projection'!L307</f>
        <v>91.396965668282</v>
      </c>
      <c r="E15" s="25" t="n">
        <f aca="false">(D15/D14)^(1/3)-1</f>
        <v>0.0376316630457982</v>
      </c>
      <c r="F15" s="24" t="n">
        <f aca="false">'[1]Central projection'!C307</f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3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f aca="false">'[1]Central projection'!L310</f>
        <v>98.5254944549653</v>
      </c>
      <c r="E16" s="22" t="n">
        <f aca="false">(D16/D15)^(1/3)-1</f>
        <v>0.0253503448429659</v>
      </c>
      <c r="F16" s="21" t="n">
        <f aca="false">'[1]Central projection'!C310</f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3.8" hidden="false" customHeight="false" outlineLevel="0" collapsed="false">
      <c r="A17" s="27" t="s">
        <v>16</v>
      </c>
      <c r="B17" s="27" t="n">
        <v>121.793348643799</v>
      </c>
      <c r="C17" s="28" t="n">
        <f aca="false">(B17/B16)^(1/3)-1</f>
        <v>-0.0212836742248718</v>
      </c>
      <c r="D17" s="27" t="n">
        <f aca="false">'[1]Central projection'!L313</f>
        <v>103.370505503761</v>
      </c>
      <c r="E17" s="28" t="n">
        <f aca="false">(D17/D16)^(1/3)-1</f>
        <v>0.0161301530908902</v>
      </c>
      <c r="F17" s="27" t="n">
        <f aca="false">'[1]Central projection'!C313</f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93.7498320297412</v>
      </c>
      <c r="K17" s="13" t="n">
        <f aca="false">D17*100/$D$16</f>
        <v>104.917520156177</v>
      </c>
      <c r="L17" s="13" t="n">
        <f aca="false">100*F17*100/D17/($F$16*100/$D$16)</f>
        <v>95.6230733890958</v>
      </c>
    </row>
    <row r="18" customFormat="false" ht="13.8" hidden="false" customHeight="false" outlineLevel="0" collapsed="false">
      <c r="A18" s="29" t="s">
        <v>18</v>
      </c>
      <c r="B18" s="29" t="n">
        <v>120.360395863044</v>
      </c>
      <c r="C18" s="30" t="n">
        <f aca="false">(B18/B17)^(1/3)-1</f>
        <v>-0.00393729650901253</v>
      </c>
      <c r="D18" s="29" t="n">
        <f aca="false">'[1]Central projection'!L316</f>
        <v>111.861110736627</v>
      </c>
      <c r="E18" s="30" t="n">
        <f aca="false">(D18/D17)^(1/3)-1</f>
        <v>0.0266620190565652</v>
      </c>
      <c r="F18" s="29" t="n">
        <f aca="false">'[1]Central projection'!C316</f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92.6468236635354</v>
      </c>
      <c r="K18" s="13" t="n">
        <f aca="false">D18*100/$D$16</f>
        <v>113.535193459757</v>
      </c>
      <c r="L18" s="13" t="n">
        <f aca="false">100*F18*100/D18/($F$16*100/$D$16)</f>
        <v>89.6970987546504</v>
      </c>
    </row>
    <row r="19" customFormat="false" ht="13.8" hidden="false" customHeight="false" outlineLevel="0" collapsed="false">
      <c r="A19" s="27" t="s">
        <v>22</v>
      </c>
      <c r="B19" s="27" t="n">
        <v>129.295276044114</v>
      </c>
      <c r="C19" s="28" t="n">
        <f aca="false">(B19/B18)^(1/3)-1</f>
        <v>0.0241565575579752</v>
      </c>
      <c r="D19" s="27" t="n">
        <f aca="false">'[1]Central projection'!L319</f>
        <v>122.654727926835</v>
      </c>
      <c r="E19" s="28" t="n">
        <f aca="false">(D19/D18)^(1/3)-1</f>
        <v>0.0311813633268185</v>
      </c>
      <c r="F19" s="27" t="n">
        <f aca="false">'[1]Central projection'!C319</f>
        <v>64946.282804131</v>
      </c>
      <c r="G19" s="28" t="n">
        <f aca="false">(F19/F18)^(1/3)-1</f>
        <v>0.0389152235517698</v>
      </c>
      <c r="I19" s="27" t="s">
        <v>35</v>
      </c>
      <c r="J19" s="13" t="n">
        <f aca="false">B19*100/$B$16</f>
        <v>99.524403806528</v>
      </c>
      <c r="K19" s="13" t="n">
        <f aca="false">D19*100/$D$16</f>
        <v>124.490344966397</v>
      </c>
      <c r="L19" s="13" t="n">
        <f aca="false">100*F19*100/D19/($F$16*100/$D$16)</f>
        <v>91.7304577030085</v>
      </c>
    </row>
    <row r="20" customFormat="false" ht="13.8" hidden="false" customHeight="false" outlineLevel="0" collapsed="false">
      <c r="A20" s="29" t="s">
        <v>36</v>
      </c>
      <c r="B20" s="29" t="n">
        <v>128.704138203707</v>
      </c>
      <c r="C20" s="30" t="n">
        <f aca="false">(B20/B19)^(1/3)-1</f>
        <v>-0.00152632807532005</v>
      </c>
      <c r="D20" s="29" t="n">
        <f aca="false">'[1]Central projection'!L322</f>
        <v>132.467106160981</v>
      </c>
      <c r="E20" s="30" t="n">
        <f aca="false">(D20/D19)^(1/3)-1</f>
        <v>0.0259855680060161</v>
      </c>
      <c r="F20" s="29" t="n">
        <f aca="false">'[1]Central projection'!C322</f>
        <v>72267.3577289288</v>
      </c>
      <c r="G20" s="30" t="n">
        <f aca="false">(F20/F19)^(1/3)-1</f>
        <v>0.0362454236860761</v>
      </c>
      <c r="I20" s="29" t="s">
        <v>36</v>
      </c>
      <c r="J20" s="13" t="n">
        <f aca="false">B20*100/$B$16</f>
        <v>99.0693783567667</v>
      </c>
      <c r="K20" s="13" t="n">
        <f aca="false">D20*100/$D$16</f>
        <v>134.449572563708</v>
      </c>
      <c r="L20" s="13" t="n">
        <f aca="false">100*F20*100/D20/($F$16*100/$D$16)</f>
        <v>94.5099823018673</v>
      </c>
    </row>
    <row r="21" customFormat="false" ht="13.8" hidden="false" customHeight="false" outlineLevel="0" collapsed="false">
      <c r="A21" s="27" t="s">
        <v>16</v>
      </c>
      <c r="B21" s="27" t="n">
        <v>148.814842394282</v>
      </c>
      <c r="C21" s="28" t="n">
        <f aca="false">(B21/B20)^(1/3)-1</f>
        <v>0.0495857182301263</v>
      </c>
      <c r="D21" s="27" t="n">
        <f aca="false">'[1]Central projection'!L325</f>
        <v>142.279484395128</v>
      </c>
      <c r="E21" s="28" t="n">
        <f aca="false">(D21/D20)^(1/3)-1</f>
        <v>0.0241056085619498</v>
      </c>
      <c r="F21" s="27" t="n">
        <f aca="false">'[1]Central projection'!C325</f>
        <v>79972.4739677305</v>
      </c>
      <c r="G21" s="28" t="n">
        <f aca="false">(F21/F20)^(1/3)-1</f>
        <v>0.0343466646475694</v>
      </c>
      <c r="H21" s="31" t="n">
        <f aca="false">(F16*100/D16)/(F14*100/D14)-1</f>
        <v>0.0382171077664446</v>
      </c>
      <c r="I21" s="27" t="s">
        <v>37</v>
      </c>
      <c r="J21" s="13" t="n">
        <f aca="false">B21*100/$B$16</f>
        <v>114.54949415012</v>
      </c>
      <c r="K21" s="13" t="n">
        <f aca="false">D21*100/$D$16</f>
        <v>144.40880016102</v>
      </c>
      <c r="L21" s="13" t="n">
        <f aca="false">100*F21*100/D21/($F$16*100/$D$16)</f>
        <v>97.3737292755962</v>
      </c>
    </row>
    <row r="22" customFormat="false" ht="13.8" hidden="false" customHeight="false" outlineLevel="0" collapsed="false">
      <c r="A22" s="29" t="s">
        <v>18</v>
      </c>
      <c r="B22" s="29" t="n">
        <v>138.913451314941</v>
      </c>
      <c r="C22" s="30" t="n">
        <f aca="false">(B22/B21)^(1/3)-1</f>
        <v>-0.0226892310700935</v>
      </c>
      <c r="D22" s="29" t="n">
        <f aca="false">'[1]Central projection'!L328</f>
        <v>152.091862629275</v>
      </c>
      <c r="E22" s="30" t="n">
        <f aca="false">(D22/D21)^(1/3)-1</f>
        <v>0.0224793960467049</v>
      </c>
      <c r="F22" s="29" t="n">
        <f aca="false">'[1]Central projection'!C328</f>
        <v>86776.5565272398</v>
      </c>
      <c r="G22" s="30" t="n">
        <f aca="false">(F22/F21)^(1/3)-1</f>
        <v>0.027591793026938</v>
      </c>
      <c r="I22" s="29" t="s">
        <v>38</v>
      </c>
      <c r="J22" s="13" t="n">
        <f aca="false">B22*100/$B$16</f>
        <v>106.927946989414</v>
      </c>
      <c r="K22" s="13" t="n">
        <f aca="false">D22*100/$D$16</f>
        <v>154.368027758332</v>
      </c>
      <c r="L22" s="13" t="n">
        <f aca="false">100*F22*100/D22/($F$16*100/$D$16)</f>
        <v>98.8416504161419</v>
      </c>
    </row>
    <row r="23" customFormat="false" ht="13.8" hidden="false" customHeight="false" outlineLevel="0" collapsed="false">
      <c r="A23" s="27" t="s">
        <v>22</v>
      </c>
      <c r="B23" s="27" t="n">
        <v>139.301780600983</v>
      </c>
      <c r="C23" s="28" t="n">
        <f aca="false">(B23/B22)^(1/3)-1</f>
        <v>0.000930958540904525</v>
      </c>
      <c r="D23" s="27" t="n">
        <f aca="false">'[1]Central projection'!L331</f>
        <v>161.904240863422</v>
      </c>
      <c r="E23" s="28" t="n">
        <f aca="false">(D23/D22)^(1/3)-1</f>
        <v>0.0210587906798481</v>
      </c>
      <c r="F23" s="27" t="n">
        <f aca="false">'[1]Central projection'!C331</f>
        <v>93767.6093809871</v>
      </c>
      <c r="G23" s="28" t="n">
        <f aca="false">(F23/F22)^(1/3)-1</f>
        <v>0.0261640846332472</v>
      </c>
      <c r="H23" s="31" t="n">
        <f aca="false">(F18*100/D18)/(F16*100/D16)-1</f>
        <v>-0.103029012453496</v>
      </c>
      <c r="I23" s="27" t="s">
        <v>39</v>
      </c>
      <c r="J23" s="13" t="n">
        <f aca="false">B23*100/$B$16</f>
        <v>107.226861550382</v>
      </c>
      <c r="K23" s="13" t="n">
        <f aca="false">D23*100/$D$16</f>
        <v>164.327255355644</v>
      </c>
      <c r="L23" s="13" t="n">
        <f aca="false">100*F23*100/D23/($F$16*100/$D$16)</f>
        <v>100.331700651371</v>
      </c>
    </row>
    <row r="24" customFormat="false" ht="13.8" hidden="false" customHeight="false" outlineLevel="0" collapsed="false">
      <c r="A24" s="29" t="s">
        <v>40</v>
      </c>
      <c r="B24" s="29" t="n">
        <v>136.073141423361</v>
      </c>
      <c r="C24" s="30" t="n">
        <f aca="false">(B24/B23)^(1/3)-1</f>
        <v>-0.00778623481455942</v>
      </c>
      <c r="D24" s="29" t="n">
        <f aca="false">'[1]Central projection'!L334</f>
        <v>172.306588338896</v>
      </c>
      <c r="E24" s="30" t="n">
        <f aca="false">(D24/D23)^(1/3)-1</f>
        <v>0.0209736953556183</v>
      </c>
      <c r="F24" s="29" t="n">
        <f aca="false">'[1]Central projection'!C334</f>
        <v>100542.492283439</v>
      </c>
      <c r="G24" s="30" t="n">
        <f aca="false">(F24/F23)^(1/3)-1</f>
        <v>0.023526129594009</v>
      </c>
      <c r="I24" s="29" t="s">
        <v>40</v>
      </c>
      <c r="J24" s="13" t="n">
        <f aca="false">B24*100/$B$16</f>
        <v>104.741632398239</v>
      </c>
      <c r="K24" s="13" t="n">
        <f aca="false">D24*100/$D$16</f>
        <v>174.885281512244</v>
      </c>
      <c r="L24" s="13" t="n">
        <f aca="false">100*F24*100/D24/($F$16*100/$D$16)</f>
        <v>101.086071193327</v>
      </c>
    </row>
    <row r="25" customFormat="false" ht="13.8" hidden="false" customHeight="false" outlineLevel="0" collapsed="false">
      <c r="A25" s="27" t="s">
        <v>16</v>
      </c>
      <c r="B25" s="27" t="n">
        <v>157.03200298982</v>
      </c>
      <c r="C25" s="28" t="n">
        <f aca="false">(B25/B24)^(1/3)-1</f>
        <v>0.048910870703599</v>
      </c>
      <c r="D25" s="27" t="n">
        <f aca="false">'[1]Central projection'!L337</f>
        <v>182.708935814371</v>
      </c>
      <c r="E25" s="28" t="n">
        <f aca="false">(D25/D24)^(1/3)-1</f>
        <v>0.0197318125479624</v>
      </c>
      <c r="F25" s="27" t="n">
        <f aca="false">'[1]Central projection'!C337</f>
        <v>107413.951844086</v>
      </c>
      <c r="G25" s="28" t="n">
        <f aca="false">(F25/F24)^(1/3)-1</f>
        <v>0.0222811420793294</v>
      </c>
      <c r="I25" s="27" t="s">
        <v>41</v>
      </c>
      <c r="J25" s="13" t="n">
        <f aca="false">B25*100/$B$16</f>
        <v>120.874613166644</v>
      </c>
      <c r="K25" s="13" t="n">
        <f aca="false">D25*100/$D$16</f>
        <v>185.443307668844</v>
      </c>
      <c r="L25" s="13" t="n">
        <f aca="false">100*F25*100/D25/($F$16*100/$D$16)</f>
        <v>101.846113670581</v>
      </c>
    </row>
    <row r="26" customFormat="false" ht="13.8" hidden="false" customHeight="false" outlineLevel="0" collapsed="false">
      <c r="A26" s="29" t="s">
        <v>18</v>
      </c>
      <c r="B26" s="29" t="n">
        <v>145.537030624016</v>
      </c>
      <c r="C26" s="30" t="n">
        <f aca="false">(B26/B25)^(1/3)-1</f>
        <v>-0.0250213331191924</v>
      </c>
      <c r="D26" s="29" t="n">
        <f aca="false">'[1]Central projection'!L340</f>
        <v>193.111283289846</v>
      </c>
      <c r="E26" s="30" t="n">
        <f aca="false">(D26/D25)^(1/3)-1</f>
        <v>0.0186288070039271</v>
      </c>
      <c r="F26" s="29" t="n">
        <f aca="false">'[1]Central projection'!C340</f>
        <v>114383.057340873</v>
      </c>
      <c r="G26" s="30" t="n">
        <f aca="false">(F26/F25)^(1/3)-1</f>
        <v>0.0211753790214375</v>
      </c>
      <c r="I26" s="29" t="s">
        <v>42</v>
      </c>
      <c r="J26" s="13" t="n">
        <f aca="false">B26*100/$B$16</f>
        <v>112.02641463626</v>
      </c>
      <c r="K26" s="13" t="n">
        <f aca="false">D26*100/$D$16</f>
        <v>196.001333825444</v>
      </c>
      <c r="L26" s="13" t="n">
        <f aca="false">100*F26*100/D26/($F$16*100/$D$16)</f>
        <v>102.611870729087</v>
      </c>
    </row>
    <row r="27" customFormat="false" ht="13.8" hidden="false" customHeight="false" outlineLevel="0" collapsed="false">
      <c r="A27" s="27" t="s">
        <v>22</v>
      </c>
      <c r="B27" s="27" t="n">
        <v>145.555424639123</v>
      </c>
      <c r="C27" s="28" t="n">
        <f aca="false">(B27/B26)^(1/3)-1</f>
        <v>4.21272857726862E-005</v>
      </c>
      <c r="D27" s="27" t="n">
        <f aca="false">'[1]Central projection'!L343</f>
        <v>203.513630765321</v>
      </c>
      <c r="E27" s="28" t="n">
        <f aca="false">(D27/D26)^(1/3)-1</f>
        <v>0.0176426123436477</v>
      </c>
      <c r="F27" s="27" t="n">
        <f aca="false">'[1]Central projection'!C343</f>
        <v>121450.888671387</v>
      </c>
      <c r="G27" s="28" t="n">
        <f aca="false">(F27/F26)^(1/3)-1</f>
        <v>0.0201867188745088</v>
      </c>
      <c r="H27" s="31" t="n">
        <f aca="false">(F22*100/D22)/(F20*100/D20)-1</f>
        <v>0.0458329163626245</v>
      </c>
      <c r="I27" s="27" t="s">
        <v>43</v>
      </c>
      <c r="J27" s="13" t="n">
        <f aca="false">B27*100/$B$16</f>
        <v>112.040573339061</v>
      </c>
      <c r="K27" s="13" t="n">
        <f aca="false">D27*100/$D$16</f>
        <v>206.559359982044</v>
      </c>
      <c r="L27" s="13" t="n">
        <f aca="false">100*F27*100/D27/($F$16*100/$D$16)</f>
        <v>103.383385335443</v>
      </c>
    </row>
    <row r="28" customFormat="false" ht="13.8" hidden="false" customHeight="false" outlineLevel="0" collapsed="false">
      <c r="A28" s="29" t="s">
        <v>44</v>
      </c>
      <c r="B28" s="29" t="n">
        <v>142.127465696974</v>
      </c>
      <c r="C28" s="30" t="n">
        <f aca="false">(B28/B27)^(1/3)-1</f>
        <v>-0.00791274104255613</v>
      </c>
      <c r="D28" s="29" t="n">
        <f aca="false">'[1]Central projection'!L346</f>
        <v>213.689312303587</v>
      </c>
      <c r="E28" s="30" t="n">
        <f aca="false">(D28/D27)^(1/3)-1</f>
        <v>0.0163963568148533</v>
      </c>
      <c r="F28" s="29" t="n">
        <f aca="false">'[1]Central projection'!C346</f>
        <v>128321.42265336</v>
      </c>
      <c r="G28" s="30" t="n">
        <f aca="false">(F28/F27)^(1/3)-1</f>
        <v>0.0185120143527613</v>
      </c>
      <c r="I28" s="29" t="s">
        <v>44</v>
      </c>
      <c r="J28" s="13" t="n">
        <f aca="false">B28*100/$B$16</f>
        <v>109.40191877697</v>
      </c>
      <c r="K28" s="13" t="n">
        <f aca="false">D28*100/$D$16</f>
        <v>216.887327981147</v>
      </c>
      <c r="L28" s="13" t="n">
        <f aca="false">100*F28*100/D28/($F$16*100/$D$16)</f>
        <v>104.030316326615</v>
      </c>
    </row>
    <row r="29" customFormat="false" ht="13.8" hidden="false" customHeight="false" outlineLevel="0" collapsed="false">
      <c r="A29" s="27" t="s">
        <v>16</v>
      </c>
      <c r="B29" s="27" t="n">
        <v>163.428616698433</v>
      </c>
      <c r="C29" s="28" t="n">
        <f aca="false">(B29/B28)^(1/3)-1</f>
        <v>0.0476511584273243</v>
      </c>
      <c r="D29" s="27" t="n">
        <f aca="false">'[1]Central projection'!L349</f>
        <v>223.864993841853</v>
      </c>
      <c r="E29" s="28" t="n">
        <f aca="false">(D29/D28)^(1/3)-1</f>
        <v>0.015627524178943</v>
      </c>
      <c r="F29" s="27" t="n">
        <f aca="false">'[1]Central projection'!C349</f>
        <v>135267.955639944</v>
      </c>
      <c r="G29" s="28" t="n">
        <f aca="false">(F29/F28)^(1/3)-1</f>
        <v>0.0177284618504119</v>
      </c>
      <c r="I29" s="27" t="s">
        <v>45</v>
      </c>
      <c r="J29" s="13" t="n">
        <f aca="false">B29*100/$B$16</f>
        <v>125.798375157091</v>
      </c>
      <c r="K29" s="13" t="n">
        <f aca="false">D29*100/$D$16</f>
        <v>227.215295980249</v>
      </c>
      <c r="L29" s="13" t="n">
        <f aca="false">100*F29*100/D29/($F$16*100/$D$16)</f>
        <v>104.677247317788</v>
      </c>
    </row>
    <row r="30" customFormat="false" ht="13.8" hidden="false" customHeight="false" outlineLevel="0" collapsed="false">
      <c r="A30" s="29" t="s">
        <v>18</v>
      </c>
      <c r="B30" s="29" t="n">
        <v>151.12037719202</v>
      </c>
      <c r="C30" s="30" t="n">
        <f aca="false">(B30/B29)^(1/3)-1</f>
        <v>-0.0257622028686859</v>
      </c>
      <c r="D30" s="29" t="n">
        <f aca="false">'[1]Central projection'!L352</f>
        <v>234.040675380119</v>
      </c>
      <c r="E30" s="30" t="n">
        <f aca="false">(D30/D29)^(1/3)-1</f>
        <v>0.0149275739061074</v>
      </c>
      <c r="F30" s="29" t="n">
        <f aca="false">'[1]Central projection'!C352</f>
        <v>142290.487631137</v>
      </c>
      <c r="G30" s="30" t="n">
        <f aca="false">(F30/F29)^(1/3)-1</f>
        <v>0.0170141148952681</v>
      </c>
      <c r="I30" s="29" t="s">
        <v>46</v>
      </c>
      <c r="J30" s="13" t="n">
        <f aca="false">B30*100/$B$16</f>
        <v>116.324168238922</v>
      </c>
      <c r="K30" s="13" t="n">
        <f aca="false">D30*100/$D$16</f>
        <v>237.543263979351</v>
      </c>
      <c r="L30" s="13" t="n">
        <f aca="false">100*F30*100/D30/($F$16*100/$D$16)</f>
        <v>105.324178308961</v>
      </c>
    </row>
    <row r="31" customFormat="false" ht="13.8" hidden="false" customHeight="false" outlineLevel="0" collapsed="false">
      <c r="A31" s="27" t="s">
        <v>22</v>
      </c>
      <c r="B31" s="27" t="n">
        <v>150.777877991517</v>
      </c>
      <c r="C31" s="28" t="n">
        <f aca="false">(B31/B30)^(1/3)-1</f>
        <v>-0.000756038066844766</v>
      </c>
      <c r="D31" s="27" t="n">
        <f aca="false">'[1]Central projection'!L355</f>
        <v>244.216356918385</v>
      </c>
      <c r="E31" s="28" t="n">
        <f aca="false">(D31/D30)^(1/3)-1</f>
        <v>0.0142876446230167</v>
      </c>
      <c r="F31" s="27" t="n">
        <f aca="false">'[1]Central projection'!C355</f>
        <v>149389.01862694</v>
      </c>
      <c r="G31" s="28" t="n">
        <f aca="false">(F31/F30)^(1/3)-1</f>
        <v>0.0163600880648558</v>
      </c>
      <c r="I31" s="27" t="s">
        <v>47</v>
      </c>
      <c r="J31" s="13" t="n">
        <f aca="false">B31*100/$B$16</f>
        <v>116.060531161241</v>
      </c>
      <c r="K31" s="13" t="n">
        <f aca="false">D31*100/$D$16</f>
        <v>247.871231978453</v>
      </c>
      <c r="L31" s="13" t="n">
        <f aca="false">100*F31*100/D31/($F$16*100/$D$16)</f>
        <v>105.971109300133</v>
      </c>
    </row>
    <row r="32" customFormat="false" ht="13.8" hidden="false" customHeight="false" outlineLevel="0" collapsed="false">
      <c r="A32" s="29" t="s">
        <v>48</v>
      </c>
      <c r="B32" s="29" t="n">
        <v>147.077157123927</v>
      </c>
      <c r="C32" s="30" t="n">
        <f aca="false">(B32/B31)^(1/3)-1</f>
        <v>-0.00824925979332824</v>
      </c>
      <c r="D32" s="29" t="n">
        <f aca="false">'[1]Central projection'!L358</f>
        <v>253.374470302824</v>
      </c>
      <c r="E32" s="30" t="n">
        <f aca="false">(D32/D31)^(1/3)-1</f>
        <v>0.012346926002728</v>
      </c>
      <c r="F32" s="29" t="n">
        <f aca="false">'[1]Central projection'!C358</f>
        <v>155937.294432844</v>
      </c>
      <c r="G32" s="30" t="n">
        <f aca="false">(F32/F31)^(1/3)-1</f>
        <v>0.0144028020286933</v>
      </c>
      <c r="I32" s="29" t="s">
        <v>48</v>
      </c>
      <c r="J32" s="13" t="n">
        <f aca="false">B32*100/$B$16</f>
        <v>113.21191944649</v>
      </c>
      <c r="K32" s="13" t="n">
        <f aca="false">D32*100/$D$16</f>
        <v>257.166403177645</v>
      </c>
      <c r="L32" s="13" t="n">
        <f aca="false">100*F32*100/D32/($F$16*100/$D$16)</f>
        <v>106.618040291306</v>
      </c>
    </row>
    <row r="33" customFormat="false" ht="13.8" hidden="false" customHeight="false" outlineLevel="0" collapsed="false">
      <c r="A33" s="27" t="s">
        <v>16</v>
      </c>
      <c r="B33" s="27" t="n">
        <v>168.301130469874</v>
      </c>
      <c r="C33" s="28" t="n">
        <f aca="false">(B33/B32)^(1/3)-1</f>
        <v>0.045957252166752</v>
      </c>
      <c r="D33" s="27" t="n">
        <f aca="false">'[1]Central projection'!L361</f>
        <v>262.532583687264</v>
      </c>
      <c r="E33" s="28" t="n">
        <f aca="false">(D33/D32)^(1/3)-1</f>
        <v>0.0119058802341567</v>
      </c>
      <c r="F33" s="27" t="n">
        <f aca="false">'[1]Central projection'!C361</f>
        <v>162553.969342897</v>
      </c>
      <c r="G33" s="28" t="n">
        <f aca="false">(F33/F32)^(1/3)-1</f>
        <v>0.013948416589689</v>
      </c>
      <c r="I33" s="27" t="s">
        <v>49</v>
      </c>
      <c r="J33" s="13" t="n">
        <f aca="false">B33*100/$B$16</f>
        <v>129.548968705276</v>
      </c>
      <c r="K33" s="13" t="n">
        <f aca="false">D33*100/$D$16</f>
        <v>266.461574376837</v>
      </c>
      <c r="L33" s="13" t="n">
        <f aca="false">100*F33*100/D33/($F$16*100/$D$16)</f>
        <v>107.264971282479</v>
      </c>
    </row>
    <row r="34" customFormat="false" ht="13.8" hidden="false" customHeight="false" outlineLevel="0" collapsed="false">
      <c r="A34" s="29" t="s">
        <v>18</v>
      </c>
      <c r="B34" s="29" t="n">
        <v>155.920025005862</v>
      </c>
      <c r="C34" s="30" t="n">
        <f aca="false">(B34/B33)^(1/3)-1</f>
        <v>-0.0251488966870171</v>
      </c>
      <c r="D34" s="29" t="n">
        <f aca="false">'[1]Central projection'!L364</f>
        <v>271.690697071703</v>
      </c>
      <c r="E34" s="30" t="n">
        <f aca="false">(D34/D33)^(1/3)-1</f>
        <v>0.0114952596506279</v>
      </c>
      <c r="F34" s="29" t="n">
        <f aca="false">'[1]Central projection'!C364</f>
        <v>169239.043357098</v>
      </c>
      <c r="G34" s="30" t="n">
        <f aca="false">(F34/F33)^(1/3)-1</f>
        <v>0.0135246779649469</v>
      </c>
      <c r="I34" s="29" t="s">
        <v>50</v>
      </c>
      <c r="J34" s="13" t="n">
        <f aca="false">B34*100/$B$16</f>
        <v>120.018673574067</v>
      </c>
      <c r="K34" s="13" t="n">
        <f aca="false">D34*100/$D$16</f>
        <v>275.756745576029</v>
      </c>
      <c r="L34" s="13" t="n">
        <f aca="false">100*F34*100/D34/($F$16*100/$D$16)</f>
        <v>107.911902273651</v>
      </c>
    </row>
    <row r="35" customFormat="false" ht="13.8" hidden="false" customHeight="false" outlineLevel="0" collapsed="false">
      <c r="A35" s="27" t="s">
        <v>22</v>
      </c>
      <c r="B35" s="27" t="n">
        <v>155.489207581396</v>
      </c>
      <c r="C35" s="28" t="n">
        <f aca="false">(B35/B34)^(1/3)-1</f>
        <v>-0.000921871810216857</v>
      </c>
      <c r="D35" s="27" t="n">
        <f aca="false">'[1]Central projection'!L367</f>
        <v>280.848810456143</v>
      </c>
      <c r="E35" s="28" t="n">
        <f aca="false">(D35/D34)^(1/3)-1</f>
        <v>0.011112020692633</v>
      </c>
      <c r="F35" s="27" t="n">
        <f aca="false">'[1]Central projection'!C367</f>
        <v>175992.516475449</v>
      </c>
      <c r="G35" s="28" t="n">
        <f aca="false">(F35/F34)^(1/3)-1</f>
        <v>0.0131285325469526</v>
      </c>
      <c r="I35" s="27" t="s">
        <v>51</v>
      </c>
      <c r="J35" s="13" t="n">
        <f aca="false">B35*100/$B$16</f>
        <v>119.687053977193</v>
      </c>
      <c r="K35" s="13" t="n">
        <f aca="false">D35*100/$D$16</f>
        <v>285.051916775221</v>
      </c>
      <c r="L35" s="13" t="n">
        <f aca="false">100*F35*100/D35/($F$16*100/$D$16)</f>
        <v>108.558833264824</v>
      </c>
    </row>
    <row r="37" customFormat="false" ht="34.2" hidden="false" customHeight="false" outlineLevel="0" collapsed="false">
      <c r="A37" s="32" t="s">
        <v>52</v>
      </c>
      <c r="B37" s="33" t="s">
        <v>53</v>
      </c>
      <c r="C37" s="33" t="s">
        <v>54</v>
      </c>
      <c r="D37" s="34" t="s">
        <v>55</v>
      </c>
    </row>
    <row r="38" customFormat="false" ht="13.8" hidden="false" customHeight="false" outlineLevel="0" collapsed="false">
      <c r="A38" s="35" t="n">
        <v>2019</v>
      </c>
      <c r="B38" s="36" t="n">
        <f aca="false">AVERAGE(B12:B15)</f>
        <v>142.652806521192</v>
      </c>
      <c r="C38" s="37"/>
      <c r="D38" s="37"/>
    </row>
    <row r="39" customFormat="false" ht="13.8" hidden="false" customHeight="false" outlineLevel="0" collapsed="false">
      <c r="A39" s="7" t="n">
        <v>2020</v>
      </c>
      <c r="B39" s="38" t="n">
        <f aca="false">AVERAGE(B16:B19)</f>
        <v>125.340539633535</v>
      </c>
      <c r="C39" s="39" t="n">
        <f aca="false">B39/B38-1</f>
        <v>-0.121359455238514</v>
      </c>
      <c r="D39" s="39" t="n">
        <f aca="false">B19/B15-1</f>
        <v>-0.0673009275238584</v>
      </c>
    </row>
    <row r="40" customFormat="false" ht="13.8" hidden="false" customHeight="false" outlineLevel="0" collapsed="false">
      <c r="A40" s="35" t="n">
        <v>2021</v>
      </c>
      <c r="B40" s="36" t="n">
        <f aca="false">AVERAGE(B20:B23)</f>
        <v>138.933553128478</v>
      </c>
      <c r="C40" s="37" t="n">
        <f aca="false">B40/B39-1</f>
        <v>0.108448659425643</v>
      </c>
      <c r="D40" s="37" t="n">
        <f aca="false">B23/B19-1</f>
        <v>0.0773926539547734</v>
      </c>
    </row>
    <row r="41" customFormat="false" ht="13.8" hidden="false" customHeight="false" outlineLevel="0" collapsed="false">
      <c r="A41" s="7" t="n">
        <v>2022</v>
      </c>
      <c r="B41" s="38" t="n">
        <f aca="false">AVERAGE(B24:B27)</f>
        <v>146.04939991908</v>
      </c>
      <c r="C41" s="39" t="n">
        <f aca="false">B41/B40-1</f>
        <v>0.0512176261987729</v>
      </c>
      <c r="D41" s="39" t="n">
        <f aca="false">B27/B23-1</f>
        <v>0.0448927789089286</v>
      </c>
    </row>
    <row r="42" customFormat="false" ht="13.8" hidden="false" customHeight="false" outlineLevel="0" collapsed="false">
      <c r="A42" s="35" t="n">
        <v>2023</v>
      </c>
      <c r="B42" s="36" t="n">
        <f aca="false">AVERAGE(B28:B31)</f>
        <v>151.863584394736</v>
      </c>
      <c r="C42" s="37" t="n">
        <f aca="false">B42/B41-1</f>
        <v>0.0398097115008853</v>
      </c>
      <c r="D42" s="37" t="n">
        <f aca="false">B31/B27-1</f>
        <v>0.0358794827835656</v>
      </c>
    </row>
    <row r="43" customFormat="false" ht="13.8" hidden="false" customHeight="false" outlineLevel="0" collapsed="false">
      <c r="A43" s="7" t="n">
        <v>2024</v>
      </c>
      <c r="B43" s="38" t="n">
        <f aca="false">AVERAGE(B32:B35)</f>
        <v>156.696880045265</v>
      </c>
      <c r="C43" s="39" t="n">
        <f aca="false">B43/B42-1</f>
        <v>0.0318265611192585</v>
      </c>
      <c r="D43" s="39" t="n">
        <f aca="false">B35/B31-1</f>
        <v>0.0312468224956983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5" colorId="64" zoomScale="65" zoomScaleNormal="65" zoomScalePageLayoutView="100" workbookViewId="0">
      <pane xSplit="2" ySplit="0" topLeftCell="AC5" activePane="topRight" state="frozen"/>
      <selection pane="topLeft" activeCell="A5" activeCellId="0" sqref="A5"/>
      <selection pane="topRight" activeCell="AG36" activeCellId="0" sqref="AG36"/>
    </sheetView>
  </sheetViews>
  <sheetFormatPr defaultColWidth="9.0039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6.22"/>
    <col collapsed="false" customWidth="true" hidden="false" outlineLevel="0" max="31" min="31" style="0" width="12.52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3" min="63" style="0" width="22.31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57</v>
      </c>
      <c r="D1" s="40"/>
      <c r="E1" s="40" t="s">
        <v>58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">
        <v>71</v>
      </c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">
        <v>87</v>
      </c>
      <c r="BE1" s="1"/>
      <c r="BF1" s="1" t="s">
        <v>88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48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AW3" s="0"/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-0.0328743672773598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W4" s="0"/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0.0139861505051354</v>
      </c>
      <c r="BM4" s="51" t="n">
        <f aca="false">SUM(D14:D17)/AVERAGE(AG14:AG17)</f>
        <v>0.0796959313657844</v>
      </c>
      <c r="BN4" s="51" t="n">
        <f aca="false">(SUM(H14:H17)+SUM(J14:J17))/AVERAGE(AG14:AG17)</f>
        <v>0</v>
      </c>
      <c r="BO4" s="52" t="n">
        <f aca="false">AL4-BN4</f>
        <v>-0.0328743672773598</v>
      </c>
      <c r="BP4" s="0"/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-0.0327708635680787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W5" s="0"/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0.0613981988851851</v>
      </c>
      <c r="BL5" s="51" t="n">
        <f aca="false">SUM(P18:P21)/AVERAGE(AG18:AG21)</f>
        <v>0.0153261534329078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-0.032810831540528</v>
      </c>
      <c r="BP5" s="0"/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-0.0365169666578661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W6" s="0"/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0.0632114979056286</v>
      </c>
      <c r="BL6" s="51" t="n">
        <f aca="false">SUM(P22:P25)/AVERAGE(AG22:AG25)</f>
        <v>0.0188670911485169</v>
      </c>
      <c r="BM6" s="51" t="n">
        <f aca="false">SUM(D22:D25)/AVERAGE(AG22:AG25)</f>
        <v>0.0808613734149778</v>
      </c>
      <c r="BN6" s="51" t="n">
        <f aca="false">(SUM(H22:H25)+SUM(J22:J25))/AVERAGE(AG22:AG25)</f>
        <v>0.000542822051953923</v>
      </c>
      <c r="BO6" s="52" t="n">
        <f aca="false">AL6-BN6</f>
        <v>-0.03705978870982</v>
      </c>
      <c r="BP6" s="31" t="n">
        <f aca="false">BM6+BN6</f>
        <v>0.0814041954669318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-0.0361426653492926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-0.0256535187698723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W7" s="0"/>
      <c r="AX7" s="2" t="n">
        <f aca="false">(AV7-AV6)/AV6</f>
        <v>-0.0135477210481409</v>
      </c>
      <c r="BI7" s="51" t="n">
        <f aca="false">T14/AG14</f>
        <v>0.0139500372433035</v>
      </c>
      <c r="BJ7" s="2" t="n">
        <f aca="false">BJ6+1</f>
        <v>2018</v>
      </c>
      <c r="BK7" s="51" t="n">
        <f aca="false">SUM(T26:T29)/AVERAGE(AG26:AG29)</f>
        <v>0.0590159622103877</v>
      </c>
      <c r="BL7" s="51" t="n">
        <f aca="false">SUM(P26:P29)/AVERAGE(AG26:AG29)</f>
        <v>0.0175882201816178</v>
      </c>
      <c r="BM7" s="51" t="n">
        <f aca="false">SUM(D26:D29)/AVERAGE(AG26:AG29)</f>
        <v>0.0775704073780624</v>
      </c>
      <c r="BN7" s="51" t="n">
        <f aca="false">(SUM(H26:H29)+SUM(J26:J29))/AVERAGE(AG26:AG29)</f>
        <v>0.000951174085141824</v>
      </c>
      <c r="BO7" s="52" t="n">
        <f aca="false">AL7-BN7</f>
        <v>-0.0370938394344344</v>
      </c>
      <c r="BP7" s="0"/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7" t="n">
        <f aca="false">AK7+1</f>
        <v>2019</v>
      </c>
      <c r="AL8" s="52" t="n">
        <f aca="false">SUM(AB30:AB33)/AVERAGE(AG30:AG33)</f>
        <v>-0.0380967042071711</v>
      </c>
      <c r="AM8" s="4" t="n"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W8" s="0"/>
      <c r="AX8" s="2" t="n">
        <f aca="false">(AV8-AV7)/AV7</f>
        <v>0.00641144738254397</v>
      </c>
      <c r="BI8" s="51" t="n">
        <f aca="false">T15/AG15</f>
        <v>0.0146066801931316</v>
      </c>
      <c r="BJ8" s="2" t="n">
        <f aca="false">BJ7+1</f>
        <v>2019</v>
      </c>
      <c r="BK8" s="51" t="n">
        <f aca="false">SUM(T30:T33)/AVERAGE(AG30:AG33)</f>
        <v>0.0513845170542849</v>
      </c>
      <c r="BL8" s="51" t="n">
        <f aca="false">SUM(P30:P33)/AVERAGE(AG30:AG33)</f>
        <v>0.0166616267335346</v>
      </c>
      <c r="BM8" s="51" t="n">
        <f aca="false">SUM(D30:D33)/AVERAGE(AG30:AG33)</f>
        <v>0.0728195945279215</v>
      </c>
      <c r="BN8" s="51" t="n">
        <f aca="false">(SUM(H30:H33)+SUM(J30:J33))/AVERAGE(AG30:AG33)</f>
        <v>0.000865165034521149</v>
      </c>
      <c r="BO8" s="52" t="n">
        <f aca="false">AL8-BN8</f>
        <v>-0.0389618692416923</v>
      </c>
      <c r="BP8" s="0"/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-0.0562345782289308</v>
      </c>
      <c r="AM9" s="4" t="n">
        <v>18862810.403066</v>
      </c>
      <c r="AN9" s="52" t="n">
        <f aca="false">AM9/AVERAGE(AG34:AG37)</f>
        <v>0.00425719625354158</v>
      </c>
      <c r="AO9" s="52" t="n">
        <f aca="false">AVERAGE(AG34:AG37)/AVERAGE(AG30:AG33)-1</f>
        <v>-0.12371581755656</v>
      </c>
      <c r="AP9" s="55" t="n">
        <f aca="false">((((((AP8*((1+AO9)^(1/12))-AM9/12)*((1+AO9)^(1/12))-AM9/12)*((1+AO9)^(1/12))-AM9/12)*((1+AO9)^(1/12))-AM9/12)*((1+AO9)^(1/12))-AM9/12)*((1+AO9)^(1/12))-AM9/12)*((1+AO9)^(1/12))-AM9/12</f>
        <v>-1066093.41188291</v>
      </c>
      <c r="AQ9" s="4" t="n">
        <f aca="false">AQ8*(1+AO9)</f>
        <v>365620237.983978</v>
      </c>
      <c r="AR9" s="4" t="n">
        <f aca="false">((((((AQ8*((1+AO9)^(6/12)))*((1+AO9)^(1/12))+AP9)*((1+AO9)^(1/12))-AM9/12)*((1+AO9)^(1/12))-AM9/12)*((1+AO9)^(1/12))-AM9/12)*((1+AO9)^(1/12))-AM9/12)*((1+AO9)^(1/12))-AM9/12</f>
        <v>356921892.12567</v>
      </c>
      <c r="AS9" s="53" t="n">
        <f aca="false">AQ9/AG37</f>
        <v>0.0799938135109275</v>
      </c>
      <c r="AT9" s="53" t="n">
        <f aca="false">AR9/AG37</f>
        <v>0.078090708091272</v>
      </c>
      <c r="AV9" s="2" t="n">
        <v>11339977</v>
      </c>
      <c r="AW9" s="0"/>
      <c r="AX9" s="2" t="n">
        <f aca="false">(AV9-AV8)/AV8</f>
        <v>0.0231922236511452</v>
      </c>
      <c r="BI9" s="51" t="n">
        <f aca="false">T16/AG16</f>
        <v>0.0146909918106802</v>
      </c>
      <c r="BJ9" s="2" t="n">
        <f aca="false">BJ8+1</f>
        <v>2020</v>
      </c>
      <c r="BK9" s="51" t="n">
        <f aca="false">SUM(T34:T37)/AVERAGE(AG34:AG37)</f>
        <v>0.0521439859440649</v>
      </c>
      <c r="BL9" s="51" t="n">
        <f aca="false">SUM(P34:P37)/AVERAGE(AG34:AG37)</f>
        <v>0.0193312923793918</v>
      </c>
      <c r="BM9" s="51" t="n">
        <f aca="false">SUM(D34:D37)/AVERAGE(AG34:AG37)</f>
        <v>0.089047271793604</v>
      </c>
      <c r="BN9" s="51" t="n">
        <f aca="false">(SUM(H34:H37)+SUM(J34:J37))/AVERAGE(AG34:AG37)</f>
        <v>0.00138838047252581</v>
      </c>
      <c r="BO9" s="52" t="n">
        <f aca="false">AL9-BN9</f>
        <v>-0.0576229587014566</v>
      </c>
      <c r="BP9" s="0"/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-0.0500378980122892</v>
      </c>
      <c r="AM10" s="4" t="n">
        <v>17835539.214349</v>
      </c>
      <c r="AN10" s="52" t="n">
        <f aca="false">AM10/AVERAGE(AG38:AG41)</f>
        <v>0.00363151575799373</v>
      </c>
      <c r="AO10" s="52" t="n">
        <f aca="false">AVERAGE(AG38:AG41)/AVERAGE(AG34:AG37)-1</f>
        <v>0.108448659425643</v>
      </c>
      <c r="AP10" s="52"/>
      <c r="AQ10" s="4" t="n">
        <f aca="false">AQ9*(1+AO10)</f>
        <v>405271262.652225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376924004.651178</v>
      </c>
      <c r="AS10" s="53" t="n">
        <f aca="false">AQ10/AG41</f>
        <v>0.0822996472298711</v>
      </c>
      <c r="AT10" s="53" t="n">
        <f aca="false">AR10/AG41</f>
        <v>0.0765430847779653</v>
      </c>
      <c r="AV10" s="2" t="n">
        <v>11479064</v>
      </c>
      <c r="AW10" s="0"/>
      <c r="AX10" s="2" t="n">
        <f aca="false">(AV10-AV9)/AV9</f>
        <v>0.0122651924249935</v>
      </c>
      <c r="BI10" s="51" t="n">
        <f aca="false">T17/AG17</f>
        <v>0.0175896394888492</v>
      </c>
      <c r="BJ10" s="2" t="n">
        <f aca="false">BJ9+1</f>
        <v>2021</v>
      </c>
      <c r="BK10" s="51" t="n">
        <f aca="false">SUM(T38:T41)/AVERAGE(AG38:AG41)</f>
        <v>0.0471563841642693</v>
      </c>
      <c r="BL10" s="51" t="n">
        <f aca="false">SUM(P38:P41)/AVERAGE(AG38:AG41)</f>
        <v>0.0168081062884663</v>
      </c>
      <c r="BM10" s="51" t="n">
        <f aca="false">SUM(D38:D41)/AVERAGE(AG38:AG41)</f>
        <v>0.0803861758880922</v>
      </c>
      <c r="BN10" s="51" t="n">
        <f aca="false">(SUM(H38:H41)+SUM(J38:J41))/AVERAGE(AG38:AG41)</f>
        <v>0.00163335559296765</v>
      </c>
      <c r="BO10" s="52" t="n">
        <f aca="false">AL10-BN10</f>
        <v>-0.0516712536052569</v>
      </c>
      <c r="BP10" s="0"/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-0.0520371676100906</v>
      </c>
      <c r="AM11" s="4" t="n">
        <v>16827143.6015023</v>
      </c>
      <c r="AN11" s="52" t="n">
        <f aca="false">AM11/AVERAGE(AG42:AG45)</f>
        <v>0.00325926337191383</v>
      </c>
      <c r="AO11" s="52" t="n">
        <f aca="false">AVERAGE(AG42:AG45)/AVERAGE(AG38:AG41)-1</f>
        <v>0.0512176261987731</v>
      </c>
      <c r="AP11" s="52"/>
      <c r="AQ11" s="4" t="n">
        <f aca="false">AQ10*(1+AO11)</f>
        <v>426028294.691851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379010563.226316</v>
      </c>
      <c r="AS11" s="53" t="n">
        <f aca="false">AQ11/AG45</f>
        <v>0.0827978157608859</v>
      </c>
      <c r="AT11" s="53" t="n">
        <f aca="false">AR11/AG45</f>
        <v>0.0736600060992202</v>
      </c>
      <c r="AV11" s="2" t="n">
        <v>11462881</v>
      </c>
      <c r="AW11" s="0"/>
      <c r="AX11" s="2" t="n">
        <f aca="false">(AV11-AV10)/AV10</f>
        <v>-0.00140978393360295</v>
      </c>
      <c r="BI11" s="51" t="n">
        <f aca="false">T18/AG18</f>
        <v>0.014872835347451</v>
      </c>
      <c r="BJ11" s="2" t="n">
        <f aca="false">BJ10+1</f>
        <v>2022</v>
      </c>
      <c r="BK11" s="51" t="n">
        <f aca="false">SUM(T42:T45)/AVERAGE(AG42:AG45)</f>
        <v>0.0452681466987859</v>
      </c>
      <c r="BL11" s="51" t="n">
        <f aca="false">SUM(P42:P45)/AVERAGE(AG42:AG45)</f>
        <v>0.0165486149262865</v>
      </c>
      <c r="BM11" s="51" t="n">
        <f aca="false">SUM(D42:D45)/AVERAGE(AG42:AG45)</f>
        <v>0.08075669938259</v>
      </c>
      <c r="BN11" s="51" t="n">
        <f aca="false">(SUM(H42:H45)+SUM(J42:J45))/AVERAGE(AG42:AG45)</f>
        <v>0.00200149660908134</v>
      </c>
      <c r="BO11" s="52" t="n">
        <f aca="false">AL11-BN11</f>
        <v>-0.0540386642191719</v>
      </c>
      <c r="BP11" s="31" t="n">
        <f aca="false">BM11+BN11</f>
        <v>0.0827581959916713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-0.0509326658114668</v>
      </c>
      <c r="AM12" s="4" t="n">
        <v>15842663.6881786</v>
      </c>
      <c r="AN12" s="52" t="n">
        <f aca="false">AM12/AVERAGE(AG46:AG49)</f>
        <v>0.0029510963484117</v>
      </c>
      <c r="AO12" s="52" t="n">
        <f aca="false">AVERAGE(AG46:AG49)/AVERAGE(AG42:AG45)-1</f>
        <v>0.0398097115008853</v>
      </c>
      <c r="AP12" s="52"/>
      <c r="AQ12" s="4" t="n">
        <f aca="false">AQ11*(1+AO12)</f>
        <v>442988358.194748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377969171.039666</v>
      </c>
      <c r="AS12" s="53" t="n">
        <f aca="false">AQ12/AG49</f>
        <v>0.0831119588235135</v>
      </c>
      <c r="AT12" s="53" t="n">
        <f aca="false">AR12/AG49</f>
        <v>0.0709132815770207</v>
      </c>
      <c r="AV12" s="2" t="n">
        <v>11332510</v>
      </c>
      <c r="AW12" s="0"/>
      <c r="AX12" s="2" t="n">
        <f aca="false">(AV12-AV11)/AV11</f>
        <v>-0.0113733188017916</v>
      </c>
      <c r="BI12" s="51" t="n">
        <f aca="false">T19/AG19</f>
        <v>0.0151159457859463</v>
      </c>
      <c r="BJ12" s="2" t="n">
        <f aca="false">BJ11+1</f>
        <v>2023</v>
      </c>
      <c r="BK12" s="51" t="n">
        <f aca="false">SUM(T46:T49)/AVERAGE(AG46:AG49)</f>
        <v>0.0451095033288458</v>
      </c>
      <c r="BL12" s="51" t="n">
        <f aca="false">SUM(P46:P49)/AVERAGE(AG46:AG49)</f>
        <v>0.0159209488616988</v>
      </c>
      <c r="BM12" s="51" t="n">
        <f aca="false">SUM(D46:D49)/AVERAGE(AG46:AG49)</f>
        <v>0.0801212202786138</v>
      </c>
      <c r="BN12" s="51" t="n">
        <f aca="false">(SUM(H46:H49)+SUM(J46:J49))/AVERAGE(AG46:AG49)</f>
        <v>0.00219907958099402</v>
      </c>
      <c r="BO12" s="52" t="n">
        <f aca="false">AL12-BN12</f>
        <v>-0.0531317453924609</v>
      </c>
      <c r="BP12" s="31" t="n">
        <f aca="false">BM12+BN12</f>
        <v>0.0823202998596078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-0.0504837629033437</v>
      </c>
      <c r="AM13" s="13" t="n">
        <v>14900507.1403892</v>
      </c>
      <c r="AN13" s="59" t="n">
        <f aca="false">AM13/AVERAGE(AG50:AG53)</f>
        <v>0.002689982981713</v>
      </c>
      <c r="AO13" s="59" t="n">
        <f aca="false">'GDP evolution by scenario'!G49</f>
        <v>0.031826561119259</v>
      </c>
      <c r="AP13" s="59"/>
      <c r="AQ13" s="13" t="n">
        <f aca="false">AQ12*(1+AO13)</f>
        <v>457087154.251953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374881996.079747</v>
      </c>
      <c r="AS13" s="60" t="n">
        <f aca="false">AQ13/AG53</f>
        <v>0.0831586820827359</v>
      </c>
      <c r="AT13" s="60" t="n">
        <f aca="false">AR13/AG53</f>
        <v>0.0682029508826521</v>
      </c>
      <c r="AW13" s="0"/>
      <c r="BI13" s="31" t="n">
        <f aca="false">T20/AG20</f>
        <v>0.0144380163498973</v>
      </c>
      <c r="BJ13" s="0" t="n">
        <f aca="false">BJ12+1</f>
        <v>2024</v>
      </c>
      <c r="BK13" s="31" t="n">
        <f aca="false">SUM(T50:T53)/AVERAGE(AG50:AG53)</f>
        <v>0.0458344510449811</v>
      </c>
      <c r="BL13" s="31" t="n">
        <f aca="false">SUM(P50:P53)/AVERAGE(AG50:AG53)</f>
        <v>0.0157799723334816</v>
      </c>
      <c r="BM13" s="31" t="n">
        <f aca="false">SUM(D50:D53)/AVERAGE(AG50:AG53)</f>
        <v>0.0805382416148433</v>
      </c>
      <c r="BN13" s="31" t="n">
        <f aca="false">(SUM(H50:H53)+SUM(J50:J53))/AVERAGE(AG50:AG53)</f>
        <v>0.0025056814673853</v>
      </c>
      <c r="BO13" s="59" t="n">
        <f aca="false">AL13-BN13</f>
        <v>-0.052989444370729</v>
      </c>
      <c r="BP13" s="31" t="n">
        <f aca="false">BM13+BN13</f>
        <v>0.0830439230822286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691939.443819597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-0.0087965182237194</v>
      </c>
      <c r="AK14" s="62" t="n">
        <f aca="false">AK13+1</f>
        <v>2025</v>
      </c>
      <c r="AL14" s="63" t="n">
        <f aca="false">SUM(AB54:AB57)/AVERAGE(AG54:AG57)</f>
        <v>-0.0496359541451262</v>
      </c>
      <c r="AM14" s="6" t="n">
        <v>13946867.9480024</v>
      </c>
      <c r="AN14" s="63" t="n">
        <f aca="false">AM14/AVERAGE(AG54:AG57)</f>
        <v>0.00246865152395302</v>
      </c>
      <c r="AO14" s="63" t="n">
        <f aca="false">'GDP evolution by scenario'!G53</f>
        <v>0.0199182956823416</v>
      </c>
      <c r="AP14" s="63"/>
      <c r="AQ14" s="6" t="n">
        <f aca="false">AQ13*(1+AO14)</f>
        <v>466191551.342944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368275267.965042</v>
      </c>
      <c r="AS14" s="64" t="n">
        <f aca="false">AQ14/AG57</f>
        <v>0.0811770092583358</v>
      </c>
      <c r="AT14" s="64" t="n">
        <f aca="false">AR14/AG57</f>
        <v>0.0641270412367949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0.0169850745786388</v>
      </c>
      <c r="BJ14" s="5" t="n">
        <f aca="false">BJ13+1</f>
        <v>2025</v>
      </c>
      <c r="BK14" s="61" t="n">
        <f aca="false">SUM(T54:T57)/AVERAGE(AG54:AG57)</f>
        <v>0.0471750617881345</v>
      </c>
      <c r="BL14" s="61" t="n">
        <f aca="false">SUM(P54:P57)/AVERAGE(AG54:AG57)</f>
        <v>0.0157026854606209</v>
      </c>
      <c r="BM14" s="61" t="n">
        <f aca="false">SUM(D54:D57)/AVERAGE(AG54:AG57)</f>
        <v>0.0811083304726398</v>
      </c>
      <c r="BN14" s="61" t="n">
        <f aca="false">(SUM(H54:H57)+SUM(J54:J57))/AVERAGE(AG54:AG57)</f>
        <v>0.00347532574500151</v>
      </c>
      <c r="BO14" s="63" t="n">
        <f aca="false">AL14-BN14</f>
        <v>-0.0531112798901277</v>
      </c>
      <c r="BP14" s="31" t="n">
        <f aca="false">BM14+BN14</f>
        <v>0.0845836562176413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799976.431236599</v>
      </c>
      <c r="O15" s="9"/>
      <c r="P15" s="9" t="n">
        <f aca="false">'Central pensions'!X15</f>
        <v>17260864.0964791</v>
      </c>
      <c r="Q15" s="67"/>
      <c r="R15" s="67" t="n">
        <f aca="false">'Central SIPA income'!G10</f>
        <v>22054908.218739</v>
      </c>
      <c r="S15" s="67"/>
      <c r="T15" s="9" t="n">
        <f aca="false">'Central SIPA income'!J10</f>
        <v>84328853.1107371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379479.806947783</v>
      </c>
      <c r="Y15" s="9"/>
      <c r="Z15" s="9" t="n">
        <f aca="false">R15+V15-N15-L15-F15</f>
        <v>-695000.682982121</v>
      </c>
      <c r="AA15" s="9"/>
      <c r="AB15" s="9" t="n">
        <f aca="false">T15-P15-D15</f>
        <v>-40890705.7450204</v>
      </c>
      <c r="AC15" s="50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-0.00708271771352853</v>
      </c>
      <c r="AK15" s="68" t="n">
        <f aca="false">AK14+1</f>
        <v>2026</v>
      </c>
      <c r="AL15" s="69" t="n">
        <f aca="false">SUM(AB58:AB61)/AVERAGE(AG58:AG61)</f>
        <v>-0.0488043468945238</v>
      </c>
      <c r="AM15" s="9" t="n">
        <v>13032040.9288315</v>
      </c>
      <c r="AN15" s="69" t="n">
        <f aca="false">AM15/AVERAGE(AG58:AG61)</f>
        <v>0.00222848021801891</v>
      </c>
      <c r="AO15" s="69" t="n">
        <f aca="false">'GDP evolution by scenario'!G57</f>
        <v>0.0351105907988294</v>
      </c>
      <c r="AP15" s="69"/>
      <c r="AQ15" s="9" t="n">
        <f aca="false">AQ14*(1+AO15)</f>
        <v>482559812.136017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367965179.697959</v>
      </c>
      <c r="AS15" s="70" t="n">
        <f aca="false">AQ15/AG61</f>
        <v>0.0819043976243034</v>
      </c>
      <c r="AT15" s="70" t="n">
        <f aca="false">AR15/AG61</f>
        <v>0.0624543644786256</v>
      </c>
      <c r="AU15" s="7"/>
      <c r="AV15" s="7"/>
      <c r="AW15" s="71" t="n">
        <f aca="false">workers_and_wage_central!C3</f>
        <v>11021763</v>
      </c>
      <c r="AX15" s="7"/>
      <c r="AY15" s="39" t="n">
        <f aca="false">(AW15-AW14)/AW14</f>
        <v>0.00983700612713592</v>
      </c>
      <c r="AZ15" s="38" t="n">
        <f aca="false">workers_and_wage_central!B3</f>
        <v>6778.90225184158</v>
      </c>
      <c r="BA15" s="39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39" t="n">
        <f aca="false">T22/AG22</f>
        <v>0.014942438673609</v>
      </c>
      <c r="BJ15" s="7" t="n">
        <f aca="false">BJ14+1</f>
        <v>2026</v>
      </c>
      <c r="BK15" s="39" t="n">
        <f aca="false">SUM(T58:T61)/AVERAGE(AG58:AG61)</f>
        <v>0.0469831921942993</v>
      </c>
      <c r="BL15" s="39" t="n">
        <f aca="false">SUM(P58:P61)/AVERAGE(AG58:AG61)</f>
        <v>0.0153143130824411</v>
      </c>
      <c r="BM15" s="39" t="n">
        <f aca="false">SUM(D58:D61)/AVERAGE(AG58:AG61)</f>
        <v>0.080473226006382</v>
      </c>
      <c r="BN15" s="39" t="n">
        <f aca="false">(SUM(H58:H61)+SUM(J58:J61))/AVERAGE(AG58:AG61)</f>
        <v>0.00463721841080616</v>
      </c>
      <c r="BO15" s="69" t="n">
        <f aca="false">AL15-BN15</f>
        <v>-0.05344156530533</v>
      </c>
      <c r="BP15" s="31" t="n">
        <f aca="false">BM15+BN15</f>
        <v>0.0851104444171882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67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777485.531692199</v>
      </c>
      <c r="O16" s="9"/>
      <c r="P16" s="9" t="n">
        <f aca="false">'Central pensions'!X16</f>
        <v>19424910.5368703</v>
      </c>
      <c r="Q16" s="67"/>
      <c r="R16" s="67" t="n">
        <f aca="false">'Central SIPA income'!G11</f>
        <v>20136935.0845649</v>
      </c>
      <c r="S16" s="67"/>
      <c r="T16" s="9" t="n">
        <f aca="false">'Central SIPA income'!J11</f>
        <v>76995316.5982303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375106.62908497</v>
      </c>
      <c r="Y16" s="9"/>
      <c r="Z16" s="9" t="n">
        <f aca="false">R16+V16-N16-L16-F16</f>
        <v>-2436605.48644641</v>
      </c>
      <c r="AA16" s="9"/>
      <c r="AB16" s="9" t="n">
        <f aca="false">T16-P16-D16</f>
        <v>-47106469.982941</v>
      </c>
      <c r="AC16" s="50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-0.00898808908547752</v>
      </c>
      <c r="AK16" s="68" t="n">
        <f aca="false">AK15+1</f>
        <v>2027</v>
      </c>
      <c r="AL16" s="69" t="n">
        <f aca="false">SUM(AB62:AB65)/AVERAGE(AG62:AG65)</f>
        <v>-0.0478605013314111</v>
      </c>
      <c r="AM16" s="9" t="n">
        <v>12139889.4651339</v>
      </c>
      <c r="AN16" s="69" t="n">
        <f aca="false">AM16/AVERAGE(AG62:AG65)</f>
        <v>0.00203290196705858</v>
      </c>
      <c r="AO16" s="69" t="n">
        <f aca="false">'GDP evolution by scenario'!G61</f>
        <v>0.021161997922948</v>
      </c>
      <c r="AP16" s="69"/>
      <c r="AQ16" s="9" t="n">
        <f aca="false">AQ15*(1+AO16)</f>
        <v>492771741.878138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363494865.9969</v>
      </c>
      <c r="AS16" s="70" t="n">
        <f aca="false">AQ16/AG65</f>
        <v>0.0814605587711371</v>
      </c>
      <c r="AT16" s="70" t="n">
        <f aca="false">AR16/AG65</f>
        <v>0.0600896771833757</v>
      </c>
      <c r="AU16" s="7"/>
      <c r="AV16" s="7"/>
      <c r="AW16" s="71" t="n">
        <f aca="false">workers_and_wage_central!C4</f>
        <v>11059493</v>
      </c>
      <c r="AX16" s="7"/>
      <c r="AY16" s="39" t="n">
        <f aca="false">(AW16-AW15)/AW15</f>
        <v>0.00342322730038742</v>
      </c>
      <c r="AZ16" s="38" t="n">
        <f aca="false">workers_and_wage_central!B4</f>
        <v>7092.02100217064</v>
      </c>
      <c r="BA16" s="39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39" t="n">
        <f aca="false">T23/AG23</f>
        <v>0.0156547658302901</v>
      </c>
      <c r="BJ16" s="7" t="n">
        <f aca="false">BJ15+1</f>
        <v>2027</v>
      </c>
      <c r="BK16" s="39" t="n">
        <f aca="false">SUM(T62:T65)/AVERAGE(AG62:AG65)</f>
        <v>0.0470808130182939</v>
      </c>
      <c r="BL16" s="39" t="n">
        <f aca="false">SUM(P62:P65)/AVERAGE(AG62:AG65)</f>
        <v>0.0149430958723372</v>
      </c>
      <c r="BM16" s="39" t="n">
        <f aca="false">SUM(D62:D65)/AVERAGE(AG62:AG65)</f>
        <v>0.0799982184773678</v>
      </c>
      <c r="BN16" s="39" t="n">
        <f aca="false">(SUM(H62:H65)+SUM(J62:J65))/AVERAGE(AG62:AG65)</f>
        <v>0.00539512327793689</v>
      </c>
      <c r="BO16" s="69" t="n">
        <f aca="false">AL16-BN16</f>
        <v>-0.053255624609348</v>
      </c>
      <c r="BP16" s="31" t="n">
        <f aca="false">BM16+BN16</f>
        <v>0.0853933417553047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67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842483.122443501</v>
      </c>
      <c r="O17" s="9"/>
      <c r="P17" s="9" t="n">
        <f aca="false">'Central pensions'!X17</f>
        <v>18941504.348667</v>
      </c>
      <c r="Q17" s="67"/>
      <c r="R17" s="67" t="n">
        <f aca="false">'Central SIPA income'!G12</f>
        <v>23620050.0418994</v>
      </c>
      <c r="S17" s="67"/>
      <c r="T17" s="9" t="n">
        <f aca="false">'Central SIPA income'!J12</f>
        <v>90313308.5250934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-418869.892108332</v>
      </c>
      <c r="AA17" s="9"/>
      <c r="AB17" s="9" t="n">
        <f aca="false">T17-P17-D17</f>
        <v>-41885953.934252</v>
      </c>
      <c r="AC17" s="50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-0.00815781019854157</v>
      </c>
      <c r="AK17" s="68" t="n">
        <f aca="false">AK16+1</f>
        <v>2028</v>
      </c>
      <c r="AL17" s="69" t="n">
        <f aca="false">SUM(AB66:AB69)/AVERAGE(AG66:AG69)</f>
        <v>-0.045921853970256</v>
      </c>
      <c r="AM17" s="9" t="n">
        <v>11273018.6820578</v>
      </c>
      <c r="AN17" s="69" t="n">
        <f aca="false">AM17/AVERAGE(AG66:AG69)</f>
        <v>0.00183431374206745</v>
      </c>
      <c r="AO17" s="69" t="n">
        <f aca="false">'GDP evolution by scenario'!G65</f>
        <v>0.0291254319351537</v>
      </c>
      <c r="AP17" s="69"/>
      <c r="AQ17" s="9" t="n">
        <f aca="false">AQ16*(1+AO17)</f>
        <v>507123931.705777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362659087.054375</v>
      </c>
      <c r="AS17" s="70" t="n">
        <f aca="false">AQ17/AG69</f>
        <v>0.0817240686269665</v>
      </c>
      <c r="AT17" s="70" t="n">
        <f aca="false">AR17/AG69</f>
        <v>0.0584432606422923</v>
      </c>
      <c r="AU17" s="7"/>
      <c r="AV17" s="7"/>
      <c r="AW17" s="71" t="n">
        <f aca="false">workers_and_wage_central!C5</f>
        <v>11048388</v>
      </c>
      <c r="AX17" s="7"/>
      <c r="AY17" s="39" t="n">
        <f aca="false">(AW17-AW16)/AW16</f>
        <v>-0.00100411474558553</v>
      </c>
      <c r="AZ17" s="38" t="n">
        <f aca="false">workers_and_wage_central!B5</f>
        <v>7113.98164433727</v>
      </c>
      <c r="BA17" s="39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39" t="n">
        <f aca="false">T24/AG24</f>
        <v>0.0149620491778037</v>
      </c>
      <c r="BJ17" s="7" t="n">
        <f aca="false">BJ16+1</f>
        <v>2028</v>
      </c>
      <c r="BK17" s="39" t="n">
        <f aca="false">SUM(T66:T69)/AVERAGE(AG66:AG69)</f>
        <v>0.0475394662758912</v>
      </c>
      <c r="BL17" s="39" t="n">
        <f aca="false">SUM(P66:P69)/AVERAGE(AG66:AG69)</f>
        <v>0.014530962685009</v>
      </c>
      <c r="BM17" s="39" t="n">
        <f aca="false">SUM(D66:D69)/AVERAGE(AG66:AG69)</f>
        <v>0.0789303575611382</v>
      </c>
      <c r="BN17" s="39" t="n">
        <f aca="false">(SUM(H66:H69)+SUM(J66:J69))/AVERAGE(AG66:AG69)</f>
        <v>0.00616636505757947</v>
      </c>
      <c r="BO17" s="69" t="n">
        <f aca="false">AL17-BN17</f>
        <v>-0.0520882190278355</v>
      </c>
      <c r="BP17" s="31" t="n">
        <f aca="false">BM17+BN17</f>
        <v>0.0850967226187177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737462.751726598</v>
      </c>
      <c r="O18" s="6"/>
      <c r="P18" s="6" t="n">
        <f aca="false">'Central pensions'!X18</f>
        <v>18563990.1961244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-2220008.7048647</v>
      </c>
      <c r="AA18" s="6"/>
      <c r="AB18" s="6" t="n">
        <f aca="false">T18-P18-D18</f>
        <v>-44387286.1098836</v>
      </c>
      <c r="AC18" s="50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-0.00897703994537897</v>
      </c>
      <c r="AK18" s="62" t="n">
        <f aca="false">AK17+1</f>
        <v>2029</v>
      </c>
      <c r="AL18" s="63" t="n">
        <f aca="false">SUM(AB70:AB73)/AVERAGE(AG70:AG73)</f>
        <v>-0.0436541552961493</v>
      </c>
      <c r="AM18" s="6" t="n">
        <v>10452476.7322336</v>
      </c>
      <c r="AN18" s="63" t="n">
        <f aca="false">AM18/AVERAGE(AG70:AG73)</f>
        <v>0.00165974533447719</v>
      </c>
      <c r="AO18" s="63" t="n">
        <f aca="false">'GDP evolution by scenario'!G69</f>
        <v>0.024733999570536</v>
      </c>
      <c r="AP18" s="63"/>
      <c r="AQ18" s="6" t="n">
        <f aca="false">AQ17*(1+AO18)</f>
        <v>519667134.814796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361058649.128691</v>
      </c>
      <c r="AS18" s="64" t="n">
        <f aca="false">AQ18/AG73</f>
        <v>0.0817209910105769</v>
      </c>
      <c r="AT18" s="64" t="n">
        <f aca="false">AR18/AG73</f>
        <v>0.0567787890420519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0.017607976005834</v>
      </c>
      <c r="BJ18" s="5" t="n">
        <f aca="false">BJ17+1</f>
        <v>2029</v>
      </c>
      <c r="BK18" s="61" t="n">
        <f aca="false">SUM(T70:T73)/AVERAGE(AG70:AG73)</f>
        <v>0.0480637559688586</v>
      </c>
      <c r="BL18" s="61" t="n">
        <f aca="false">SUM(P70:P73)/AVERAGE(AG70:AG73)</f>
        <v>0.0140085364968593</v>
      </c>
      <c r="BM18" s="61" t="n">
        <f aca="false">SUM(D70:D73)/AVERAGE(AG70:AG73)</f>
        <v>0.0777093747681485</v>
      </c>
      <c r="BN18" s="61" t="n">
        <f aca="false">(SUM(H70:H73)+SUM(J70:J73))/AVERAGE(AG70:AG73)</f>
        <v>0.0069497322380973</v>
      </c>
      <c r="BO18" s="63" t="n">
        <f aca="false">AL18-BN18</f>
        <v>-0.0506038875342466</v>
      </c>
      <c r="BP18" s="31" t="n">
        <f aca="false">BM18+BN18</f>
        <v>0.0846591070062458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762331.1128718</v>
      </c>
      <c r="O19" s="9"/>
      <c r="P19" s="9" t="n">
        <f aca="false">'Central pensions'!X19</f>
        <v>18869579.4519817</v>
      </c>
      <c r="Q19" s="67"/>
      <c r="R19" s="67" t="n">
        <f aca="false">'Central SIPA income'!G14</f>
        <v>21943117.5095874</v>
      </c>
      <c r="S19" s="67"/>
      <c r="T19" s="9" t="n">
        <f aca="false">'Central SIPA income'!J14</f>
        <v>83901411.6452054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-126028.030007523</v>
      </c>
      <c r="AA19" s="9"/>
      <c r="AB19" s="9" t="n">
        <f aca="false">T19-P19-D19</f>
        <v>-37412090.2208416</v>
      </c>
      <c r="AC19" s="50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-0.00674028143779738</v>
      </c>
      <c r="AK19" s="68" t="n">
        <f aca="false">AK18+1</f>
        <v>2030</v>
      </c>
      <c r="AL19" s="69" t="n">
        <f aca="false">SUM(AB74:AB77)/AVERAGE(AG74:AG77)</f>
        <v>-0.0418071455186446</v>
      </c>
      <c r="AM19" s="9" t="n">
        <v>9649081.86791266</v>
      </c>
      <c r="AN19" s="69" t="n">
        <f aca="false">AM19/AVERAGE(AG74:AG77)</f>
        <v>0.00149171122186198</v>
      </c>
      <c r="AO19" s="69" t="n">
        <f aca="false">'GDP evolution by scenario'!G73</f>
        <v>0.0271254290838978</v>
      </c>
      <c r="AP19" s="69"/>
      <c r="AQ19" s="9" t="n">
        <f aca="false">AQ18*(1+AO19)</f>
        <v>533763328.827447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361084055.642859</v>
      </c>
      <c r="AS19" s="70" t="n">
        <f aca="false">AQ19/AG77</f>
        <v>0.0818771544491913</v>
      </c>
      <c r="AT19" s="70" t="n">
        <f aca="false">AR19/AG77</f>
        <v>0.0553888463225024</v>
      </c>
      <c r="AU19" s="7"/>
      <c r="AV19" s="7"/>
      <c r="AW19" s="71" t="n">
        <f aca="false">workers_and_wage_central!C7</f>
        <v>11128156</v>
      </c>
      <c r="AX19" s="7"/>
      <c r="AY19" s="39" t="n">
        <f aca="false">(AW19-AW18)/AW18</f>
        <v>0.0057534472647062</v>
      </c>
      <c r="AZ19" s="38" t="n">
        <f aca="false">workers_and_wage_central!B7</f>
        <v>6521.17321865806</v>
      </c>
      <c r="BA19" s="39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0.0144384137516407</v>
      </c>
      <c r="BJ19" s="7" t="n">
        <f aca="false">BJ18+1</f>
        <v>2030</v>
      </c>
      <c r="BK19" s="39" t="n">
        <f aca="false">SUM(T74:T77)/AVERAGE(AG74:AG77)</f>
        <v>0.0484981459453469</v>
      </c>
      <c r="BL19" s="39" t="n">
        <f aca="false">SUM(P74:P77)/AVERAGE(AG74:AG77)</f>
        <v>0.0136137277750305</v>
      </c>
      <c r="BM19" s="39" t="n">
        <f aca="false">SUM(D74:D77)/AVERAGE(AG74:AG77)</f>
        <v>0.076691563688961</v>
      </c>
      <c r="BN19" s="39" t="n">
        <f aca="false">(SUM(H74:H77)+SUM(J74:J77))/AVERAGE(AG74:AG77)</f>
        <v>0.00747766789975439</v>
      </c>
      <c r="BO19" s="69" t="n">
        <f aca="false">AL19-BN19</f>
        <v>-0.049284813418399</v>
      </c>
      <c r="BP19" s="31" t="n">
        <f aca="false">BM19+BN19</f>
        <v>0.0841692315887154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</v>
      </c>
      <c r="O20" s="9"/>
      <c r="P20" s="9" t="n">
        <f aca="false">'Central pensions'!X20</f>
        <v>16875170.4145191</v>
      </c>
      <c r="Q20" s="67"/>
      <c r="R20" s="67" t="n">
        <f aca="false">'Central SIPA income'!G15</f>
        <v>19131719.0897982</v>
      </c>
      <c r="S20" s="67"/>
      <c r="T20" s="9" t="n">
        <f aca="false">'Central SIPA income'!J15</f>
        <v>73151786.118461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362161.284990085</v>
      </c>
      <c r="Y20" s="9"/>
      <c r="Z20" s="9" t="n">
        <f aca="false">R20+V20-N20-L20-F20</f>
        <v>-1706208.07182955</v>
      </c>
      <c r="AA20" s="9"/>
      <c r="AB20" s="9" t="n">
        <f aca="false">T20-P20-D20</f>
        <v>-41510813.8518651</v>
      </c>
      <c r="AC20" s="50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-0.00819301675177444</v>
      </c>
      <c r="AK20" s="68" t="n">
        <f aca="false">AK19+1</f>
        <v>2031</v>
      </c>
      <c r="AL20" s="69" t="n">
        <f aca="false">SUM(AB78:AB81)/AVERAGE(AG78:AG81)</f>
        <v>-0.0401990889718998</v>
      </c>
      <c r="AM20" s="9" t="n">
        <v>8873587.4679367</v>
      </c>
      <c r="AN20" s="69" t="n">
        <f aca="false">AM20/AVERAGE(AG78:AG81)</f>
        <v>0.00134637216953973</v>
      </c>
      <c r="AO20" s="69" t="n">
        <f aca="false">'GDP evolution by scenario'!G77</f>
        <v>0.0189030782685824</v>
      </c>
      <c r="AP20" s="69"/>
      <c r="AQ20" s="9" t="n">
        <f aca="false">AQ19*(1+AO20)</f>
        <v>543853098.809171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358959448.314205</v>
      </c>
      <c r="AS20" s="70" t="n">
        <f aca="false">AQ20/AG81</f>
        <v>0.0818837153853071</v>
      </c>
      <c r="AT20" s="70" t="n">
        <f aca="false">AR20/AG81</f>
        <v>0.0540457218410384</v>
      </c>
      <c r="AU20" s="7"/>
      <c r="AV20" s="7"/>
      <c r="AW20" s="71" t="n">
        <f aca="false">workers_and_wage_central!C8</f>
        <v>11235296</v>
      </c>
      <c r="AX20" s="7"/>
      <c r="AY20" s="39" t="n">
        <f aca="false">(AW20-AW19)/AW19</f>
        <v>0.00962783052286471</v>
      </c>
      <c r="AZ20" s="38" t="n">
        <f aca="false">workers_and_wage_central!B8</f>
        <v>6554.01964535573</v>
      </c>
      <c r="BA20" s="39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0.0155179706558216</v>
      </c>
      <c r="BJ20" s="7" t="n">
        <f aca="false">BJ19+1</f>
        <v>2031</v>
      </c>
      <c r="BK20" s="39" t="n">
        <f aca="false">SUM(T78:T81)/AVERAGE(AG78:AG81)</f>
        <v>0.0487538998888402</v>
      </c>
      <c r="BL20" s="39" t="n">
        <f aca="false">SUM(P78:P81)/AVERAGE(AG78:AG81)</f>
        <v>0.0129705213809691</v>
      </c>
      <c r="BM20" s="39" t="n">
        <f aca="false">SUM(D78:D81)/AVERAGE(AG78:AG81)</f>
        <v>0.0759824674797709</v>
      </c>
      <c r="BN20" s="39" t="n">
        <f aca="false">(SUM(H78:H81)+SUM(J78:J81))/AVERAGE(AG78:AG81)</f>
        <v>0.00812277065692306</v>
      </c>
      <c r="BO20" s="69" t="n">
        <f aca="false">AL20-BN20</f>
        <v>-0.0483218596288229</v>
      </c>
      <c r="BP20" s="31" t="n">
        <f aca="false">BM20+BN20</f>
        <v>0.0841052381366939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1123.4487838923</v>
      </c>
      <c r="J21" s="9" t="n">
        <f aca="false">'Central pensions'!W21</f>
        <v>6180.88373799569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800602.401472308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22467624.3804735</v>
      </c>
      <c r="S21" s="67"/>
      <c r="T21" s="9" t="n">
        <f aca="false">'Central SIPA income'!J16</f>
        <v>85906909.1259406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-1509778.11906403</v>
      </c>
      <c r="AA21" s="9"/>
      <c r="AB21" s="9" t="n">
        <f aca="false">T21-P21-D21</f>
        <v>-45619151.0668691</v>
      </c>
      <c r="AC21" s="50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-0.00901958516455332</v>
      </c>
      <c r="AK21" s="68" t="n">
        <f aca="false">AK20+1</f>
        <v>2032</v>
      </c>
      <c r="AL21" s="69" t="n">
        <f aca="false">SUM(AB82:AB85)/AVERAGE(AG82:AG85)</f>
        <v>-0.0388727079139784</v>
      </c>
      <c r="AM21" s="9" t="n">
        <v>8126011.66426731</v>
      </c>
      <c r="AN21" s="69" t="n">
        <f aca="false">AM21/AVERAGE(AG82:AG85)</f>
        <v>0.00121257862759383</v>
      </c>
      <c r="AO21" s="69" t="n">
        <f aca="false">'GDP evolution by scenario'!G81</f>
        <v>0.0167950503537677</v>
      </c>
      <c r="AP21" s="69"/>
      <c r="AQ21" s="9" t="n">
        <f aca="false">AQ20*(1+AO21)</f>
        <v>552987138.988724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356799814.912674</v>
      </c>
      <c r="AS21" s="70" t="n">
        <f aca="false">AQ21/AG85</f>
        <v>0.0819427956396281</v>
      </c>
      <c r="AT21" s="70" t="n">
        <f aca="false">AR21/AG85</f>
        <v>0.0528713459251763</v>
      </c>
      <c r="AU21" s="7"/>
      <c r="AV21" s="7"/>
      <c r="AW21" s="71" t="n">
        <f aca="false">workers_and_wage_central!C9</f>
        <v>11156745</v>
      </c>
      <c r="AX21" s="7"/>
      <c r="AY21" s="39" t="n">
        <f aca="false">(AW21-AW20)/AW20</f>
        <v>-0.00699144909043785</v>
      </c>
      <c r="AZ21" s="38" t="n">
        <f aca="false">workers_and_wage_central!B9</f>
        <v>6660.1842529205</v>
      </c>
      <c r="BA21" s="39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F21" s="7"/>
      <c r="BG21" s="7"/>
      <c r="BH21" s="7"/>
      <c r="BI21" s="39" t="n">
        <f aca="false">T28/AG28</f>
        <v>0.0137104660083263</v>
      </c>
      <c r="BJ21" s="7" t="n">
        <f aca="false">BJ20+1</f>
        <v>2032</v>
      </c>
      <c r="BK21" s="39" t="n">
        <f aca="false">SUM(T82:T85)/AVERAGE(AG82:AG85)</f>
        <v>0.0489399753171585</v>
      </c>
      <c r="BL21" s="39" t="n">
        <f aca="false">SUM(P82:P85)/AVERAGE(AG82:AG85)</f>
        <v>0.01263029956295</v>
      </c>
      <c r="BM21" s="39" t="n">
        <f aca="false">SUM(D82:D85)/AVERAGE(AG82:AG85)</f>
        <v>0.0751823836681869</v>
      </c>
      <c r="BN21" s="39" t="n">
        <f aca="false">(SUM(H82:H85)+SUM(J82:J85))/AVERAGE(AG82:AG85)</f>
        <v>0.00902741863097693</v>
      </c>
      <c r="BO21" s="69" t="n">
        <f aca="false">AL21-BN21</f>
        <v>-0.0479001265449554</v>
      </c>
      <c r="BP21" s="31" t="n">
        <f aca="false">BM21+BN21</f>
        <v>0.0842098022991639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2062.3345239451</v>
      </c>
      <c r="J22" s="6" t="n">
        <f aca="false">'Central pensions'!W22</f>
        <v>11346.356063688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765085.873759959</v>
      </c>
      <c r="O22" s="6"/>
      <c r="P22" s="6" t="n">
        <f aca="false">'Central pensions'!X22</f>
        <v>26519876.7856489</v>
      </c>
      <c r="Q22" s="8"/>
      <c r="R22" s="8" t="n">
        <f aca="false">'Central SIPA income'!G17</f>
        <v>19431210.5031189</v>
      </c>
      <c r="S22" s="8"/>
      <c r="T22" s="6" t="n">
        <f aca="false">'Central SIPA income'!J17</f>
        <v>74296917.4947224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-4054961.34906485</v>
      </c>
      <c r="AA22" s="6"/>
      <c r="AB22" s="6" t="n">
        <f aca="false">T22-P22-D22</f>
        <v>-54251378.3543811</v>
      </c>
      <c r="AC22" s="50"/>
      <c r="AD22" s="6" t="n">
        <v>9240877730.99836</v>
      </c>
      <c r="AE22" s="6" t="n">
        <v>681444.766110222</v>
      </c>
      <c r="AF22" s="6" t="n"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-0.0109109223014088</v>
      </c>
      <c r="AK22" s="62" t="n">
        <f aca="false">AK21+1</f>
        <v>2033</v>
      </c>
      <c r="AL22" s="63" t="n">
        <f aca="false">SUM(AB86:AB89)/AVERAGE(AG86:AG89)</f>
        <v>-0.0366991504149053</v>
      </c>
      <c r="AM22" s="6" t="n">
        <v>7406781.38079157</v>
      </c>
      <c r="AN22" s="63" t="n">
        <f aca="false">AM22/AVERAGE(AG86:AG89)</f>
        <v>0.00107690100907159</v>
      </c>
      <c r="AO22" s="63" t="n">
        <f aca="false">'GDP evolution by scenario'!G85</f>
        <v>0.0263280774676653</v>
      </c>
      <c r="AP22" s="63"/>
      <c r="AQ22" s="6" t="n">
        <f aca="false">AQ21*(1+AO22)</f>
        <v>567546227.222642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358697928.177871</v>
      </c>
      <c r="AS22" s="64" t="n">
        <f aca="false">AQ22/AG89</f>
        <v>0.0815077277199883</v>
      </c>
      <c r="AT22" s="64" t="n">
        <f aca="false">AR22/AG89</f>
        <v>0.0515141351687227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0.0153113617877386</v>
      </c>
      <c r="BJ22" s="5" t="n">
        <f aca="false">BJ21+1</f>
        <v>2033</v>
      </c>
      <c r="BK22" s="61" t="n">
        <f aca="false">SUM(T86:T89)/AVERAGE(AG86:AG89)</f>
        <v>0.0491531454333861</v>
      </c>
      <c r="BL22" s="61" t="n">
        <f aca="false">SUM(P86:P89)/AVERAGE(AG86:AG89)</f>
        <v>0.0121018401523218</v>
      </c>
      <c r="BM22" s="61" t="n">
        <f aca="false">SUM(D86:D89)/AVERAGE(AG86:AG89)</f>
        <v>0.0737504556959696</v>
      </c>
      <c r="BN22" s="61" t="n">
        <f aca="false">(SUM(H86:H89)+SUM(J86:J89))/AVERAGE(AG86:AG89)</f>
        <v>0.00981514059408165</v>
      </c>
      <c r="BO22" s="63" t="n">
        <f aca="false">AL22-BN22</f>
        <v>-0.046514291008987</v>
      </c>
      <c r="BP22" s="31" t="n">
        <f aca="false">BM22+BN22</f>
        <v>0.0835655962900513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67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562517.520874029</v>
      </c>
      <c r="I23" s="67" t="n">
        <f aca="false">'Central pensions'!M23</f>
        <v>3162.192311299</v>
      </c>
      <c r="J23" s="9" t="n">
        <f aca="false">'Central pensions'!W23</f>
        <v>17397.4490991987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818579.510877699</v>
      </c>
      <c r="O23" s="9"/>
      <c r="P23" s="9" t="n">
        <f aca="false">'Central pensions'!X23</f>
        <v>24945174.1398562</v>
      </c>
      <c r="Q23" s="67"/>
      <c r="R23" s="67" t="n">
        <f aca="false">'Central SIPA income'!G18</f>
        <v>23254020.5835423</v>
      </c>
      <c r="S23" s="67"/>
      <c r="T23" s="9" t="n">
        <f aca="false">'Central SIPA income'!J18</f>
        <v>88913763.1666697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329040.945688189</v>
      </c>
      <c r="Y23" s="9"/>
      <c r="Z23" s="9" t="n">
        <f aca="false">R23+V23-N23-L23-F23</f>
        <v>-1160344.54948957</v>
      </c>
      <c r="AA23" s="9"/>
      <c r="AB23" s="9" t="n">
        <f aca="false">T23-P23-D23</f>
        <v>-44895755.7277237</v>
      </c>
      <c r="AC23" s="50"/>
      <c r="AD23" s="9" t="n">
        <v>10558208304.6431</v>
      </c>
      <c r="AE23" s="9" t="n">
        <v>778401.676449317</v>
      </c>
      <c r="AF23" s="9" t="n"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-0.00790465410145733</v>
      </c>
      <c r="AK23" s="68" t="n">
        <f aca="false">AK22+1</f>
        <v>2034</v>
      </c>
      <c r="AL23" s="69" t="n">
        <f aca="false">SUM(AB90:AB93)/AVERAGE(AG90:AG93)</f>
        <v>-0.0351613639643827</v>
      </c>
      <c r="AM23" s="9" t="n">
        <v>6738583.40306814</v>
      </c>
      <c r="AN23" s="69" t="n">
        <f aca="false">AM23/AVERAGE(AG90:AG93)</f>
        <v>0.000959506109023788</v>
      </c>
      <c r="AO23" s="69" t="n">
        <f aca="false">'GDP evolution by scenario'!G89</f>
        <v>0.021097285234178</v>
      </c>
      <c r="AP23" s="69"/>
      <c r="AQ23" s="9" t="n">
        <f aca="false">AQ22*(1+AO23)</f>
        <v>579519911.861939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359461983.569314</v>
      </c>
      <c r="AS23" s="70" t="n">
        <f aca="false">AQ23/AG93</f>
        <v>0.0819964246918957</v>
      </c>
      <c r="AT23" s="70" t="n">
        <f aca="false">AR23/AG93</f>
        <v>0.0508603705619739</v>
      </c>
      <c r="AU23" s="7"/>
      <c r="AV23" s="7"/>
      <c r="AW23" s="71" t="n">
        <f aca="false">workers_and_wage_central!C11</f>
        <v>11247506</v>
      </c>
      <c r="AX23" s="7"/>
      <c r="AY23" s="39" t="n">
        <f aca="false">(AW23-AW22)/AW22</f>
        <v>0.017215831785918</v>
      </c>
      <c r="AZ23" s="38" t="n">
        <f aca="false">workers_and_wage_central!B11</f>
        <v>6741.66175252587</v>
      </c>
      <c r="BA23" s="39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0.0123467912751813</v>
      </c>
      <c r="BJ23" s="7" t="n">
        <f aca="false">BJ22+1</f>
        <v>2034</v>
      </c>
      <c r="BK23" s="39" t="n">
        <f aca="false">SUM(T90:T93)/AVERAGE(AG90:AG93)</f>
        <v>0.0495891863164493</v>
      </c>
      <c r="BL23" s="39" t="n">
        <f aca="false">SUM(P90:P93)/AVERAGE(AG90:AG93)</f>
        <v>0.0118141174517974</v>
      </c>
      <c r="BM23" s="39" t="n">
        <f aca="false">SUM(D90:D93)/AVERAGE(AG90:AG93)</f>
        <v>0.0729364328290345</v>
      </c>
      <c r="BN23" s="39" t="n">
        <f aca="false">(SUM(H90:H93)+SUM(J90:J93))/AVERAGE(AG90:AG93)</f>
        <v>0.0103715284501739</v>
      </c>
      <c r="BO23" s="69" t="n">
        <f aca="false">AL23-BN23</f>
        <v>-0.0455328924145566</v>
      </c>
      <c r="BP23" s="31" t="n">
        <f aca="false">BM23+BN23</f>
        <v>0.0833079612792084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67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816872.371412835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785544.065131683</v>
      </c>
      <c r="O24" s="9"/>
      <c r="P24" s="9" t="n">
        <f aca="false">'Central pensions'!X24</f>
        <v>23000248.6972878</v>
      </c>
      <c r="Q24" s="67"/>
      <c r="R24" s="67" t="n">
        <f aca="false">'Central SIPA income'!G19</f>
        <v>20589537.4390246</v>
      </c>
      <c r="S24" s="67"/>
      <c r="T24" s="9" t="n">
        <f aca="false">'Central SIPA income'!J19</f>
        <v>78725880.9283226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-48585330.1146393</v>
      </c>
      <c r="AC24" s="50"/>
      <c r="AD24" s="9" t="n">
        <v>11116422317.8693</v>
      </c>
      <c r="AE24" s="9" t="n">
        <v>721120.426852794</v>
      </c>
      <c r="AF24" s="9" t="n"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-0.00923376264480181</v>
      </c>
      <c r="AK24" s="68" t="n">
        <f aca="false">AK23+1</f>
        <v>2035</v>
      </c>
      <c r="AL24" s="69" t="n">
        <f aca="false">SUM(AB94:AB97)/AVERAGE(AG94:AG97)</f>
        <v>-0.0340077796405499</v>
      </c>
      <c r="AM24" s="9" t="n">
        <v>6098422.29766839</v>
      </c>
      <c r="AN24" s="69" t="n">
        <f aca="false">AM24/AVERAGE(AG94:AG97)</f>
        <v>0.000855177668860993</v>
      </c>
      <c r="AO24" s="69" t="n">
        <f aca="false">'GDP evolution by scenario'!G93</f>
        <v>0.0154072950094522</v>
      </c>
      <c r="AP24" s="69"/>
      <c r="AQ24" s="9" t="n">
        <f aca="false">AQ23*(1+AO24)</f>
        <v>588448746.107848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358858951.897028</v>
      </c>
      <c r="AS24" s="70" t="n">
        <f aca="false">AQ24/AG97</f>
        <v>0.0820640525980184</v>
      </c>
      <c r="AT24" s="70" t="n">
        <f aca="false">AR24/AG97</f>
        <v>0.0500458537783172</v>
      </c>
      <c r="AU24" s="7"/>
      <c r="AV24" s="7"/>
      <c r="AW24" s="71" t="n">
        <f aca="false">workers_and_wage_central!C12</f>
        <v>11410134</v>
      </c>
      <c r="AX24" s="7"/>
      <c r="AY24" s="39" t="n">
        <f aca="false">(AW24-AW23)/AW23</f>
        <v>0.0144590276279915</v>
      </c>
      <c r="AZ24" s="38" t="n">
        <f aca="false">workers_and_wage_central!B12</f>
        <v>6886.42921069284</v>
      </c>
      <c r="BA24" s="39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0.012990170797308</v>
      </c>
      <c r="BJ24" s="7" t="n">
        <f aca="false">BJ23+1</f>
        <v>2035</v>
      </c>
      <c r="BK24" s="39" t="n">
        <f aca="false">SUM(T94:T97)/AVERAGE(AG94:AG97)</f>
        <v>0.0497954720677381</v>
      </c>
      <c r="BL24" s="39" t="n">
        <f aca="false">SUM(P94:P97)/AVERAGE(AG94:AG97)</f>
        <v>0.0115058253895412</v>
      </c>
      <c r="BM24" s="39" t="n">
        <f aca="false">SUM(D94:D97)/AVERAGE(AG94:AG97)</f>
        <v>0.0722974263187469</v>
      </c>
      <c r="BN24" s="39" t="n">
        <f aca="false">(SUM(H94:H97)+SUM(J94:J97))/AVERAGE(AG94:AG97)</f>
        <v>0.0108996869018917</v>
      </c>
      <c r="BO24" s="69" t="n">
        <f aca="false">AL24-BN24</f>
        <v>-0.0449074665424417</v>
      </c>
      <c r="BP24" s="31" t="n">
        <f aca="false">BM24+BN24</f>
        <v>0.0831971132206386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67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</v>
      </c>
      <c r="J25" s="9" t="n">
        <f aca="false">'Central pensions'!W25</f>
        <v>32303.3130517235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856510.300309863</v>
      </c>
      <c r="O25" s="9"/>
      <c r="P25" s="9" t="n">
        <f aca="false">'Central pensions'!X25</f>
        <v>25533186.7687571</v>
      </c>
      <c r="Q25" s="67"/>
      <c r="R25" s="67" t="n">
        <f aca="false">'Central SIPA income'!G20</f>
        <v>24347324.2300167</v>
      </c>
      <c r="S25" s="67"/>
      <c r="T25" s="9" t="n">
        <f aca="false">'Central SIPA income'!J20</f>
        <v>93094104.4174502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-985061.157622646</v>
      </c>
      <c r="AA25" s="9"/>
      <c r="AB25" s="9" t="n">
        <f aca="false">T25-P25-D25</f>
        <v>-45813078.3912748</v>
      </c>
      <c r="AC25" s="50"/>
      <c r="AD25" s="9" t="n">
        <v>11725405625.723</v>
      </c>
      <c r="AE25" s="9" t="n">
        <v>724592.921638963</v>
      </c>
      <c r="AF25" s="9" t="n"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-0.0086651629565035</v>
      </c>
      <c r="AK25" s="68" t="n">
        <f aca="false">AK24+1</f>
        <v>2036</v>
      </c>
      <c r="AL25" s="69" t="n">
        <f aca="false">SUM(AB98:AB101)/AVERAGE(AG98:AG101)</f>
        <v>-0.0329809412870478</v>
      </c>
      <c r="AM25" s="9" t="n">
        <v>5493111.4769607</v>
      </c>
      <c r="AN25" s="69" t="n">
        <f aca="false">AM25/AVERAGE(AG98:AG101)</f>
        <v>0.000759207773224415</v>
      </c>
      <c r="AO25" s="69" t="n">
        <f aca="false">'GDP evolution by scenario'!G97</f>
        <v>0.0146041249771969</v>
      </c>
      <c r="AP25" s="69"/>
      <c r="AQ25" s="9" t="n">
        <f aca="false">AQ24*(1+AO25)</f>
        <v>597042525.138682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358569989.198076</v>
      </c>
      <c r="AS25" s="70" t="n">
        <f aca="false">AQ25/AG101</f>
        <v>0.0818089374290134</v>
      </c>
      <c r="AT25" s="70" t="n">
        <f aca="false">AR25/AG101</f>
        <v>0.0491325635530127</v>
      </c>
      <c r="AU25" s="7"/>
      <c r="AV25" s="7"/>
      <c r="AW25" s="71" t="n">
        <f aca="false">workers_and_wage_central!C13</f>
        <v>11521898</v>
      </c>
      <c r="AX25" s="7"/>
      <c r="AY25" s="39" t="n">
        <f aca="false">(AW25-AW24)/AW24</f>
        <v>0.0097951522742853</v>
      </c>
      <c r="AZ25" s="38" t="n">
        <f aca="false">workers_and_wage_central!B13</f>
        <v>6890.54533395775</v>
      </c>
      <c r="BA25" s="39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0.0120820647128259</v>
      </c>
      <c r="BJ25" s="7" t="n">
        <f aca="false">BJ24+1</f>
        <v>2036</v>
      </c>
      <c r="BK25" s="39" t="n">
        <f aca="false">SUM(T98:T101)/AVERAGE(AG98:AG101)</f>
        <v>0.0499842458076489</v>
      </c>
      <c r="BL25" s="39" t="n">
        <f aca="false">SUM(P98:P101)/AVERAGE(AG98:AG101)</f>
        <v>0.0112404842633258</v>
      </c>
      <c r="BM25" s="39" t="n">
        <f aca="false">SUM(D98:D101)/AVERAGE(AG98:AG101)</f>
        <v>0.0717247028313709</v>
      </c>
      <c r="BN25" s="39" t="n">
        <f aca="false">(SUM(H98:H101)+SUM(J98:J101))/AVERAGE(AG98:AG101)</f>
        <v>0.0114599741259873</v>
      </c>
      <c r="BO25" s="69" t="n">
        <f aca="false">AL25-BN25</f>
        <v>-0.0444409154130351</v>
      </c>
      <c r="BP25" s="31" t="n">
        <f aca="false">BM25+BN25</f>
        <v>0.0831846769573582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5988.63303204201</v>
      </c>
      <c r="J26" s="6" t="n">
        <f aca="false">'Central pensions'!W26</f>
        <v>32947.6920098929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797289.861036554</v>
      </c>
      <c r="O26" s="6"/>
      <c r="P26" s="6" t="n">
        <f aca="false">'Central pensions'!X26</f>
        <v>26523936.1366116</v>
      </c>
      <c r="Q26" s="8"/>
      <c r="R26" s="8" t="n">
        <f aca="false">'Central SIPA income'!G21</f>
        <v>19486260.1586379</v>
      </c>
      <c r="S26" s="8"/>
      <c r="T26" s="6" t="n">
        <f aca="false">'Central SIPA income'!J21</f>
        <v>74507404.6238465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-4625288.54079944</v>
      </c>
      <c r="AA26" s="6"/>
      <c r="AB26" s="6" t="n">
        <f aca="false">T26-P26-D26</f>
        <v>-57525369.8556815</v>
      </c>
      <c r="AC26" s="50"/>
      <c r="AD26" s="6" t="n">
        <v>12239176485.8186</v>
      </c>
      <c r="AE26" s="6" t="n">
        <v>707231.016992009</v>
      </c>
      <c r="AF26" s="6" t="n"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-0.0111475509767879</v>
      </c>
      <c r="AK26" s="62" t="n">
        <f aca="false">AK25+1</f>
        <v>2037</v>
      </c>
      <c r="AL26" s="63" t="n">
        <f aca="false">SUM(AB102:AB105)/AVERAGE(AG102:AG105)</f>
        <v>-0.0315220042885188</v>
      </c>
      <c r="AM26" s="6" t="n">
        <v>4920541.96276278</v>
      </c>
      <c r="AN26" s="63" t="n">
        <f aca="false">AM26/AVERAGE(AG102:AG105)</f>
        <v>0.000665384190309546</v>
      </c>
      <c r="AO26" s="63" t="n">
        <f aca="false">'GDP evolution by scenario'!G101</f>
        <v>0.0220748351043731</v>
      </c>
      <c r="AP26" s="63"/>
      <c r="AQ26" s="6" t="n">
        <f aca="false">AQ25*(1+AO26)</f>
        <v>610222140.431417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361515232.650445</v>
      </c>
      <c r="AS26" s="64" t="n">
        <f aca="false">AQ26/AG105</f>
        <v>0.0821606686046437</v>
      </c>
      <c r="AT26" s="64" t="n">
        <f aca="false">AR26/AG105</f>
        <v>0.048674623972714</v>
      </c>
      <c r="AU26" s="61" t="n">
        <f aca="false">AVERAGE(AH26:AH29)</f>
        <v>-0.0147737373418679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0.0139565544004558</v>
      </c>
      <c r="BJ26" s="5" t="n">
        <f aca="false">BJ25+1</f>
        <v>2037</v>
      </c>
      <c r="BK26" s="61" t="n">
        <f aca="false">SUM(T102:T105)/AVERAGE(AG102:AG105)</f>
        <v>0.0502854144511735</v>
      </c>
      <c r="BL26" s="61" t="n">
        <f aca="false">SUM(P102:P105)/AVERAGE(AG102:AG105)</f>
        <v>0.0109639538753923</v>
      </c>
      <c r="BM26" s="61" t="n">
        <f aca="false">SUM(D102:D105)/AVERAGE(AG102:AG105)</f>
        <v>0.0708434648643</v>
      </c>
      <c r="BN26" s="61" t="n">
        <f aca="false">(SUM(H102:H105)+SUM(J102:J105))/AVERAGE(AG102:AG105)</f>
        <v>0.0121445759376242</v>
      </c>
      <c r="BO26" s="63" t="n">
        <f aca="false">AL26-BN26</f>
        <v>-0.0436665802261429</v>
      </c>
      <c r="BP26" s="31" t="n">
        <f aca="false">BM26+BN26</f>
        <v>0.0829880408019242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8469780.5636595</v>
      </c>
      <c r="D27" s="9" t="n">
        <f aca="false">'Central pensions'!Q27</f>
        <v>104565192.143944</v>
      </c>
      <c r="E27" s="9"/>
      <c r="F27" s="67" t="n">
        <f aca="false">'Central pensions'!I27</f>
        <v>19005961.4338698</v>
      </c>
      <c r="G27" s="9" t="n">
        <f aca="false">'Central pensions'!K27</f>
        <v>211229.041623464</v>
      </c>
      <c r="H27" s="9" t="n">
        <f aca="false">'Central pensions'!V27</f>
        <v>1162119.86436939</v>
      </c>
      <c r="I27" s="67" t="n">
        <f aca="false">'Central pensions'!M27</f>
        <v>6532.85695742699</v>
      </c>
      <c r="J27" s="9" t="n">
        <f aca="false">'Central pensions'!W27</f>
        <v>35941.8514753436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22133362.586404</v>
      </c>
      <c r="S27" s="67"/>
      <c r="T27" s="9" t="n">
        <f aca="false">'Central SIPA income'!J22</f>
        <v>84628830.185278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</v>
      </c>
      <c r="Y27" s="9"/>
      <c r="Z27" s="9" t="n">
        <f aca="false">R27+V27-N27-L27-F27</f>
        <v>-1209080.58268629</v>
      </c>
      <c r="AA27" s="9"/>
      <c r="AB27" s="9" t="n">
        <f aca="false">T27-P27-D27</f>
        <v>-43330418.9205114</v>
      </c>
      <c r="AC27" s="50"/>
      <c r="AD27" s="9" t="n">
        <v>14034054600.9996</v>
      </c>
      <c r="AE27" s="9" t="n">
        <v>747420.074418923</v>
      </c>
      <c r="AF27" s="9" t="n"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-0.00794528493234359</v>
      </c>
      <c r="AK27" s="68" t="n">
        <f aca="false">AK26+1</f>
        <v>2038</v>
      </c>
      <c r="AL27" s="69" t="n">
        <f aca="false">SUM(AB106:AB109)/AVERAGE(AG106:AG109)</f>
        <v>-0.03084055973286</v>
      </c>
      <c r="AM27" s="9" t="n">
        <v>4379286.21321994</v>
      </c>
      <c r="AN27" s="69" t="n">
        <f aca="false">AM27/AVERAGE(AG106:AG109)</f>
        <v>0.000582130537631887</v>
      </c>
      <c r="AO27" s="69" t="n">
        <f aca="false">'GDP evolution by scenario'!G105</f>
        <v>0.0172846362197101</v>
      </c>
      <c r="AP27" s="69"/>
      <c r="AQ27" s="9" t="n">
        <f aca="false">AQ26*(1+AO27)</f>
        <v>620769608.141987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363350019.815353</v>
      </c>
      <c r="AS27" s="70" t="n">
        <f aca="false">AQ27/AG109</f>
        <v>0.0817981698821083</v>
      </c>
      <c r="AT27" s="70" t="n">
        <f aca="false">AR27/AG109</f>
        <v>0.0478782566957202</v>
      </c>
      <c r="AU27" s="7"/>
      <c r="AV27" s="7"/>
      <c r="AW27" s="71" t="n">
        <f aca="false">workers_and_wage_central!C15</f>
        <v>11421402</v>
      </c>
      <c r="AX27" s="7"/>
      <c r="AY27" s="39" t="n">
        <f aca="false">(AW27-AW26)/AW26</f>
        <v>-0.0053104848742582</v>
      </c>
      <c r="AZ27" s="38" t="n">
        <f aca="false">workers_and_wage_central!B15</f>
        <v>6723.17180647536</v>
      </c>
      <c r="BA27" s="39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0.0119914675108103</v>
      </c>
      <c r="BJ27" s="7" t="n">
        <f aca="false">BJ26+1</f>
        <v>2038</v>
      </c>
      <c r="BK27" s="39" t="n">
        <f aca="false">SUM(T106:T109)/AVERAGE(AG106:AG109)</f>
        <v>0.0502143620218796</v>
      </c>
      <c r="BL27" s="39" t="n">
        <f aca="false">SUM(P106:P109)/AVERAGE(AG106:AG109)</f>
        <v>0.010834480744177</v>
      </c>
      <c r="BM27" s="39" t="n">
        <f aca="false">SUM(D106:D109)/AVERAGE(AG106:AG109)</f>
        <v>0.0702204410105625</v>
      </c>
      <c r="BN27" s="39" t="n">
        <f aca="false">(SUM(H106:H109)+SUM(J106:J109))/AVERAGE(AG106:AG109)</f>
        <v>0.012885014997976</v>
      </c>
      <c r="BO27" s="69" t="n">
        <f aca="false">AL27-BN27</f>
        <v>-0.0437255747308359</v>
      </c>
      <c r="BP27" s="31" t="n">
        <f aca="false">BM27+BN27</f>
        <v>0.0831054560085385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99388176.508893</v>
      </c>
      <c r="E28" s="9"/>
      <c r="F28" s="67" t="n">
        <f aca="false">'Central pensions'!I28</f>
        <v>18064977.5607003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7051.41369672603</v>
      </c>
      <c r="J28" s="9" t="n">
        <f aca="false">'Central pensions'!W28</f>
        <v>38794.7976559936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750970.232147776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18222297.299294</v>
      </c>
      <c r="S28" s="67"/>
      <c r="T28" s="9" t="n">
        <f aca="false">'Central SIPA income'!J23</f>
        <v>69674533.0813354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282532.201591161</v>
      </c>
      <c r="Y28" s="9"/>
      <c r="Z28" s="9" t="n">
        <f aca="false">R28+V28-N28-L28-F28</f>
        <v>-3789443.61836457</v>
      </c>
      <c r="AA28" s="9"/>
      <c r="AB28" s="9" t="n">
        <f aca="false">T28-P28-D28</f>
        <v>-51011935.7655725</v>
      </c>
      <c r="AC28" s="50"/>
      <c r="AD28" s="9" t="n">
        <v>15118123646.8716</v>
      </c>
      <c r="AE28" s="9" t="n">
        <v>696471.255793771</v>
      </c>
      <c r="AF28" s="9" t="n"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-0.010038063843447</v>
      </c>
      <c r="AK28" s="68" t="n">
        <f aca="false">AK27+1</f>
        <v>2039</v>
      </c>
      <c r="AL28" s="69" t="n">
        <f aca="false">SUM(AB110:AB113)/AVERAGE(AG110:AG113)</f>
        <v>-0.0293000041746727</v>
      </c>
      <c r="AM28" s="9" t="n">
        <v>3887732.69163583</v>
      </c>
      <c r="AN28" s="69" t="n">
        <f aca="false">AM28/AVERAGE(AG110:AG113)</f>
        <v>0.00050464967476049</v>
      </c>
      <c r="AO28" s="69" t="n">
        <f aca="false">'GDP evolution by scenario'!G109</f>
        <v>0.0240553980782583</v>
      </c>
      <c r="AP28" s="69"/>
      <c r="AQ28" s="9" t="n">
        <f aca="false">AQ27*(1+AO28)</f>
        <v>635702468.180726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368160136.685989</v>
      </c>
      <c r="AS28" s="70" t="n">
        <f aca="false">AQ28/AG113</f>
        <v>0.0821507394400355</v>
      </c>
      <c r="AT28" s="70" t="n">
        <f aca="false">AR28/AG113</f>
        <v>0.0475767028994768</v>
      </c>
      <c r="AU28" s="9"/>
      <c r="AW28" s="71" t="n">
        <f aca="false">workers_and_wage_central!C16</f>
        <v>11521980</v>
      </c>
      <c r="AY28" s="39" t="n">
        <f aca="false">(AW28-AW27)/AW27</f>
        <v>0.00880609928623474</v>
      </c>
      <c r="AZ28" s="38" t="n">
        <f aca="false">workers_and_wage_central!B16</f>
        <v>6342.54075613813</v>
      </c>
      <c r="BA28" s="39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I28" s="39" t="n">
        <f aca="false">T35/AG35</f>
        <v>0.014416106796396</v>
      </c>
      <c r="BJ28" s="7" t="n">
        <f aca="false">BJ27+1</f>
        <v>2039</v>
      </c>
      <c r="BK28" s="39" t="n">
        <f aca="false">SUM(T110:T113)/AVERAGE(AG110:AG113)</f>
        <v>0.0507068384339822</v>
      </c>
      <c r="BL28" s="39" t="n">
        <f aca="false">SUM(P110:P113)/AVERAGE(AG110:AG113)</f>
        <v>0.0106787085279573</v>
      </c>
      <c r="BM28" s="39" t="n">
        <f aca="false">SUM(D110:D113)/AVERAGE(AG110:AG113)</f>
        <v>0.0693281340806977</v>
      </c>
      <c r="BN28" s="39" t="n">
        <f aca="false">(SUM(H110:H113)+SUM(J110:J113))/AVERAGE(AG110:AG113)</f>
        <v>0.0133026338114177</v>
      </c>
      <c r="BO28" s="69" t="n">
        <f aca="false">AL28-BN28</f>
        <v>-0.0426026379860904</v>
      </c>
      <c r="BP28" s="31" t="n">
        <f aca="false">BM28+BN28</f>
        <v>0.0826307678921154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7381191.97851735</v>
      </c>
      <c r="D29" s="9" t="n">
        <f aca="false">'Central pensions'!Q29</f>
        <v>91125826.8952759</v>
      </c>
      <c r="E29" s="9"/>
      <c r="F29" s="67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1282885.26313304</v>
      </c>
      <c r="I29" s="67" t="n">
        <f aca="false">'Central pensions'!M29</f>
        <v>7211.73966111301</v>
      </c>
      <c r="J29" s="9" t="n">
        <f aca="false">'Central pensions'!W29</f>
        <v>39676.8638082438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686850.352897787</v>
      </c>
      <c r="O29" s="9"/>
      <c r="P29" s="9" t="n">
        <f aca="false">'Central pensions'!X29</f>
        <v>19612560.0001376</v>
      </c>
      <c r="Q29" s="67"/>
      <c r="R29" s="67" t="n">
        <f aca="false">'Central SIPA income'!G24</f>
        <v>19865812.1980342</v>
      </c>
      <c r="S29" s="67"/>
      <c r="T29" s="9" t="n">
        <f aca="false">'Central SIPA income'!J24</f>
        <v>75958654.7428988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281569.980086591</v>
      </c>
      <c r="Y29" s="9"/>
      <c r="Z29" s="9" t="n">
        <f aca="false">R29+V29-N29-L29-F29</f>
        <v>-323529.749270529</v>
      </c>
      <c r="AA29" s="9"/>
      <c r="AB29" s="9" t="n">
        <f aca="false">T29-P29-D29</f>
        <v>-34779732.1525146</v>
      </c>
      <c r="AC29" s="50"/>
      <c r="AD29" s="9" t="n">
        <v>16779533858.6913</v>
      </c>
      <c r="AE29" s="9" t="n">
        <v>679899.611209872</v>
      </c>
      <c r="AF29" s="72" t="n"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-0.00701072265787566</v>
      </c>
      <c r="AK29" s="68" t="n">
        <f aca="false">AK28+1</f>
        <v>2040</v>
      </c>
      <c r="AL29" s="69" t="n">
        <f aca="false">SUM(AB114:AB117)/AVERAGE(AG114:AG117)</f>
        <v>-0.0284811067659261</v>
      </c>
      <c r="AM29" s="9" t="n">
        <v>3427469.19706586</v>
      </c>
      <c r="AN29" s="69" t="n">
        <f aca="false">AM29/AVERAGE(AG114:AG117)</f>
        <v>0.00043849324987042</v>
      </c>
      <c r="AO29" s="69" t="n">
        <f aca="false">'GDP evolution by scenario'!G113</f>
        <v>0.0146219403232377</v>
      </c>
      <c r="AP29" s="69"/>
      <c r="AQ29" s="9" t="n">
        <f aca="false">AQ28*(1+AO29)</f>
        <v>644997671.7338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370092973.292034</v>
      </c>
      <c r="AS29" s="70" t="n">
        <f aca="false">AQ29/AG117</f>
        <v>0.0822853073781692</v>
      </c>
      <c r="AT29" s="70" t="n">
        <f aca="false">AR29/AG117</f>
        <v>0.0472144558041197</v>
      </c>
      <c r="AW29" s="71" t="n">
        <f aca="false">workers_and_wage_central!C17</f>
        <v>11538154</v>
      </c>
      <c r="AY29" s="39" t="n">
        <f aca="false">(AW29-AW28)/AW28</f>
        <v>0.00140375178571739</v>
      </c>
      <c r="AZ29" s="38" t="n">
        <f aca="false">workers_and_wage_central!B17</f>
        <v>6004.7550431554</v>
      </c>
      <c r="BA29" s="39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I29" s="39" t="n">
        <f aca="false">T36/AG36</f>
        <v>0.012294868663483</v>
      </c>
      <c r="BJ29" s="7" t="n">
        <f aca="false">BJ28+1</f>
        <v>2040</v>
      </c>
      <c r="BK29" s="39" t="n">
        <f aca="false">SUM(T114:T117)/AVERAGE(AG114:AG117)</f>
        <v>0.051021787770432</v>
      </c>
      <c r="BL29" s="39" t="n">
        <f aca="false">SUM(P114:P117)/AVERAGE(AG114:AG117)</f>
        <v>0.0102332433764397</v>
      </c>
      <c r="BM29" s="39" t="n">
        <f aca="false">SUM(D114:D117)/AVERAGE(AG114:AG117)</f>
        <v>0.0692696511599184</v>
      </c>
      <c r="BN29" s="39" t="n">
        <f aca="false">(SUM(H114:H117)+SUM(J114:J117))/AVERAGE(AG114:AG117)</f>
        <v>0.0137683392790475</v>
      </c>
      <c r="BO29" s="69" t="n">
        <f aca="false">AL29-BN29</f>
        <v>-0.0422494460449735</v>
      </c>
      <c r="BP29" s="31" t="n">
        <f aca="false">BM29+BN29</f>
        <v>0.0830379904389658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</v>
      </c>
      <c r="J30" s="6" t="n">
        <f aca="false">'Central pensions'!W30</f>
        <v>32309.1800389045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683471.593930794</v>
      </c>
      <c r="O30" s="6"/>
      <c r="P30" s="6" t="n">
        <f aca="false">'Central pensions'!X30</f>
        <v>22308447.4919884</v>
      </c>
      <c r="Q30" s="8"/>
      <c r="R30" s="8" t="n">
        <f aca="false">'Central SIPA income'!G25</f>
        <v>15679466.1228721</v>
      </c>
      <c r="S30" s="8"/>
      <c r="T30" s="6" t="n">
        <f aca="false">'Central SIPA income'!J25</f>
        <v>59951797.6867856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</v>
      </c>
      <c r="Y30" s="6"/>
      <c r="Z30" s="6" t="n">
        <f aca="false">R30+V30-N30-L30-F30</f>
        <v>-4937616.02250632</v>
      </c>
      <c r="AA30" s="6"/>
      <c r="AB30" s="6" t="n">
        <f aca="false">T30-P30-D30</f>
        <v>-52970176.5543147</v>
      </c>
      <c r="AC30" s="50"/>
      <c r="AD30" s="6" t="n">
        <v>17412113021.4212</v>
      </c>
      <c r="AE30" s="6" t="n">
        <v>665471.48418794</v>
      </c>
      <c r="AF30" s="6" t="n"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-0.010908959179881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-0.362650980547563</v>
      </c>
      <c r="AS30" s="64"/>
      <c r="AT30" s="5"/>
      <c r="AU30" s="61" t="n">
        <f aca="false">AVERAGE(AH30:AH33)</f>
        <v>0.000245472675791324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0.0134753955153373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91487854.0194989</v>
      </c>
      <c r="E31" s="9"/>
      <c r="F31" s="67" t="n">
        <f aca="false">'Central pensions'!I31</f>
        <v>16629000.4303579</v>
      </c>
      <c r="G31" s="9" t="n">
        <f aca="false">'Central pensions'!K31</f>
        <v>194832.254670393</v>
      </c>
      <c r="H31" s="9" t="n">
        <f aca="false">'Central pensions'!V31</f>
        <v>1071909.58038788</v>
      </c>
      <c r="I31" s="67" t="n">
        <f aca="false">'Central pensions'!M31</f>
        <v>6025.73983516599</v>
      </c>
      <c r="J31" s="9" t="n">
        <f aca="false">'Central pensions'!W31</f>
        <v>33151.8426924041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691128.159056533</v>
      </c>
      <c r="O31" s="9"/>
      <c r="P31" s="9" t="n">
        <f aca="false">'Central pensions'!X31</f>
        <v>20668141.9492505</v>
      </c>
      <c r="Q31" s="67"/>
      <c r="R31" s="67" t="n">
        <f aca="false">'Central SIPA income'!G26</f>
        <v>18596957.6691172</v>
      </c>
      <c r="S31" s="67"/>
      <c r="T31" s="9" t="n">
        <f aca="false">'Central SIPA income'!J26</f>
        <v>71107079.4778058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269974.530416805</v>
      </c>
      <c r="Y31" s="9"/>
      <c r="Z31" s="9" t="n">
        <f aca="false">R31+V31-N31-L31-F31</f>
        <v>-1865972.42509109</v>
      </c>
      <c r="AA31" s="9"/>
      <c r="AB31" s="9" t="n">
        <f aca="false">T31-P31-D31</f>
        <v>-41048916.4909436</v>
      </c>
      <c r="AC31" s="50"/>
      <c r="AD31" s="9" t="n">
        <v>20909685152.7339</v>
      </c>
      <c r="AE31" s="9" t="n">
        <v>750203.91624212</v>
      </c>
      <c r="AF31" s="9" t="n"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-0.00749900628991835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370092973.292034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39" t="n">
        <f aca="false">(AW31-AW30)/AW30</f>
        <v>0.00305701556694148</v>
      </c>
      <c r="AZ31" s="38" t="n">
        <f aca="false">workers_and_wage_central!B19</f>
        <v>5961.57826280046</v>
      </c>
      <c r="BA31" s="39" t="n">
        <f aca="false">(AZ31-AZ30)/AZ30</f>
        <v>-0.00385688028256842</v>
      </c>
      <c r="BB31" s="12" t="n">
        <v>42.7303296573139</v>
      </c>
      <c r="BC31" s="12" t="n">
        <v>11.8941748394379</v>
      </c>
      <c r="BD31" s="12" t="n">
        <f aca="false">BB31+BC31/2</f>
        <v>48.6774170770329</v>
      </c>
      <c r="BE31" s="39" t="n">
        <f aca="false">BD31/BD30-1</f>
        <v>-0.116243880260073</v>
      </c>
      <c r="BF31" s="7"/>
      <c r="BG31" s="7"/>
      <c r="BH31" s="7"/>
      <c r="BI31" s="39" t="n">
        <f aca="false">T38/AG38</f>
        <v>0.010853342200734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32447630.7451734</v>
      </c>
      <c r="D32" s="9" t="n">
        <f aca="false">'Central pensions'!Q32</f>
        <v>93609562.299022</v>
      </c>
      <c r="E32" s="9"/>
      <c r="F32" s="67" t="n">
        <f aca="false">'Central pensions'!I32</f>
        <v>17014646.0252995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5755.70984205001</v>
      </c>
      <c r="J32" s="9" t="n">
        <f aca="false">'Central pensions'!W32</f>
        <v>31666.2173420084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708574.677330751</v>
      </c>
      <c r="O32" s="9"/>
      <c r="P32" s="9" t="n">
        <f aca="false">'Central pensions'!X32</f>
        <v>20387057.3964795</v>
      </c>
      <c r="Q32" s="67"/>
      <c r="R32" s="67" t="n">
        <f aca="false">'Central SIPA income'!G27</f>
        <v>15765699.3961221</v>
      </c>
      <c r="S32" s="67"/>
      <c r="T32" s="9" t="n">
        <f aca="false">'Central SIPA income'!J27</f>
        <v>60281518.0810413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-5025789.62090898</v>
      </c>
      <c r="AA32" s="9"/>
      <c r="AB32" s="9" t="n">
        <f aca="false">T32-P32-D32</f>
        <v>-53715101.6144602</v>
      </c>
      <c r="AC32" s="50"/>
      <c r="AD32" s="9" t="n">
        <v>22287255273.2248</v>
      </c>
      <c r="AE32" s="9" t="n">
        <v>683792.557917349</v>
      </c>
      <c r="AF32" s="9" t="n">
        <v>397.614228233701</v>
      </c>
      <c r="AG32" s="9" t="n">
        <f aca="false">AE32/$AE$6*$AD$6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-0.0107659752843224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373543352.234006</v>
      </c>
      <c r="AS32" s="7"/>
      <c r="AT32" s="7"/>
      <c r="AU32" s="9"/>
      <c r="AW32" s="71" t="n">
        <f aca="false">workers_and_wage_central!C20</f>
        <v>11551134</v>
      </c>
      <c r="AY32" s="39" t="n">
        <f aca="false">(AW32-AW31)/AW31</f>
        <v>0.00555201736587601</v>
      </c>
      <c r="AZ32" s="38" t="n">
        <f aca="false">workers_and_wage_central!B20</f>
        <v>5872.63427761974</v>
      </c>
      <c r="BA32" s="39" t="n">
        <f aca="false">(AZ32-AZ31)/AZ31</f>
        <v>-0.0149195366159529</v>
      </c>
      <c r="BB32" s="12" t="n">
        <v>45.1393247714544</v>
      </c>
      <c r="BC32" s="12" t="n">
        <v>12.7247318118192</v>
      </c>
      <c r="BD32" s="12" t="n">
        <f aca="false">BB32+BC32/2</f>
        <v>51.501690677364</v>
      </c>
      <c r="BE32" s="39" t="n">
        <f aca="false">BD32/BD31-1</f>
        <v>0.0580202025892558</v>
      </c>
      <c r="BF32" s="7"/>
      <c r="BG32" s="7"/>
      <c r="BH32" s="0" t="n">
        <v>1</v>
      </c>
      <c r="BI32" s="39" t="n">
        <f aca="false">T39/AG39</f>
        <v>0.0117029644184796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92490945.8623855</v>
      </c>
      <c r="E33" s="9"/>
      <c r="F33" s="67" t="n">
        <f aca="false">'Central pensions'!I33</f>
        <v>16811324.2466264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6199.94466454702</v>
      </c>
      <c r="J33" s="9" t="n">
        <f aca="false">'Central pensions'!W33</f>
        <v>34110.2662649243</v>
      </c>
      <c r="K33" s="9"/>
      <c r="L33" s="67" t="n">
        <f aca="false">'Central pensions'!N33</f>
        <v>3280735.81389867</v>
      </c>
      <c r="M33" s="67"/>
      <c r="N33" s="67" t="n">
        <f aca="false">'Central pensions'!L33</f>
        <v>701552.982684355</v>
      </c>
      <c r="O33" s="9"/>
      <c r="P33" s="9" t="n">
        <f aca="false">'Central pensions'!X33</f>
        <v>20883491.2534175</v>
      </c>
      <c r="Q33" s="67"/>
      <c r="R33" s="67" t="n">
        <f aca="false">'Central SIPA income'!G28</f>
        <v>17909384.2877296</v>
      </c>
      <c r="S33" s="67"/>
      <c r="T33" s="9" t="n">
        <f aca="false">'Central SIPA income'!J28</f>
        <v>68478083.0609162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-2774471.26870238</v>
      </c>
      <c r="AA33" s="9"/>
      <c r="AB33" s="9" t="n">
        <f aca="false">T33-P33-D33</f>
        <v>-44896354.0548868</v>
      </c>
      <c r="AC33" s="50"/>
      <c r="AD33" s="9" t="n">
        <v>25179945991.8152</v>
      </c>
      <c r="AE33" s="9" t="n">
        <v>672441.840786771</v>
      </c>
      <c r="AF33" s="39"/>
      <c r="AG33" s="9" t="n">
        <f aca="false">AE33/$AE$6*$AD$6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-0.00915034971396243</v>
      </c>
      <c r="AK33" s="7" t="s">
        <v>103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39" t="n">
        <f aca="false">(AW33-AW32)/AW32</f>
        <v>0.00898310070682238</v>
      </c>
      <c r="AZ33" s="38" t="n">
        <f aca="false">workers_and_wage_central!B21</f>
        <v>5678.46307194578</v>
      </c>
      <c r="BA33" s="39" t="n">
        <f aca="false">(AZ33-AZ32)/AZ32</f>
        <v>-0.033063731963343</v>
      </c>
      <c r="BB33" s="12" t="n">
        <v>45.6642623283349</v>
      </c>
      <c r="BC33" s="12" t="n">
        <v>13.3006153702016</v>
      </c>
      <c r="BD33" s="12" t="n">
        <f aca="false">BB33+BC33/2</f>
        <v>52.3145700134357</v>
      </c>
      <c r="BE33" s="39" t="n">
        <f aca="false">BD33/BD32-1</f>
        <v>0.0157835466249845</v>
      </c>
      <c r="BF33" s="7"/>
      <c r="BG33" s="73" t="n">
        <f aca="false">(BB33-BB29)/BB29</f>
        <v>-0.0313646626871588</v>
      </c>
      <c r="BH33" s="0" t="n">
        <f aca="false">BH32+1</f>
        <v>2</v>
      </c>
      <c r="BI33" s="39" t="n">
        <f aca="false">T40/AG40</f>
        <v>0.0111238969186611</v>
      </c>
      <c r="BK33" s="75" t="n">
        <f aca="false">'Central macro hypothesis'!B15</f>
        <v>138.624857534016</v>
      </c>
      <c r="BL33" s="76" t="n">
        <f aca="false">'Central macro hypothesis'!B15</f>
        <v>138.624857534016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94608282.5072803</v>
      </c>
      <c r="E34" s="6"/>
      <c r="F34" s="8" t="n">
        <f aca="false">'Central pensions'!I34</f>
        <v>17196175.2452263</v>
      </c>
      <c r="G34" s="6" t="n">
        <f aca="false">'Central pensions'!K34</f>
        <v>226619.266133882</v>
      </c>
      <c r="H34" s="6" t="n">
        <f aca="false">'Central pensions'!V34</f>
        <v>1246792.33877537</v>
      </c>
      <c r="I34" s="8" t="n">
        <f aca="false">'Central pensions'!M34</f>
        <v>7008.843282491</v>
      </c>
      <c r="J34" s="6" t="n">
        <f aca="false">'Central pensions'!W34</f>
        <v>38560.5877971753</v>
      </c>
      <c r="K34" s="6"/>
      <c r="L34" s="8" t="n">
        <f aca="false">'Central pensions'!N34</f>
        <v>3554860.4242964</v>
      </c>
      <c r="M34" s="8"/>
      <c r="N34" s="8" t="n">
        <f aca="false">'Central pensions'!L34</f>
        <v>718458.800340712</v>
      </c>
      <c r="O34" s="6"/>
      <c r="P34" s="6" t="n">
        <f aca="false">'Central pensions'!X34</f>
        <v>22398935.9806275</v>
      </c>
      <c r="Q34" s="8"/>
      <c r="R34" s="8" t="n">
        <f aca="false">'Central SIPA income'!G29</f>
        <v>14402757.1244843</v>
      </c>
      <c r="S34" s="8"/>
      <c r="T34" s="6" t="n">
        <f aca="false">'Central SIPA income'!J29</f>
        <v>55070190.1769104</v>
      </c>
      <c r="U34" s="6"/>
      <c r="V34" s="8" t="n">
        <f aca="false">'Central SIPA income'!F29</f>
        <v>112455.819388001</v>
      </c>
      <c r="W34" s="8"/>
      <c r="X34" s="8" t="n">
        <f aca="false">'Central SIPA income'!M29</f>
        <v>282456.596390282</v>
      </c>
      <c r="Y34" s="6"/>
      <c r="Z34" s="6" t="n">
        <f aca="false">R34+V34-N34-L34-F34</f>
        <v>-6954281.52599113</v>
      </c>
      <c r="AA34" s="6"/>
      <c r="AB34" s="6" t="n">
        <f aca="false">T34-P34-D34</f>
        <v>-61937028.3109974</v>
      </c>
      <c r="AC34" s="50"/>
      <c r="AD34" s="6" t="n">
        <v>25352324788.3927</v>
      </c>
      <c r="AE34" s="6" t="n">
        <v>629398.332210602</v>
      </c>
      <c r="AF34" s="6"/>
      <c r="AG34" s="6" t="n">
        <f aca="false">AE34/$AE$6*$AD$6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-0.0134867132349012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-0.0160108723900861</v>
      </c>
      <c r="AV34" s="5"/>
      <c r="AW34" s="65" t="n">
        <f aca="false">workers_and_wage_central!C22</f>
        <v>11604031</v>
      </c>
      <c r="AX34" s="5"/>
      <c r="AY34" s="61" t="n">
        <f aca="false">(AW34-AW33)/AW33</f>
        <v>-0.00436451658654442</v>
      </c>
      <c r="AZ34" s="66" t="n">
        <f aca="false">workers_and_wage_central!B22</f>
        <v>5911.63495348748</v>
      </c>
      <c r="BA34" s="61" t="n">
        <f aca="false">(AZ34-AZ33)/AZ33</f>
        <v>0.0410624985295187</v>
      </c>
      <c r="BB34" s="11" t="n">
        <f aca="false">BB33*3/4+BB37*1/4</f>
        <v>45.9981967462512</v>
      </c>
      <c r="BC34" s="11" t="n">
        <f aca="false">$BC$33</f>
        <v>13.3006153702016</v>
      </c>
      <c r="BD34" s="11" t="n">
        <f aca="false">BD33*(2-((BL34)/(BL33*(1+AY34)*(1+BA34))))</f>
        <v>57.3295417924342</v>
      </c>
      <c r="BE34" s="61" t="n">
        <f aca="false">BD34/BD33-1</f>
        <v>0.0958618560318962</v>
      </c>
      <c r="BF34" s="5"/>
      <c r="BG34" s="5"/>
      <c r="BH34" s="5" t="n">
        <f aca="false">BH33+1</f>
        <v>3</v>
      </c>
      <c r="BI34" s="61" t="n">
        <f aca="false">T41/AG41</f>
        <v>0.0134090190626041</v>
      </c>
      <c r="BJ34" s="5"/>
      <c r="BK34" s="77" t="n">
        <f aca="false">BK33*(1+AY34)*(1+BA34)*(1-BE34)</f>
        <v>129.913137983182</v>
      </c>
      <c r="BL34" s="5" t="n">
        <f aca="false">'Central macro hypothesis'!B16</f>
        <v>129.913137983182</v>
      </c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96654602.6268598</v>
      </c>
      <c r="E35" s="9"/>
      <c r="F35" s="67" t="n">
        <f aca="false">'Central pensions'!I35</f>
        <v>17568118.1497116</v>
      </c>
      <c r="G35" s="9" t="n">
        <f aca="false">'Central pensions'!K35</f>
        <v>257993.977430709</v>
      </c>
      <c r="H35" s="9" t="n">
        <f aca="false">'Central pensions'!V35</f>
        <v>1419406.74329411</v>
      </c>
      <c r="I35" s="67" t="n">
        <f aca="false">'Central pensions'!M35</f>
        <v>7979.195178269</v>
      </c>
      <c r="J35" s="9" t="n">
        <f aca="false">'Central pensions'!W35</f>
        <v>43899.1776276508</v>
      </c>
      <c r="K35" s="9"/>
      <c r="L35" s="67" t="n">
        <f aca="false">'Central pensions'!N35</f>
        <v>3093033.19155661</v>
      </c>
      <c r="M35" s="67"/>
      <c r="N35" s="67" t="n">
        <f aca="false">'Central pensions'!L35</f>
        <v>735139.809879731</v>
      </c>
      <c r="O35" s="9"/>
      <c r="P35" s="9" t="n">
        <f aca="false">'Central pensions'!X35</f>
        <v>20094286.2672966</v>
      </c>
      <c r="Q35" s="67"/>
      <c r="R35" s="67" t="n">
        <f aca="false">'Central SIPA income'!G30</f>
        <v>16232738.455893</v>
      </c>
      <c r="S35" s="67"/>
      <c r="T35" s="9" t="n">
        <f aca="false">'Central SIPA income'!J30</f>
        <v>62067282.4051445</v>
      </c>
      <c r="U35" s="9"/>
      <c r="V35" s="67" t="n">
        <f aca="false">'Central SIPA income'!F30</f>
        <v>102526.152348736</v>
      </c>
      <c r="W35" s="67"/>
      <c r="X35" s="67" t="n">
        <f aca="false">'Central SIPA income'!M30</f>
        <v>257516.135590093</v>
      </c>
      <c r="Y35" s="9"/>
      <c r="Z35" s="9" t="n">
        <f aca="false">R35+V35-N35-L35-F35</f>
        <v>-5061026.54290621</v>
      </c>
      <c r="AA35" s="9"/>
      <c r="AB35" s="9" t="n">
        <f aca="false">T35-P35-D35</f>
        <v>-54681606.489012</v>
      </c>
      <c r="AC35" s="50"/>
      <c r="AD35" s="9"/>
      <c r="AE35" s="78"/>
      <c r="AF35" s="39" t="n">
        <f aca="false">AVERAGE(AG34:AG37)/AVERAGE(AG30:AG33)-1</f>
        <v>-0.12371581755656</v>
      </c>
      <c r="AG35" s="9" t="n">
        <f aca="false">AG34*'Central macro hypothesis'!B17/'Central macro hypothesis'!B16</f>
        <v>4305412222.71334</v>
      </c>
      <c r="AH35" s="39" t="n">
        <f aca="false">(AG35-AG34)/AG34</f>
        <v>-0.0625016797025882</v>
      </c>
      <c r="AI35" s="39"/>
      <c r="AJ35" s="39" t="n">
        <f aca="false">AB35/AG35</f>
        <v>-0.0127006668956197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11089388</v>
      </c>
      <c r="AX35" s="7"/>
      <c r="AY35" s="39" t="n">
        <f aca="false">(AW35-AW34)/AW34</f>
        <v>-0.0443503641105406</v>
      </c>
      <c r="AZ35" s="38" t="n">
        <f aca="false">workers_and_wage_central!B23</f>
        <v>5817.08296723388</v>
      </c>
      <c r="BA35" s="39" t="n">
        <f aca="false">(AZ35-AZ34)/AZ34</f>
        <v>-0.0159942193652909</v>
      </c>
      <c r="BB35" s="12" t="n">
        <f aca="false">BB33*2/4+BB37*2/4</f>
        <v>46.3321311641675</v>
      </c>
      <c r="BC35" s="12" t="n">
        <f aca="false">$BC$33</f>
        <v>13.3006153702016</v>
      </c>
      <c r="BD35" s="12" t="n">
        <f aca="false">BD34*(2-((BL35)/(BL34*(1+AY35)*(1+BA35))))</f>
        <v>57.5042952746054</v>
      </c>
      <c r="BE35" s="39" t="n">
        <f aca="false">BD35/BD34-1</f>
        <v>0.00304822743575928</v>
      </c>
      <c r="BF35" s="7"/>
      <c r="BG35" s="7" t="e">
        <f aca="false">AVERAGE(BF34:BF37)</f>
        <v>#DIV/0!</v>
      </c>
      <c r="BH35" s="7" t="n">
        <f aca="false">BH34+1</f>
        <v>4</v>
      </c>
      <c r="BI35" s="39" t="n">
        <f aca="false">T42/AG42</f>
        <v>0.0108056173278302</v>
      </c>
      <c r="BJ35" s="7"/>
      <c r="BK35" s="12" t="n">
        <f aca="false">BK34*(1+AY35)*(1+BA35)*(1-BE35)</f>
        <v>121.793348643799</v>
      </c>
      <c r="BL35" s="7" t="n">
        <f aca="false">'Central macro hypothesis'!B17</f>
        <v>121.793348643799</v>
      </c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101831571.453508</v>
      </c>
      <c r="E36" s="9"/>
      <c r="F36" s="67" t="n">
        <f aca="false">'Central pensions'!I36</f>
        <v>18509093.5148998</v>
      </c>
      <c r="G36" s="9" t="n">
        <f aca="false">'Central pensions'!K36</f>
        <v>286188.46353907</v>
      </c>
      <c r="H36" s="9" t="n">
        <f aca="false">'Central pensions'!V36</f>
        <v>1574524.48714403</v>
      </c>
      <c r="I36" s="67" t="n">
        <f aca="false">'Central pensions'!M36</f>
        <v>8851.18959399202</v>
      </c>
      <c r="J36" s="9" t="n">
        <f aca="false">'Central pensions'!W36</f>
        <v>48696.6336230121</v>
      </c>
      <c r="K36" s="9"/>
      <c r="L36" s="67" t="n">
        <f aca="false">'Central pensions'!N36</f>
        <v>3328107.81497963</v>
      </c>
      <c r="M36" s="67"/>
      <c r="N36" s="67" t="n">
        <f aca="false">'Central pensions'!L36</f>
        <v>776671.884627312</v>
      </c>
      <c r="O36" s="9"/>
      <c r="P36" s="9" t="n">
        <f aca="false">'Central pensions'!X36</f>
        <v>21542586.8270545</v>
      </c>
      <c r="Q36" s="67"/>
      <c r="R36" s="67" t="n">
        <f aca="false">'Central SIPA income'!G31</f>
        <v>13681311.4742526</v>
      </c>
      <c r="S36" s="67"/>
      <c r="T36" s="9" t="n">
        <f aca="false">'Central SIPA income'!J31</f>
        <v>52311680.2043284</v>
      </c>
      <c r="U36" s="9"/>
      <c r="V36" s="67" t="n">
        <f aca="false">'Central SIPA income'!F31</f>
        <v>91035.9032197664</v>
      </c>
      <c r="W36" s="67"/>
      <c r="X36" s="67" t="n">
        <f aca="false">'Central SIPA income'!M31</f>
        <v>228655.942508868</v>
      </c>
      <c r="Y36" s="9"/>
      <c r="Z36" s="9" t="n">
        <f aca="false">R36+V36-N36-L36-F36</f>
        <v>-8841525.83703444</v>
      </c>
      <c r="AA36" s="9"/>
      <c r="AB36" s="9" t="n">
        <f aca="false">T36-P36-D36</f>
        <v>-71062478.0762343</v>
      </c>
      <c r="AC36" s="50"/>
      <c r="AD36" s="9"/>
      <c r="AE36" s="39"/>
      <c r="AF36" s="9"/>
      <c r="AG36" s="9" t="n">
        <f aca="false">AG35*'Central macro hypothesis'!B18/'Central macro hypothesis'!B17</f>
        <v>4254757137.80492</v>
      </c>
      <c r="AH36" s="39" t="n">
        <f aca="false">(AG36-AG35)/AG35</f>
        <v>-0.0117654436528046</v>
      </c>
      <c r="AI36" s="39"/>
      <c r="AJ36" s="39" t="n">
        <f aca="false">AB36/AG36</f>
        <v>-0.0167018882099805</v>
      </c>
      <c r="AK36" s="7"/>
      <c r="AL36" s="39"/>
      <c r="AM36" s="39"/>
      <c r="AN36" s="39"/>
      <c r="AO36" s="39"/>
      <c r="AP36" s="39"/>
      <c r="AQ36" s="39"/>
      <c r="AR36" s="39"/>
      <c r="AS36" s="39"/>
      <c r="AT36" s="39"/>
      <c r="AU36" s="9"/>
      <c r="AW36" s="71" t="n">
        <f aca="false">workers_and_wage_central!C24</f>
        <v>11692717</v>
      </c>
      <c r="AY36" s="39" t="n">
        <f aca="false">(AW36-AW35)/AW35</f>
        <v>0.0544059780395456</v>
      </c>
      <c r="AZ36" s="38" t="n">
        <f aca="false">workers_and_wage_central!B24</f>
        <v>5403.92495080786</v>
      </c>
      <c r="BA36" s="39" t="n">
        <f aca="false">(AZ36-AZ35)/AZ35</f>
        <v>-0.0710249482005382</v>
      </c>
      <c r="BB36" s="12" t="n">
        <f aca="false">BB33*1/4+BB37*3/4</f>
        <v>46.6660655820837</v>
      </c>
      <c r="BC36" s="12" t="n">
        <f aca="false">$BC$33</f>
        <v>13.3006153702016</v>
      </c>
      <c r="BD36" s="12" t="n">
        <f aca="false">BD35*(2-((BL36)/(BL35*(1+AY36)*(1+BA36))))</f>
        <v>56.99250655749</v>
      </c>
      <c r="BE36" s="39" t="n">
        <f aca="false">BD36/BD35-1</f>
        <v>-0.00890000850669437</v>
      </c>
      <c r="BF36" s="7"/>
      <c r="BG36" s="7"/>
      <c r="BH36" s="0" t="n">
        <f aca="false">BH35+1</f>
        <v>5</v>
      </c>
      <c r="BI36" s="39" t="n">
        <f aca="false">T43/AG43</f>
        <v>0.0112559403118432</v>
      </c>
      <c r="BK36" s="79" t="n">
        <f aca="false">BK35*(1+AY36)*(1+BA36)*(1-BE36)</f>
        <v>120.360395863044</v>
      </c>
      <c r="BL36" s="0" t="n">
        <f aca="false">'Central macro hypothesis'!B18</f>
        <v>120.360395863044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101456723.277669</v>
      </c>
      <c r="E37" s="9"/>
      <c r="F37" s="67" t="n">
        <f aca="false">'Central pensions'!I37</f>
        <v>18440960.4217788</v>
      </c>
      <c r="G37" s="9" t="n">
        <f aca="false">'Central pensions'!K37</f>
        <v>313788.460643986</v>
      </c>
      <c r="H37" s="9" t="n">
        <f aca="false">'Central pensions'!V37</f>
        <v>1726371.52789961</v>
      </c>
      <c r="I37" s="67" t="n">
        <f aca="false">'Central pensions'!M37</f>
        <v>9704.797751876</v>
      </c>
      <c r="J37" s="9" t="n">
        <f aca="false">'Central pensions'!W37</f>
        <v>53392.9338525661</v>
      </c>
      <c r="K37" s="9"/>
      <c r="L37" s="67" t="n">
        <f aca="false">'Central pensions'!N37</f>
        <v>3344163.3398412</v>
      </c>
      <c r="M37" s="67"/>
      <c r="N37" s="67" t="n">
        <f aca="false">'Central pensions'!L37</f>
        <v>775126.327712022</v>
      </c>
      <c r="O37" s="9"/>
      <c r="P37" s="9" t="n">
        <f aca="false">'Central pensions'!X37</f>
        <v>21617395.823751</v>
      </c>
      <c r="Q37" s="67"/>
      <c r="R37" s="67" t="n">
        <f aca="false">'Central SIPA income'!G32</f>
        <v>16108103.3617222</v>
      </c>
      <c r="S37" s="67"/>
      <c r="T37" s="9" t="n">
        <f aca="false">'Central SIPA income'!J32</f>
        <v>61590729.3202471</v>
      </c>
      <c r="U37" s="9"/>
      <c r="V37" s="67" t="n">
        <f aca="false">'Central SIPA income'!F32</f>
        <v>94754.4616199551</v>
      </c>
      <c r="W37" s="67"/>
      <c r="X37" s="67" t="n">
        <f aca="false">'Central SIPA income'!M32</f>
        <v>237995.889120006</v>
      </c>
      <c r="Y37" s="9"/>
      <c r="Z37" s="9" t="n">
        <f aca="false">R37+V37-N37-L37-F37</f>
        <v>-6357392.26598985</v>
      </c>
      <c r="AA37" s="9"/>
      <c r="AB37" s="9" t="n">
        <f aca="false">T37-P37-D37</f>
        <v>-61483389.7811727</v>
      </c>
      <c r="AC37" s="50"/>
      <c r="AD37" s="9"/>
      <c r="AE37" s="9"/>
      <c r="AF37" s="9"/>
      <c r="AG37" s="9" t="n">
        <f aca="false">AG36*'Central macro hypothesis'!B19/'Central macro hypothesis'!B18</f>
        <v>4570606424.8835</v>
      </c>
      <c r="AH37" s="39" t="n">
        <f aca="false">(AG37-AG36)/AG36</f>
        <v>0.0742343867931177</v>
      </c>
      <c r="AI37" s="39" t="n">
        <f aca="false">(AG37-AG33)/AG33</f>
        <v>-0.0684622822281176</v>
      </c>
      <c r="AJ37" s="39" t="n">
        <f aca="false">AB37/AG37</f>
        <v>-0.0134519107675607</v>
      </c>
      <c r="AK37" s="73"/>
      <c r="AW37" s="71" t="n">
        <f aca="false">workers_and_wage_central!C25</f>
        <v>11758762</v>
      </c>
      <c r="AY37" s="39" t="n">
        <f aca="false">(AW37-AW36)/AW36</f>
        <v>0.0056483877955825</v>
      </c>
      <c r="AZ37" s="38" t="n">
        <f aca="false">workers_and_wage_central!B25</f>
        <v>5369.97887955747</v>
      </c>
      <c r="BA37" s="39" t="n">
        <f aca="false">(AZ37-AZ36)/AZ36</f>
        <v>-0.00628174365103198</v>
      </c>
      <c r="BB37" s="80" t="n">
        <v>47</v>
      </c>
      <c r="BC37" s="12" t="n">
        <f aca="false">$BC$33</f>
        <v>13.3006153702016</v>
      </c>
      <c r="BD37" s="12" t="n">
        <f aca="false">BD36*(2-((BL37)/(BL36*(1+AY37)*(1+BA37))))</f>
        <v>52.720726924499</v>
      </c>
      <c r="BE37" s="39" t="n">
        <f aca="false">BD37/BD36-1</f>
        <v>-0.0749533559939486</v>
      </c>
      <c r="BF37" s="7"/>
      <c r="BG37" s="73" t="n">
        <f aca="false">(BB37-BB33)/BB33</f>
        <v>0.0292512701083593</v>
      </c>
      <c r="BH37" s="0" t="n">
        <f aca="false">BH36+1</f>
        <v>6</v>
      </c>
      <c r="BI37" s="39" t="n">
        <f aca="false">T44/AG44</f>
        <v>0.0105643260844555</v>
      </c>
      <c r="BK37" s="79" t="n">
        <f aca="false">BK36*(1+AY37)*(1+BA37)*(1-BE37)</f>
        <v>129.295276044114</v>
      </c>
      <c r="BL37" s="0" t="n">
        <f aca="false">'Central macro hypothesis'!B19</f>
        <v>129.295276044114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97327888.9105976</v>
      </c>
      <c r="E38" s="6"/>
      <c r="F38" s="8" t="n">
        <f aca="false">'Central pensions'!I38</f>
        <v>17690495.9016222</v>
      </c>
      <c r="G38" s="6" t="n">
        <f aca="false">'Central pensions'!K38</f>
        <v>324472.764649526</v>
      </c>
      <c r="H38" s="6" t="n">
        <f aca="false">'Central pensions'!V38</f>
        <v>1785153.41615877</v>
      </c>
      <c r="I38" s="8" t="n">
        <f aca="false">'Central pensions'!M38</f>
        <v>10035.2401438</v>
      </c>
      <c r="J38" s="6" t="n">
        <f aca="false">'Central pensions'!W38</f>
        <v>55210.9303966644</v>
      </c>
      <c r="K38" s="6"/>
      <c r="L38" s="8" t="n">
        <f aca="false">'Central pensions'!N38</f>
        <v>3649165.11175392</v>
      </c>
      <c r="M38" s="8"/>
      <c r="N38" s="8" t="n">
        <f aca="false">'Central pensions'!L38</f>
        <v>747257.734718997</v>
      </c>
      <c r="O38" s="6"/>
      <c r="P38" s="6" t="n">
        <f aca="false">'Central pensions'!X38</f>
        <v>23046726.6920402</v>
      </c>
      <c r="Q38" s="8"/>
      <c r="R38" s="8" t="n">
        <f aca="false">'Central SIPA income'!G33</f>
        <v>12914459.5475926</v>
      </c>
      <c r="S38" s="8"/>
      <c r="T38" s="6" t="n">
        <f aca="false">'Central SIPA income'!J33</f>
        <v>49379555.3983838</v>
      </c>
      <c r="U38" s="6"/>
      <c r="V38" s="8" t="n">
        <f aca="false">'Central SIPA income'!F33</f>
        <v>100800.10507346</v>
      </c>
      <c r="W38" s="8"/>
      <c r="X38" s="8" t="n">
        <f aca="false">'Central SIPA income'!M33</f>
        <v>253180.802467838</v>
      </c>
      <c r="Y38" s="6"/>
      <c r="Z38" s="6" t="n">
        <f aca="false">R38+V38-N38-L38-F38</f>
        <v>-9071659.09542906</v>
      </c>
      <c r="AA38" s="6"/>
      <c r="AB38" s="6" t="n">
        <f aca="false">T38-P38-D38</f>
        <v>-70995060.204254</v>
      </c>
      <c r="AC38" s="50"/>
      <c r="AD38" s="6"/>
      <c r="AE38" s="6"/>
      <c r="AF38" s="6"/>
      <c r="AG38" s="6" t="n">
        <f aca="false">AG37*'Central macro hypothesis'!B20/'Central macro hypothesis'!B19</f>
        <v>4549709618.02388</v>
      </c>
      <c r="AH38" s="61" t="n">
        <f aca="false">(AG38-AG37)/AG37</f>
        <v>-0.00457199874963187</v>
      </c>
      <c r="AI38" s="61"/>
      <c r="AJ38" s="61" t="n">
        <f aca="false">AB38/AG38</f>
        <v>-0.015604305805145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0.0219859528261977</v>
      </c>
      <c r="AV38" s="5"/>
      <c r="AW38" s="65" t="n">
        <f aca="false">workers_and_wage_central!C26</f>
        <v>11782017</v>
      </c>
      <c r="AX38" s="5"/>
      <c r="AY38" s="61" t="n">
        <f aca="false">(AW38-AW37)/AW37</f>
        <v>0.00197767418032613</v>
      </c>
      <c r="AZ38" s="66" t="n">
        <f aca="false">workers_and_wage_central!B26</f>
        <v>5544.55019366428</v>
      </c>
      <c r="BA38" s="61" t="n">
        <f aca="false">(AZ38-AZ37)/AZ37</f>
        <v>0.032508752459227</v>
      </c>
      <c r="BB38" s="11" t="n">
        <f aca="false">BB37*3/4+BB41*1/4</f>
        <v>48</v>
      </c>
      <c r="BC38" s="11" t="n">
        <f aca="false">$BC$33</f>
        <v>13.3006153702016</v>
      </c>
      <c r="BD38" s="11" t="n">
        <f aca="false">BD37*(2-((BL38)/(BL37*(1+AY38)*(1+BA38))))</f>
        <v>54.7144214323403</v>
      </c>
      <c r="BE38" s="61" t="n">
        <f aca="false">BD38/BD37-1</f>
        <v>0.0378161422299135</v>
      </c>
      <c r="BF38" s="5"/>
      <c r="BG38" s="5"/>
      <c r="BH38" s="5" t="n">
        <f aca="false">BH37+1</f>
        <v>7</v>
      </c>
      <c r="BI38" s="61" t="n">
        <f aca="false">T45/AG45</f>
        <v>0.0126136684288057</v>
      </c>
      <c r="BJ38" s="5"/>
      <c r="BK38" s="11" t="n">
        <f aca="false">BK37*(1+AY38)*(1+BA38)*(1-BE38)</f>
        <v>128.704138203707</v>
      </c>
      <c r="BL38" s="5" t="n">
        <f aca="false">'Central macro hypothesis'!B20</f>
        <v>128.704138203707</v>
      </c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96910797.2617277</v>
      </c>
      <c r="E39" s="9"/>
      <c r="F39" s="67" t="n">
        <f aca="false">'Central pensions'!I39</f>
        <v>17614684.5572324</v>
      </c>
      <c r="G39" s="9" t="n">
        <f aca="false">'Central pensions'!K39</f>
        <v>333047.883172528</v>
      </c>
      <c r="H39" s="9" t="n">
        <f aca="false">'Central pensions'!V39</f>
        <v>1832331.18820333</v>
      </c>
      <c r="I39" s="67" t="n">
        <f aca="false">'Central pensions'!M39</f>
        <v>10300.449995027</v>
      </c>
      <c r="J39" s="9" t="n">
        <f aca="false">'Central pensions'!W39</f>
        <v>56670.0367485585</v>
      </c>
      <c r="K39" s="9"/>
      <c r="L39" s="67" t="n">
        <f aca="false">'Central pensions'!N39</f>
        <v>2971107.34131711</v>
      </c>
      <c r="M39" s="67"/>
      <c r="N39" s="67" t="n">
        <f aca="false">'Central pensions'!L39</f>
        <v>745868.693667769</v>
      </c>
      <c r="O39" s="9"/>
      <c r="P39" s="9" t="n">
        <f aca="false">'Central pensions'!X39</f>
        <v>19520639.6038621</v>
      </c>
      <c r="Q39" s="67"/>
      <c r="R39" s="67" t="n">
        <f aca="false">'Central SIPA income'!G34</f>
        <v>16101352.6640025</v>
      </c>
      <c r="S39" s="67"/>
      <c r="T39" s="9" t="n">
        <f aca="false">'Central SIPA income'!J34</f>
        <v>61564917.4424214</v>
      </c>
      <c r="U39" s="9"/>
      <c r="V39" s="67" t="n">
        <f aca="false">'Central SIPA income'!F34</f>
        <v>103192.760559373</v>
      </c>
      <c r="W39" s="67"/>
      <c r="X39" s="67" t="n">
        <f aca="false">'Central SIPA income'!M34</f>
        <v>259190.463226734</v>
      </c>
      <c r="Y39" s="9"/>
      <c r="Z39" s="9" t="n">
        <f aca="false">R39+V39-N39-L39-F39</f>
        <v>-5127115.16765534</v>
      </c>
      <c r="AA39" s="9"/>
      <c r="AB39" s="9" t="n">
        <f aca="false">T39-P39-D39</f>
        <v>-54866519.4231683</v>
      </c>
      <c r="AC39" s="50"/>
      <c r="AD39" s="9"/>
      <c r="AE39" s="9"/>
      <c r="AF39" s="9"/>
      <c r="AG39" s="9" t="n">
        <f aca="false">AG38*'Central macro hypothesis'!B21/'Central macro hypothesis'!B20</f>
        <v>5260625875.71462</v>
      </c>
      <c r="AH39" s="39" t="n">
        <f aca="false">(AG39-AG38)/AG38</f>
        <v>0.156255303607602</v>
      </c>
      <c r="AI39" s="39"/>
      <c r="AJ39" s="39" t="n">
        <f aca="false">AB39/AG39</f>
        <v>-0.0104296562271148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11816251</v>
      </c>
      <c r="AX39" s="7"/>
      <c r="AY39" s="39" t="n">
        <f aca="false">(AW39-AW38)/AW38</f>
        <v>0.00290561454800142</v>
      </c>
      <c r="AZ39" s="38" t="n">
        <f aca="false">workers_and_wage_central!B27</f>
        <v>5735.81915154257</v>
      </c>
      <c r="BA39" s="39" t="n">
        <f aca="false">(AZ39-AZ38)/AZ38</f>
        <v>0.0344967492758657</v>
      </c>
      <c r="BB39" s="12" t="n">
        <f aca="false">BB37*2/4+BB41*2/4</f>
        <v>49</v>
      </c>
      <c r="BC39" s="12" t="n">
        <f aca="false">$BC$33</f>
        <v>13.3006153702016</v>
      </c>
      <c r="BD39" s="12" t="n">
        <f aca="false">BD38*(2-((BL39)/(BL38*(1+AY39)*(1+BA39))))</f>
        <v>48.4518004148447</v>
      </c>
      <c r="BE39" s="39" t="n">
        <f aca="false">BD39/BD38-1</f>
        <v>-0.114460152434216</v>
      </c>
      <c r="BF39" s="7"/>
      <c r="BG39" s="7"/>
      <c r="BH39" s="7" t="n">
        <f aca="false">BH38+1</f>
        <v>8</v>
      </c>
      <c r="BI39" s="39" t="n">
        <f aca="false">T46/AG46</f>
        <v>0.010669571874052</v>
      </c>
      <c r="BJ39" s="7"/>
      <c r="BK39" s="12" t="n">
        <f aca="false">BK38*(1+AY39)*(1+BA39)*(1-BE39)</f>
        <v>148.814842394282</v>
      </c>
      <c r="BL39" s="7" t="n">
        <f aca="false">'Central macro hypothesis'!B21</f>
        <v>148.814842394282</v>
      </c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99303440.7546724</v>
      </c>
      <c r="E40" s="9"/>
      <c r="F40" s="67" t="n">
        <f aca="false">'Central pensions'!I40</f>
        <v>18049575.8343345</v>
      </c>
      <c r="G40" s="9" t="n">
        <f aca="false">'Central pensions'!K40</f>
        <v>358169.089192815</v>
      </c>
      <c r="H40" s="9" t="n">
        <f aca="false">'Central pensions'!V40</f>
        <v>1970540.65177289</v>
      </c>
      <c r="I40" s="67" t="n">
        <f aca="false">'Central pensions'!M40</f>
        <v>11077.394511118</v>
      </c>
      <c r="J40" s="9" t="n">
        <f aca="false">'Central pensions'!W40</f>
        <v>60944.5562403988</v>
      </c>
      <c r="K40" s="9"/>
      <c r="L40" s="67" t="n">
        <f aca="false">'Central pensions'!N40</f>
        <v>3019119.33187803</v>
      </c>
      <c r="M40" s="67"/>
      <c r="N40" s="67" t="n">
        <f aca="false">'Central pensions'!L40</f>
        <v>765719.157979481</v>
      </c>
      <c r="O40" s="9"/>
      <c r="P40" s="9" t="n">
        <f aca="false">'Central pensions'!X40</f>
        <v>19878985.4489313</v>
      </c>
      <c r="Q40" s="67"/>
      <c r="R40" s="67" t="n">
        <f aca="false">'Central SIPA income'!G35</f>
        <v>14286356.5996587</v>
      </c>
      <c r="S40" s="67"/>
      <c r="T40" s="9" t="n">
        <f aca="false">'Central SIPA income'!J35</f>
        <v>54625122.6816082</v>
      </c>
      <c r="U40" s="9"/>
      <c r="V40" s="67" t="n">
        <f aca="false">'Central SIPA income'!F35</f>
        <v>106380.655003906</v>
      </c>
      <c r="W40" s="67"/>
      <c r="X40" s="67" t="n">
        <f aca="false">'Central SIPA income'!M35</f>
        <v>267197.534975929</v>
      </c>
      <c r="Y40" s="9"/>
      <c r="Z40" s="9" t="n">
        <f aca="false">R40+V40-N40-L40-F40</f>
        <v>-7441677.06952943</v>
      </c>
      <c r="AA40" s="9"/>
      <c r="AB40" s="9" t="n">
        <f aca="false">T40-P40-D40</f>
        <v>-64557303.5219955</v>
      </c>
      <c r="AC40" s="50"/>
      <c r="AD40" s="9"/>
      <c r="AE40" s="9"/>
      <c r="AF40" s="9"/>
      <c r="AG40" s="9" t="n">
        <f aca="false">AG39*'Central macro hypothesis'!B22/'Central macro hypothesis'!B21</f>
        <v>4910610290.71305</v>
      </c>
      <c r="AH40" s="39" t="n">
        <f aca="false">(AG40-AG39)/AG39</f>
        <v>-0.0665349700341546</v>
      </c>
      <c r="AI40" s="39"/>
      <c r="AJ40" s="39" t="n">
        <f aca="false">AB40/AG40</f>
        <v>-0.0131464929408237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11851058</v>
      </c>
      <c r="AY40" s="39" t="n">
        <f aca="false">(AW40-AW39)/AW39</f>
        <v>0.00294568894990467</v>
      </c>
      <c r="AZ40" s="38" t="n">
        <f aca="false">workers_and_wage_central!B28</f>
        <v>5832.00605225659</v>
      </c>
      <c r="BA40" s="39" t="n">
        <f aca="false">(AZ40-AZ39)/AZ39</f>
        <v>0.0167695142006268</v>
      </c>
      <c r="BB40" s="12" t="n">
        <f aca="false">BB37*1/4+BB41*3/4</f>
        <v>50</v>
      </c>
      <c r="BC40" s="12" t="n">
        <f aca="false">$BC$33</f>
        <v>13.3006153702016</v>
      </c>
      <c r="BD40" s="12" t="n">
        <f aca="false">BD39*(2-((BL40)/(BL39*(1+AY40)*(1+BA40))))</f>
        <v>52.5521286515057</v>
      </c>
      <c r="BE40" s="39" t="n">
        <f aca="false">BD40/BD39-1</f>
        <v>0.0846269530038932</v>
      </c>
      <c r="BF40" s="7"/>
      <c r="BG40" s="7"/>
      <c r="BH40" s="0" t="n">
        <f aca="false">BH39+1</f>
        <v>9</v>
      </c>
      <c r="BI40" s="39" t="n">
        <f aca="false">T47/AG47</f>
        <v>0.0111724869167615</v>
      </c>
      <c r="BK40" s="79" t="n">
        <f aca="false">BK39*(1+AY40)*(1+BA40)*(1-BE40)</f>
        <v>138.913451314941</v>
      </c>
      <c r="BL40" s="0" t="n">
        <f aca="false">'Central macro hypothesis'!B22</f>
        <v>138.913451314941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101260178.195231</v>
      </c>
      <c r="E41" s="9"/>
      <c r="F41" s="67" t="n">
        <f aca="false">'Central pensions'!I41</f>
        <v>18405236.0264974</v>
      </c>
      <c r="G41" s="9" t="n">
        <f aca="false">'Central pensions'!K41</f>
        <v>398649.183905453</v>
      </c>
      <c r="H41" s="9" t="n">
        <f aca="false">'Central pensions'!V41</f>
        <v>2193250.18932298</v>
      </c>
      <c r="I41" s="67" t="n">
        <f aca="false">'Central pensions'!M41</f>
        <v>12329.356203261</v>
      </c>
      <c r="J41" s="9" t="n">
        <f aca="false">'Central pensions'!W41</f>
        <v>67832.4800821518</v>
      </c>
      <c r="K41" s="9"/>
      <c r="L41" s="67" t="n">
        <f aca="false">'Central pensions'!N41</f>
        <v>3044084.07201444</v>
      </c>
      <c r="M41" s="67"/>
      <c r="N41" s="67" t="n">
        <f aca="false">'Central pensions'!L41</f>
        <v>783009.11315294</v>
      </c>
      <c r="O41" s="9"/>
      <c r="P41" s="9" t="n">
        <f aca="false">'Central pensions'!X41</f>
        <v>20103651.8361793</v>
      </c>
      <c r="Q41" s="67"/>
      <c r="R41" s="67" t="n">
        <f aca="false">'Central SIPA income'!G36</f>
        <v>17269267.0302879</v>
      </c>
      <c r="S41" s="67"/>
      <c r="T41" s="9" t="n">
        <f aca="false">'Central SIPA income'!J36</f>
        <v>66030539.2470371</v>
      </c>
      <c r="U41" s="9"/>
      <c r="V41" s="67" t="n">
        <f aca="false">'Central SIPA income'!F36</f>
        <v>108047.478255851</v>
      </c>
      <c r="W41" s="67"/>
      <c r="X41" s="67" t="n">
        <f aca="false">'Central SIPA income'!M36</f>
        <v>271384.114426337</v>
      </c>
      <c r="Y41" s="9"/>
      <c r="Z41" s="9" t="n">
        <f aca="false">R41+V41-N41-L41-F41</f>
        <v>-4855014.70312107</v>
      </c>
      <c r="AA41" s="9"/>
      <c r="AB41" s="9" t="n">
        <f aca="false">T41-P41-D41</f>
        <v>-55333290.7843737</v>
      </c>
      <c r="AC41" s="50"/>
      <c r="AD41" s="9"/>
      <c r="AE41" s="9"/>
      <c r="AF41" s="9"/>
      <c r="AG41" s="9" t="n">
        <f aca="false">AG40*'Central macro hypothesis'!B23/'Central macro hypothesis'!B22</f>
        <v>4924337786.28798</v>
      </c>
      <c r="AH41" s="39" t="n">
        <f aca="false">(AG41-AG40)/AG40</f>
        <v>0.00279547648097508</v>
      </c>
      <c r="AI41" s="39" t="n">
        <f aca="false">(AG41-AG37)/AG37</f>
        <v>0.0773926539547735</v>
      </c>
      <c r="AJ41" s="39" t="n">
        <f aca="false">AB41/AG41</f>
        <v>-0.0112366968282419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11857717</v>
      </c>
      <c r="AY41" s="39" t="n">
        <f aca="false">(AW41-AW40)/AW40</f>
        <v>0.000561890761145545</v>
      </c>
      <c r="AZ41" s="38" t="n">
        <f aca="false">workers_and_wage_central!B29</f>
        <v>5941.10987511572</v>
      </c>
      <c r="BA41" s="39" t="n">
        <f aca="false">(AZ41-AZ40)/AZ40</f>
        <v>0.0187077691417885</v>
      </c>
      <c r="BB41" s="80" t="n">
        <v>51</v>
      </c>
      <c r="BC41" s="12" t="n">
        <f aca="false">$BC$33</f>
        <v>13.3006153702016</v>
      </c>
      <c r="BD41" s="12" t="n">
        <f aca="false">BD40*(2-((BL41)/(BL40*(1+AY41)*(1+BA41))))</f>
        <v>53.4020478828769</v>
      </c>
      <c r="BE41" s="39" t="n">
        <f aca="false">BD41/BD40-1</f>
        <v>0.0161728792568496</v>
      </c>
      <c r="BF41" s="7"/>
      <c r="BG41" s="73" t="n">
        <f aca="false">(BB41-BB37)/BB37</f>
        <v>0.0851063829787234</v>
      </c>
      <c r="BH41" s="0" t="n">
        <f aca="false">BH40+1</f>
        <v>10</v>
      </c>
      <c r="BI41" s="39" t="n">
        <f aca="false">T48/AG48</f>
        <v>0.0105463740855022</v>
      </c>
      <c r="BK41" s="79" t="n">
        <f aca="false">BK40*(1+AY41)*(1+BA41)*(1-BE41)</f>
        <v>139.301780600983</v>
      </c>
      <c r="BL41" s="0" t="n">
        <f aca="false">'Central macro hypothesis'!B23</f>
        <v>139.301780600983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102823192.956545</v>
      </c>
      <c r="E42" s="6"/>
      <c r="F42" s="8" t="n">
        <f aca="false">'Central pensions'!I42</f>
        <v>18689332.4611235</v>
      </c>
      <c r="G42" s="6" t="n">
        <f aca="false">'Central pensions'!K42</f>
        <v>409771.665951467</v>
      </c>
      <c r="H42" s="6" t="n">
        <f aca="false">'Central pensions'!V42</f>
        <v>2254442.80387741</v>
      </c>
      <c r="I42" s="8" t="n">
        <f aca="false">'Central pensions'!M42</f>
        <v>12673.350493345</v>
      </c>
      <c r="J42" s="6" t="n">
        <f aca="false">'Central pensions'!W42</f>
        <v>69725.0351714698</v>
      </c>
      <c r="K42" s="6"/>
      <c r="L42" s="8" t="n">
        <f aca="false">'Central pensions'!N42</f>
        <v>3743497.99745317</v>
      </c>
      <c r="M42" s="8"/>
      <c r="N42" s="8" t="n">
        <f aca="false">'Central pensions'!L42</f>
        <v>796958.923944552</v>
      </c>
      <c r="O42" s="6"/>
      <c r="P42" s="6" t="n">
        <f aca="false">'Central pensions'!X42</f>
        <v>23809661.7632707</v>
      </c>
      <c r="Q42" s="8"/>
      <c r="R42" s="8" t="n">
        <f aca="false">'Central SIPA income'!G37</f>
        <v>13593842.1751117</v>
      </c>
      <c r="S42" s="8"/>
      <c r="T42" s="6" t="n">
        <f aca="false">'Central SIPA income'!J37</f>
        <v>51977233.7579504</v>
      </c>
      <c r="U42" s="6"/>
      <c r="V42" s="8" t="n">
        <f aca="false">'Central SIPA income'!F37</f>
        <v>110377.614140721</v>
      </c>
      <c r="W42" s="8"/>
      <c r="X42" s="8" t="n">
        <f aca="false">'Central SIPA income'!M37</f>
        <v>277236.743972313</v>
      </c>
      <c r="Y42" s="6"/>
      <c r="Z42" s="6" t="n">
        <f aca="false">R42+V42-N42-L42-F42</f>
        <v>-9525569.59326884</v>
      </c>
      <c r="AA42" s="6"/>
      <c r="AB42" s="6" t="n">
        <f aca="false">T42-P42-D42</f>
        <v>-74655620.9618648</v>
      </c>
      <c r="AC42" s="50"/>
      <c r="AD42" s="6"/>
      <c r="AE42" s="6"/>
      <c r="AF42" s="6"/>
      <c r="AG42" s="6" t="n">
        <f aca="false">AG41*'Central macro hypothesis'!B24/'Central macro hypothesis'!B23</f>
        <v>4810204931.47405</v>
      </c>
      <c r="AH42" s="61" t="n">
        <f aca="false">(AG42-AG41)/AG41</f>
        <v>-0.0231773001299253</v>
      </c>
      <c r="AI42" s="61"/>
      <c r="AJ42" s="61" t="n">
        <f aca="false">AB42/AG42</f>
        <v>-0.0155202578737092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0.0144435160229878</v>
      </c>
      <c r="AV42" s="5"/>
      <c r="AW42" s="65" t="n">
        <f aca="false">workers_and_wage_central!C30</f>
        <v>11937097</v>
      </c>
      <c r="AX42" s="5"/>
      <c r="AY42" s="61" t="n">
        <f aca="false">(AW42-AW41)/AW41</f>
        <v>0.00669437464226883</v>
      </c>
      <c r="AZ42" s="66" t="n">
        <f aca="false">workers_and_wage_central!B30</f>
        <v>6006.73780641689</v>
      </c>
      <c r="BA42" s="61" t="n">
        <f aca="false">(AZ42-AZ41)/AZ41</f>
        <v>0.01104640928727</v>
      </c>
      <c r="BB42" s="11" t="n">
        <f aca="false">BB41*3/4+BB45*1/4</f>
        <v>51.125</v>
      </c>
      <c r="BC42" s="11" t="n">
        <f aca="false">$BC$33</f>
        <v>13.3006153702016</v>
      </c>
      <c r="BD42" s="11" t="n">
        <f aca="false">BD41*(2-((BL42)/(BL41*(1+AY42)*(1+BA42))))</f>
        <v>55.5527914625271</v>
      </c>
      <c r="BE42" s="61" t="n">
        <f aca="false">BD42/BD41-1</f>
        <v>0.0402745524734787</v>
      </c>
      <c r="BF42" s="5"/>
      <c r="BG42" s="5"/>
      <c r="BH42" s="5" t="n">
        <f aca="false">BH41+1</f>
        <v>11</v>
      </c>
      <c r="BI42" s="61" t="n">
        <f aca="false">T49/AG49</f>
        <v>0.0126966606047132</v>
      </c>
      <c r="BJ42" s="5"/>
      <c r="BK42" s="11" t="n">
        <f aca="false">BK41*(1+AY42)*(1+BA42)*(1-BE42)</f>
        <v>136.073141423361</v>
      </c>
      <c r="BL42" s="5" t="n">
        <f aca="false">'Central macro hypothesis'!B24</f>
        <v>136.073141423361</v>
      </c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103866022.906411</v>
      </c>
      <c r="E43" s="9"/>
      <c r="F43" s="67" t="n">
        <f aca="false">'Central pensions'!I43</f>
        <v>18878879.1487245</v>
      </c>
      <c r="G43" s="9" t="n">
        <f aca="false">'Central pensions'!K43</f>
        <v>445353.101282434</v>
      </c>
      <c r="H43" s="9" t="n">
        <f aca="false">'Central pensions'!V43</f>
        <v>2450201.36284773</v>
      </c>
      <c r="I43" s="67" t="n">
        <f aca="false">'Central pensions'!M43</f>
        <v>13773.807256158</v>
      </c>
      <c r="J43" s="9" t="n">
        <f aca="false">'Central pensions'!W43</f>
        <v>75779.42359323</v>
      </c>
      <c r="K43" s="9"/>
      <c r="L43" s="67" t="n">
        <f aca="false">'Central pensions'!N43</f>
        <v>3135121.42698075</v>
      </c>
      <c r="M43" s="67"/>
      <c r="N43" s="67" t="n">
        <f aca="false">'Central pensions'!L43</f>
        <v>807255.752900843</v>
      </c>
      <c r="O43" s="9"/>
      <c r="P43" s="9" t="n">
        <f aca="false">'Central pensions'!X43</f>
        <v>20709442.9618506</v>
      </c>
      <c r="Q43" s="67"/>
      <c r="R43" s="67" t="n">
        <f aca="false">'Central SIPA income'!G38</f>
        <v>16341434.6202752</v>
      </c>
      <c r="S43" s="67"/>
      <c r="T43" s="9" t="n">
        <f aca="false">'Central SIPA income'!J38</f>
        <v>62482891.6105414</v>
      </c>
      <c r="U43" s="9"/>
      <c r="V43" s="67" t="n">
        <f aca="false">'Central SIPA income'!F38</f>
        <v>113235.753855519</v>
      </c>
      <c r="W43" s="67"/>
      <c r="X43" s="67" t="n">
        <f aca="false">'Central SIPA income'!M38</f>
        <v>284415.566911341</v>
      </c>
      <c r="Y43" s="9"/>
      <c r="Z43" s="9" t="n">
        <f aca="false">R43+V43-N43-L43-F43</f>
        <v>-6366585.9544753</v>
      </c>
      <c r="AA43" s="9"/>
      <c r="AB43" s="9" t="n">
        <f aca="false">T43-P43-D43</f>
        <v>-62092574.2577198</v>
      </c>
      <c r="AC43" s="50"/>
      <c r="AD43" s="9"/>
      <c r="AE43" s="9"/>
      <c r="AF43" s="9"/>
      <c r="AG43" s="9" t="n">
        <f aca="false">AG42*'Central macro hypothesis'!B25/'Central macro hypothesis'!B24</f>
        <v>5551103673.21321</v>
      </c>
      <c r="AH43" s="39" t="n">
        <f aca="false">(AG43-AG42)/AG42</f>
        <v>0.154026440098492</v>
      </c>
      <c r="AI43" s="39"/>
      <c r="AJ43" s="39" t="n">
        <f aca="false">AB43/AG43</f>
        <v>-0.0111856268434234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11986468</v>
      </c>
      <c r="AX43" s="7"/>
      <c r="AY43" s="39" t="n">
        <f aca="false">(AW43-AW42)/AW42</f>
        <v>0.00413593020145518</v>
      </c>
      <c r="AZ43" s="38" t="n">
        <f aca="false">workers_and_wage_central!B31</f>
        <v>6046.34740356739</v>
      </c>
      <c r="BA43" s="39" t="n">
        <f aca="false">(AZ43-AZ42)/AZ42</f>
        <v>0.00659419445746174</v>
      </c>
      <c r="BB43" s="12" t="n">
        <f aca="false">BB41*2/4+BB45*2/4</f>
        <v>51.25</v>
      </c>
      <c r="BC43" s="12" t="n">
        <f aca="false">$BC$33</f>
        <v>13.3006153702016</v>
      </c>
      <c r="BD43" s="12" t="n">
        <f aca="false">BD42*(2-((BL43)/(BL42*(1+AY43)*(1+BA43))))</f>
        <v>47.67850308433</v>
      </c>
      <c r="BE43" s="39" t="n">
        <f aca="false">BD43/BD42-1</f>
        <v>-0.141744243104483</v>
      </c>
      <c r="BF43" s="7"/>
      <c r="BG43" s="7"/>
      <c r="BH43" s="7" t="n">
        <f aca="false">BH42+1</f>
        <v>12</v>
      </c>
      <c r="BI43" s="39" t="n">
        <f aca="false">T50/AG50</f>
        <v>0.0108362302462017</v>
      </c>
      <c r="BJ43" s="7"/>
      <c r="BK43" s="12" t="n">
        <f aca="false">BK42*(1+AY43)*(1+BA43)*(1-BE43)</f>
        <v>157.03200298982</v>
      </c>
      <c r="BL43" s="7" t="n">
        <f aca="false">'Central macro hypothesis'!B25</f>
        <v>157.03200298982</v>
      </c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104581291.294279</v>
      </c>
      <c r="E44" s="9"/>
      <c r="F44" s="67" t="n">
        <f aca="false">'Central pensions'!I44</f>
        <v>19008887.6450124</v>
      </c>
      <c r="G44" s="9" t="n">
        <f aca="false">'Central pensions'!K44</f>
        <v>476710.848484539</v>
      </c>
      <c r="H44" s="9" t="n">
        <f aca="false">'Central pensions'!V44</f>
        <v>2622722.43592252</v>
      </c>
      <c r="I44" s="67" t="n">
        <f aca="false">'Central pensions'!M44</f>
        <v>14743.634489213</v>
      </c>
      <c r="J44" s="9" t="n">
        <f aca="false">'Central pensions'!W44</f>
        <v>81115.1268842042</v>
      </c>
      <c r="K44" s="9"/>
      <c r="L44" s="67" t="n">
        <f aca="false">'Central pensions'!N44</f>
        <v>3083457.42293143</v>
      </c>
      <c r="M44" s="67"/>
      <c r="N44" s="67" t="n">
        <f aca="false">'Central pensions'!L44</f>
        <v>814272.042860691</v>
      </c>
      <c r="O44" s="9"/>
      <c r="P44" s="9" t="n">
        <f aca="false">'Central pensions'!X44</f>
        <v>20479959.7564572</v>
      </c>
      <c r="Q44" s="67"/>
      <c r="R44" s="67" t="n">
        <f aca="false">'Central SIPA income'!G39</f>
        <v>14214629.248628</v>
      </c>
      <c r="S44" s="67"/>
      <c r="T44" s="9" t="n">
        <f aca="false">'Central SIPA income'!J39</f>
        <v>54350866.9382109</v>
      </c>
      <c r="U44" s="9"/>
      <c r="V44" s="67" t="n">
        <f aca="false">'Central SIPA income'!F39</f>
        <v>115914.477540039</v>
      </c>
      <c r="W44" s="67"/>
      <c r="X44" s="67" t="n">
        <f aca="false">'Central SIPA income'!M39</f>
        <v>291143.748509387</v>
      </c>
      <c r="Y44" s="9"/>
      <c r="Z44" s="9" t="n">
        <f aca="false">R44+V44-N44-L44-F44</f>
        <v>-8576073.38463647</v>
      </c>
      <c r="AA44" s="9"/>
      <c r="AB44" s="9" t="n">
        <f aca="false">T44-P44-D44</f>
        <v>-70710384.1125251</v>
      </c>
      <c r="AC44" s="50"/>
      <c r="AD44" s="9"/>
      <c r="AE44" s="9"/>
      <c r="AF44" s="9"/>
      <c r="AG44" s="9" t="n">
        <f aca="false">AG43*'Central macro hypothesis'!B26/'Central macro hypothesis'!B25</f>
        <v>5144754762.74662</v>
      </c>
      <c r="AH44" s="39" t="n">
        <f aca="false">(AG44-AG43)/AG43</f>
        <v>-0.0732014630581334</v>
      </c>
      <c r="AI44" s="39"/>
      <c r="AJ44" s="39" t="n">
        <f aca="false">AB44/AG44</f>
        <v>-0.0137441700087518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12002121</v>
      </c>
      <c r="AY44" s="39" t="n">
        <f aca="false">(AW44-AW43)/AW43</f>
        <v>0.00130588927447185</v>
      </c>
      <c r="AZ44" s="38" t="n">
        <f aca="false">workers_and_wage_central!B32</f>
        <v>6074.02499771067</v>
      </c>
      <c r="BA44" s="39" t="n">
        <f aca="false">(AZ44-AZ43)/AZ43</f>
        <v>0.00457757258984983</v>
      </c>
      <c r="BB44" s="12" t="n">
        <f aca="false">BB41*1/4+BB45*3/4</f>
        <v>51.375</v>
      </c>
      <c r="BC44" s="12" t="n">
        <f aca="false">$BC$33</f>
        <v>13.3006153702016</v>
      </c>
      <c r="BD44" s="12" t="n">
        <f aca="false">BD43*(2-((BL44)/(BL43*(1+AY44)*(1+BA44))))</f>
        <v>51.4273602656749</v>
      </c>
      <c r="BE44" s="39" t="n">
        <f aca="false">BD44/BD43-1</f>
        <v>0.0786278288710984</v>
      </c>
      <c r="BF44" s="7"/>
      <c r="BG44" s="7"/>
      <c r="BH44" s="0" t="n">
        <f aca="false">BH43+1</f>
        <v>13</v>
      </c>
      <c r="BI44" s="39" t="n">
        <f aca="false">T51/AG51</f>
        <v>0.0113987068262715</v>
      </c>
      <c r="BK44" s="79" t="n">
        <f aca="false">BK43*(1+AY44)*(1+BA44)*(1-BE44)</f>
        <v>145.537030624016</v>
      </c>
      <c r="BL44" s="0" t="n">
        <f aca="false">'Central macro hypothesis'!B26</f>
        <v>145.537030624016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105665598.407088</v>
      </c>
      <c r="E45" s="9"/>
      <c r="F45" s="67" t="n">
        <f aca="false">'Central pensions'!I45</f>
        <v>19205973.2979527</v>
      </c>
      <c r="G45" s="9" t="n">
        <f aca="false">'Central pensions'!K45</f>
        <v>490046.370331785</v>
      </c>
      <c r="H45" s="9" t="n">
        <f aca="false">'Central pensions'!V45</f>
        <v>2696090.54251102</v>
      </c>
      <c r="I45" s="67" t="n">
        <f aca="false">'Central pensions'!M45</f>
        <v>15156.07330923</v>
      </c>
      <c r="J45" s="9" t="n">
        <f aca="false">'Central pensions'!W45</f>
        <v>83384.2435828124</v>
      </c>
      <c r="K45" s="9"/>
      <c r="L45" s="67" t="n">
        <f aca="false">'Central pensions'!N45</f>
        <v>3064427.69913962</v>
      </c>
      <c r="M45" s="67"/>
      <c r="N45" s="67" t="n">
        <f aca="false">'Central pensions'!L45</f>
        <v>824817.952319972</v>
      </c>
      <c r="O45" s="9"/>
      <c r="P45" s="9" t="n">
        <f aca="false">'Central pensions'!X45</f>
        <v>20439234.9115366</v>
      </c>
      <c r="Q45" s="67"/>
      <c r="R45" s="67" t="n">
        <f aca="false">'Central SIPA income'!G40</f>
        <v>16974228.1518275</v>
      </c>
      <c r="S45" s="73" t="n">
        <f aca="false">SUM(T42:T45)/AVERAGE(AG42:AG45)</f>
        <v>0.0452681466987859</v>
      </c>
      <c r="T45" s="9" t="n">
        <f aca="false">'Central SIPA income'!J40</f>
        <v>64902432.5237227</v>
      </c>
      <c r="U45" s="9"/>
      <c r="V45" s="67" t="n">
        <f aca="false">'Central SIPA income'!F40</f>
        <v>117899.939118944</v>
      </c>
      <c r="W45" s="67"/>
      <c r="X45" s="67" t="n">
        <f aca="false">'Central SIPA income'!M40</f>
        <v>296130.65557114</v>
      </c>
      <c r="Y45" s="9"/>
      <c r="Z45" s="9" t="n">
        <f aca="false">R45+V45-N45-L45-F45</f>
        <v>-6003090.85846582</v>
      </c>
      <c r="AA45" s="9"/>
      <c r="AB45" s="9" t="n">
        <f aca="false">T45-P45-D45</f>
        <v>-61202400.7949019</v>
      </c>
      <c r="AC45" s="50"/>
      <c r="AD45" s="9"/>
      <c r="AE45" s="9"/>
      <c r="AF45" s="9"/>
      <c r="AG45" s="9" t="n">
        <f aca="false">AG44*'Central macro hypothesis'!B27/'Central macro hypothesis'!B26</f>
        <v>5145404993.80068</v>
      </c>
      <c r="AH45" s="39" t="n">
        <f aca="false">(AG45-AG44)/AG44</f>
        <v>0.000126387181517424</v>
      </c>
      <c r="AI45" s="39" t="n">
        <f aca="false">(AG45-AG41)/AG41</f>
        <v>0.0448927789089285</v>
      </c>
      <c r="AJ45" s="39" t="n">
        <f aca="false">AB45/AG45</f>
        <v>-0.011894574065334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12031948</v>
      </c>
      <c r="AY45" s="39" t="n">
        <f aca="false">(AW45-AW44)/AW44</f>
        <v>0.00248514408411647</v>
      </c>
      <c r="AZ45" s="38" t="n">
        <f aca="false">workers_and_wage_central!B33</f>
        <v>6118.42308515289</v>
      </c>
      <c r="BA45" s="39" t="n">
        <f aca="false">(AZ45-AZ44)/AZ44</f>
        <v>0.00730950028341245</v>
      </c>
      <c r="BB45" s="80" t="n">
        <v>51.5</v>
      </c>
      <c r="BC45" s="12" t="n">
        <f aca="false">$BC$33</f>
        <v>13.3006153702016</v>
      </c>
      <c r="BD45" s="12" t="n">
        <f aca="false">BD44*(2-((BL45)/(BL44*(1+AY45)*(1+BA45))))</f>
        <v>51.9206666755802</v>
      </c>
      <c r="BE45" s="39" t="n">
        <f aca="false">BD45/BD44-1</f>
        <v>0.00959229498377789</v>
      </c>
      <c r="BF45" s="7"/>
      <c r="BG45" s="73" t="n">
        <f aca="false">(BB45-BB41)/BB41</f>
        <v>0.00980392156862745</v>
      </c>
      <c r="BH45" s="0" t="n">
        <f aca="false">BH44+1</f>
        <v>14</v>
      </c>
      <c r="BI45" s="39" t="n">
        <f aca="false">T52/AG52</f>
        <v>0.0107272459398956</v>
      </c>
      <c r="BK45" s="79" t="n">
        <f aca="false">BK44*(1+AY45)*(1+BA45)*(1-BE45)</f>
        <v>145.555424639123</v>
      </c>
      <c r="BL45" s="0" t="n">
        <f aca="false">'Central macro hypothesis'!B27</f>
        <v>145.555424639123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106352158.544129</v>
      </c>
      <c r="E46" s="6"/>
      <c r="F46" s="8" t="n">
        <f aca="false">'Central pensions'!I46</f>
        <v>19330763.7298267</v>
      </c>
      <c r="G46" s="6" t="n">
        <f aca="false">'Central pensions'!K46</f>
        <v>502369.094712278</v>
      </c>
      <c r="H46" s="6" t="n">
        <f aca="false">'Central pensions'!V46</f>
        <v>2763886.53626101</v>
      </c>
      <c r="I46" s="8" t="n">
        <f aca="false">'Central pensions'!M46</f>
        <v>15537.188496256</v>
      </c>
      <c r="J46" s="6" t="n">
        <f aca="false">'Central pensions'!W46</f>
        <v>85481.0268946703</v>
      </c>
      <c r="K46" s="6"/>
      <c r="L46" s="8" t="n">
        <f aca="false">'Central pensions'!N46</f>
        <v>3714207.19963554</v>
      </c>
      <c r="M46" s="8"/>
      <c r="N46" s="8" t="n">
        <f aca="false">'Central pensions'!L46</f>
        <v>831573.097937346</v>
      </c>
      <c r="O46" s="6"/>
      <c r="P46" s="6" t="n">
        <f aca="false">'Central pensions'!X46</f>
        <v>23848108.6466283</v>
      </c>
      <c r="Q46" s="8"/>
      <c r="R46" s="8" t="n">
        <f aca="false">'Central SIPA income'!G41</f>
        <v>14019910.2820164</v>
      </c>
      <c r="S46" s="8"/>
      <c r="T46" s="6" t="n">
        <f aca="false">'Central SIPA income'!J41</f>
        <v>53606342.0927477</v>
      </c>
      <c r="U46" s="6"/>
      <c r="V46" s="8" t="n">
        <f aca="false">'Central SIPA income'!F41</f>
        <v>116481.732950872</v>
      </c>
      <c r="W46" s="8"/>
      <c r="X46" s="8" t="n">
        <f aca="false">'Central SIPA income'!M41</f>
        <v>292568.530557127</v>
      </c>
      <c r="Y46" s="6"/>
      <c r="Z46" s="6" t="n">
        <f aca="false">R46+V46-N46-L46-F46</f>
        <v>-9740152.01243235</v>
      </c>
      <c r="AA46" s="6"/>
      <c r="AB46" s="6" t="n">
        <f aca="false">T46-P46-D46</f>
        <v>-76593925.0980096</v>
      </c>
      <c r="AC46" s="50"/>
      <c r="AD46" s="6"/>
      <c r="AE46" s="6"/>
      <c r="AF46" s="6"/>
      <c r="AG46" s="6" t="n">
        <f aca="false">AG45*'Central macro hypothesis'!B28/'Central macro hypothesis'!B27</f>
        <v>5024226156.91977</v>
      </c>
      <c r="AH46" s="61" t="n">
        <f aca="false">(AG46-AG45)/AG45</f>
        <v>-0.0235508841436034</v>
      </c>
      <c r="AI46" s="61"/>
      <c r="AJ46" s="61" t="n">
        <f aca="false">AB46/AG46</f>
        <v>-0.0152449198554723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0.0121859137029986</v>
      </c>
      <c r="AV46" s="5"/>
      <c r="AW46" s="65" t="n">
        <f aca="false">workers_and_wage_central!C34</f>
        <v>12105538</v>
      </c>
      <c r="AX46" s="5"/>
      <c r="AY46" s="61" t="n">
        <f aca="false">(AW46-AW45)/AW45</f>
        <v>0.00611621659269139</v>
      </c>
      <c r="AZ46" s="66" t="n">
        <f aca="false">workers_and_wage_central!B34</f>
        <v>6150.65695407745</v>
      </c>
      <c r="BA46" s="61" t="n">
        <f aca="false">(AZ46-AZ45)/AZ45</f>
        <v>0.00526832951496592</v>
      </c>
      <c r="BB46" s="11" t="n">
        <f aca="false">BB45*3/4+BB49*1/4</f>
        <v>51.625</v>
      </c>
      <c r="BC46" s="11" t="n">
        <f aca="false">$BC$33</f>
        <v>13.3006153702016</v>
      </c>
      <c r="BD46" s="11" t="n">
        <f aca="false">BD45*(2-((BL46)/(BL45*(1+AY46)*(1+BA46))))</f>
        <v>53.7157168334025</v>
      </c>
      <c r="BE46" s="61" t="n">
        <f aca="false">BD46/BD45-1</f>
        <v>0.0345729412343345</v>
      </c>
      <c r="BF46" s="5"/>
      <c r="BG46" s="5"/>
      <c r="BH46" s="5" t="n">
        <f aca="false">BH45+1</f>
        <v>15</v>
      </c>
      <c r="BI46" s="61" t="n">
        <f aca="false">T53/AG53</f>
        <v>0.0128455593150413</v>
      </c>
      <c r="BJ46" s="5"/>
      <c r="BK46" s="11" t="n">
        <f aca="false">BK45*(1+AY46)*(1+BA46)*(1-BE46)</f>
        <v>142.127465696974</v>
      </c>
      <c r="BL46" s="5" t="n">
        <f aca="false">'Central macro hypothesis'!B28</f>
        <v>142.127465696974</v>
      </c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107060570.365357</v>
      </c>
      <c r="E47" s="9"/>
      <c r="F47" s="67" t="n">
        <f aca="false">'Central pensions'!I47</f>
        <v>19459525.963965</v>
      </c>
      <c r="G47" s="9" t="n">
        <f aca="false">'Central pensions'!K47</f>
        <v>506968.279106976</v>
      </c>
      <c r="H47" s="9" t="n">
        <f aca="false">'Central pensions'!V47</f>
        <v>2789189.89182186</v>
      </c>
      <c r="I47" s="67" t="n">
        <f aca="false">'Central pensions'!M47</f>
        <v>15679.431312587</v>
      </c>
      <c r="J47" s="9" t="n">
        <f aca="false">'Central pensions'!W47</f>
        <v>86263.6049017076</v>
      </c>
      <c r="K47" s="9"/>
      <c r="L47" s="67" t="n">
        <f aca="false">'Central pensions'!N47</f>
        <v>3097882.10150735</v>
      </c>
      <c r="M47" s="67"/>
      <c r="N47" s="67" t="n">
        <f aca="false">'Central pensions'!L47</f>
        <v>838418.961056214</v>
      </c>
      <c r="O47" s="9"/>
      <c r="P47" s="9" t="n">
        <f aca="false">'Central pensions'!X47</f>
        <v>20687658.7015788</v>
      </c>
      <c r="Q47" s="67"/>
      <c r="R47" s="67" t="n">
        <f aca="false">'Central SIPA income'!G42</f>
        <v>16881000.7245022</v>
      </c>
      <c r="S47" s="67"/>
      <c r="T47" s="9" t="n">
        <f aca="false">'Central SIPA income'!J42</f>
        <v>64545969.3751646</v>
      </c>
      <c r="U47" s="9"/>
      <c r="V47" s="67" t="n">
        <f aca="false">'Central SIPA income'!F42</f>
        <v>117578.418377757</v>
      </c>
      <c r="W47" s="67"/>
      <c r="X47" s="67" t="n">
        <f aca="false">'Central SIPA income'!M42</f>
        <v>295323.08816628</v>
      </c>
      <c r="Y47" s="9"/>
      <c r="Z47" s="9" t="n">
        <f aca="false">R47+V47-N47-L47-F47</f>
        <v>-6397247.88364866</v>
      </c>
      <c r="AA47" s="9"/>
      <c r="AB47" s="9" t="n">
        <f aca="false">T47-P47-D47</f>
        <v>-63202259.691771</v>
      </c>
      <c r="AC47" s="50"/>
      <c r="AD47" s="9"/>
      <c r="AE47" s="9"/>
      <c r="AF47" s="9"/>
      <c r="AG47" s="9" t="n">
        <f aca="false">AG46*'Central macro hypothesis'!B29/'Central macro hypothesis'!B28</f>
        <v>5777224878.94163</v>
      </c>
      <c r="AH47" s="39" t="n">
        <f aca="false">(AG47-AG46)/AG46</f>
        <v>0.149873572268393</v>
      </c>
      <c r="AI47" s="39"/>
      <c r="AJ47" s="39" t="n">
        <f aca="false">AB47/AG47</f>
        <v>-0.0109398995220261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12133250</v>
      </c>
      <c r="AX47" s="7"/>
      <c r="AY47" s="39" t="n">
        <f aca="false">(AW47-AW46)/AW46</f>
        <v>0.00228920019911548</v>
      </c>
      <c r="AZ47" s="38" t="n">
        <f aca="false">workers_and_wage_central!B35</f>
        <v>6193.86534000137</v>
      </c>
      <c r="BA47" s="39" t="n">
        <f aca="false">(AZ47-AZ46)/AZ46</f>
        <v>0.00702500338525237</v>
      </c>
      <c r="BB47" s="12" t="n">
        <f aca="false">BB45*2/4+BB49*2/4</f>
        <v>51.75</v>
      </c>
      <c r="BC47" s="12" t="n">
        <f aca="false">$BC$33</f>
        <v>13.3006153702016</v>
      </c>
      <c r="BD47" s="12" t="n">
        <f aca="false">BD46*(2-((BL47)/(BL46*(1+AY47)*(1+BA47))))</f>
        <v>46.2361201936699</v>
      </c>
      <c r="BE47" s="39" t="n">
        <f aca="false">BD47/BD46-1</f>
        <v>-0.139244099877329</v>
      </c>
      <c r="BF47" s="7"/>
      <c r="BG47" s="7"/>
      <c r="BH47" s="7" t="n">
        <f aca="false">BH46+1</f>
        <v>16</v>
      </c>
      <c r="BI47" s="39" t="n">
        <f aca="false">T54/AG54</f>
        <v>0.0107326639798386</v>
      </c>
      <c r="BJ47" s="7"/>
      <c r="BK47" s="12" t="n">
        <f aca="false">BK46*(1+AY47)*(1+BA47)*(1-BE47)</f>
        <v>163.428616698433</v>
      </c>
      <c r="BL47" s="7" t="n">
        <f aca="false">'Central macro hypothesis'!B29</f>
        <v>163.428616698433</v>
      </c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107924956.340666</v>
      </c>
      <c r="E48" s="9"/>
      <c r="F48" s="67" t="n">
        <f aca="false">'Central pensions'!I48</f>
        <v>19616638.3469088</v>
      </c>
      <c r="G48" s="9" t="n">
        <f aca="false">'Central pensions'!K48</f>
        <v>524421.121514177</v>
      </c>
      <c r="H48" s="9" t="n">
        <f aca="false">'Central pensions'!V48</f>
        <v>2885210.28132527</v>
      </c>
      <c r="I48" s="67" t="n">
        <f aca="false">'Central pensions'!M48</f>
        <v>16219.209943737</v>
      </c>
      <c r="J48" s="9" t="n">
        <f aca="false">'Central pensions'!W48</f>
        <v>89233.3076698514</v>
      </c>
      <c r="K48" s="9"/>
      <c r="L48" s="67" t="n">
        <f aca="false">'Central pensions'!N48</f>
        <v>3028447.95119986</v>
      </c>
      <c r="M48" s="67"/>
      <c r="N48" s="67" t="n">
        <f aca="false">'Central pensions'!L48</f>
        <v>846640.883315865</v>
      </c>
      <c r="O48" s="9"/>
      <c r="P48" s="9" t="n">
        <f aca="false">'Central pensions'!X48</f>
        <v>20372599.1559705</v>
      </c>
      <c r="Q48" s="67"/>
      <c r="R48" s="67" t="n">
        <f aca="false">'Central SIPA income'!G43</f>
        <v>14734874.1134783</v>
      </c>
      <c r="S48" s="67"/>
      <c r="T48" s="9" t="n">
        <f aca="false">'Central SIPA income'!J43</f>
        <v>56340068.2694731</v>
      </c>
      <c r="U48" s="9"/>
      <c r="V48" s="67" t="n">
        <f aca="false">'Central SIPA income'!F43</f>
        <v>120173.456413389</v>
      </c>
      <c r="W48" s="67"/>
      <c r="X48" s="67" t="n">
        <f aca="false">'Central SIPA income'!M43</f>
        <v>301841.075541562</v>
      </c>
      <c r="Y48" s="9"/>
      <c r="Z48" s="9" t="n">
        <f aca="false">R48+V48-N48-L48-F48</f>
        <v>-8636679.61153283</v>
      </c>
      <c r="AA48" s="9"/>
      <c r="AB48" s="9" t="n">
        <f aca="false">T48-P48-D48</f>
        <v>-71957487.2271638</v>
      </c>
      <c r="AC48" s="50"/>
      <c r="AD48" s="9"/>
      <c r="AE48" s="9"/>
      <c r="AF48" s="9"/>
      <c r="AG48" s="9" t="n">
        <f aca="false">AG47*'Central macro hypothesis'!B30/'Central macro hypothesis'!B29</f>
        <v>5342126859.21334</v>
      </c>
      <c r="AH48" s="39" t="n">
        <f aca="false">(AG48-AG47)/AG47</f>
        <v>-0.0753126334607898</v>
      </c>
      <c r="AI48" s="39"/>
      <c r="AJ48" s="39" t="n">
        <f aca="false">AB48/AG48</f>
        <v>-0.0134698200030689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12177474</v>
      </c>
      <c r="AY48" s="39" t="n">
        <f aca="false">(AW48-AW47)/AW47</f>
        <v>0.00364486019821565</v>
      </c>
      <c r="AZ48" s="38" t="n">
        <f aca="false">workers_and_wage_central!B36</f>
        <v>6219.47198334682</v>
      </c>
      <c r="BA48" s="39" t="n">
        <f aca="false">(AZ48-AZ47)/AZ47</f>
        <v>0.00413419439071049</v>
      </c>
      <c r="BB48" s="12" t="n">
        <f aca="false">BB45*1/4+BB49*3/4</f>
        <v>51.875</v>
      </c>
      <c r="BC48" s="12" t="n">
        <f aca="false">$BC$33</f>
        <v>13.3006153702016</v>
      </c>
      <c r="BD48" s="12" t="n">
        <f aca="false">BD47*(2-((BL48)/(BL47*(1+AY48)*(1+BA48))))</f>
        <v>50.0489366204332</v>
      </c>
      <c r="BE48" s="39" t="n">
        <f aca="false">BD48/BD47-1</f>
        <v>0.0824640218684556</v>
      </c>
      <c r="BF48" s="7"/>
      <c r="BG48" s="7"/>
      <c r="BH48" s="0" t="n">
        <f aca="false">BH47+1</f>
        <v>17</v>
      </c>
      <c r="BI48" s="39" t="n">
        <f aca="false">T55/AG55</f>
        <v>0.0126726327296364</v>
      </c>
      <c r="BK48" s="79" t="n">
        <f aca="false">BK47*(1+AY48)*(1+BA48)*(1-BE48)</f>
        <v>151.12037719202</v>
      </c>
      <c r="BL48" s="0" t="n">
        <f aca="false">'Central macro hypothesis'!B30</f>
        <v>151.12037719202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108785020.788815</v>
      </c>
      <c r="E49" s="9"/>
      <c r="F49" s="67" t="n">
        <f aca="false">'Central pensions'!I49</f>
        <v>19772965.2411362</v>
      </c>
      <c r="G49" s="9" t="n">
        <f aca="false">'Central pensions'!K49</f>
        <v>547663.781706968</v>
      </c>
      <c r="H49" s="9" t="n">
        <f aca="false">'Central pensions'!V49</f>
        <v>3013084.54001257</v>
      </c>
      <c r="I49" s="67" t="n">
        <f aca="false">'Central pensions'!M49</f>
        <v>16938.055104339</v>
      </c>
      <c r="J49" s="9" t="n">
        <f aca="false">'Central pensions'!W49</f>
        <v>93188.1816498723</v>
      </c>
      <c r="K49" s="9"/>
      <c r="L49" s="67" t="n">
        <f aca="false">'Central pensions'!N49</f>
        <v>3055517.14917229</v>
      </c>
      <c r="M49" s="67"/>
      <c r="N49" s="67" t="n">
        <f aca="false">'Central pensions'!L49</f>
        <v>855471.509406257</v>
      </c>
      <c r="O49" s="9"/>
      <c r="P49" s="9" t="n">
        <f aca="false">'Central pensions'!X49</f>
        <v>20561644.8522244</v>
      </c>
      <c r="Q49" s="67"/>
      <c r="R49" s="67" t="n">
        <f aca="false">'Central SIPA income'!G44</f>
        <v>17698944.4617198</v>
      </c>
      <c r="S49" s="67"/>
      <c r="T49" s="9" t="n">
        <f aca="false">'Central SIPA income'!J44</f>
        <v>67673448.1469904</v>
      </c>
      <c r="U49" s="9"/>
      <c r="V49" s="67" t="n">
        <f aca="false">'Central SIPA income'!F44</f>
        <v>117879.943213431</v>
      </c>
      <c r="W49" s="67"/>
      <c r="X49" s="67" t="n">
        <f aca="false">'Central SIPA income'!M44</f>
        <v>296080.431621471</v>
      </c>
      <c r="Y49" s="9"/>
      <c r="Z49" s="9" t="n">
        <f aca="false">R49+V49-N49-L49-F49</f>
        <v>-5867129.49478155</v>
      </c>
      <c r="AA49" s="9"/>
      <c r="AB49" s="9" t="n">
        <f aca="false">T49-P49-D49</f>
        <v>-61673217.494049</v>
      </c>
      <c r="AC49" s="50"/>
      <c r="AD49" s="9"/>
      <c r="AE49" s="9"/>
      <c r="AF49" s="9"/>
      <c r="AG49" s="9" t="n">
        <f aca="false">AG48*'Central macro hypothesis'!B31/'Central macro hypothesis'!B30</f>
        <v>5330019463.69023</v>
      </c>
      <c r="AH49" s="39" t="n">
        <f aca="false">(AG49-AG48)/AG48</f>
        <v>-0.00226639985200539</v>
      </c>
      <c r="AI49" s="39" t="n">
        <f aca="false">(AG49-AG45)/AG45</f>
        <v>0.0358794827835657</v>
      </c>
      <c r="AJ49" s="39" t="n">
        <f aca="false">AB49/AG49</f>
        <v>-0.0115709178764142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12237579</v>
      </c>
      <c r="AY49" s="39" t="n">
        <f aca="false">(AW49-AW48)/AW48</f>
        <v>0.0049357526856555</v>
      </c>
      <c r="AZ49" s="38" t="n">
        <f aca="false">workers_and_wage_central!B37</f>
        <v>6264.57329403818</v>
      </c>
      <c r="BA49" s="39" t="n">
        <f aca="false">(AZ49-AZ48)/AZ48</f>
        <v>0.00725163017248463</v>
      </c>
      <c r="BB49" s="80" t="n">
        <v>52</v>
      </c>
      <c r="BC49" s="12" t="n">
        <f aca="false">$BC$33</f>
        <v>13.3006153702016</v>
      </c>
      <c r="BD49" s="12" t="n">
        <f aca="false">BD48*(2-((BL49)/(BL48*(1+AY49)*(1+BA49))))</f>
        <v>50.7653673807868</v>
      </c>
      <c r="BE49" s="39" t="n">
        <f aca="false">BD49/BD48-1</f>
        <v>0.014314605039202</v>
      </c>
      <c r="BF49" s="7"/>
      <c r="BG49" s="73" t="n">
        <f aca="false">(BB49-BB45)/BB45</f>
        <v>0.00970873786407767</v>
      </c>
      <c r="BH49" s="0" t="n">
        <f aca="false">BH48+1</f>
        <v>18</v>
      </c>
      <c r="BI49" s="39" t="n">
        <f aca="false">T56/AG56</f>
        <v>0.0109016188510348</v>
      </c>
      <c r="BK49" s="79" t="n">
        <f aca="false">BK48*(1+AY49)*(1+BA49)*(1-BE49)</f>
        <v>150.777877991517</v>
      </c>
      <c r="BL49" s="0" t="n">
        <f aca="false">'Central macro hypothesis'!B31</f>
        <v>150.777877991517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109656661.713257</v>
      </c>
      <c r="E50" s="6"/>
      <c r="F50" s="8" t="n">
        <f aca="false">'Central pensions'!I50</f>
        <v>19931396.2969633</v>
      </c>
      <c r="G50" s="6" t="n">
        <f aca="false">'Central pensions'!K50</f>
        <v>572078.963623987</v>
      </c>
      <c r="H50" s="6" t="n">
        <f aca="false">'Central pensions'!V50</f>
        <v>3147409.66727674</v>
      </c>
      <c r="I50" s="8" t="n">
        <f aca="false">'Central pensions'!M50</f>
        <v>17693.163823423</v>
      </c>
      <c r="J50" s="6" t="n">
        <f aca="false">'Central pensions'!W50</f>
        <v>97342.5670291814</v>
      </c>
      <c r="K50" s="6"/>
      <c r="L50" s="8" t="n">
        <f aca="false">'Central pensions'!N50</f>
        <v>3741122.50739086</v>
      </c>
      <c r="M50" s="8"/>
      <c r="N50" s="8" t="n">
        <f aca="false">'Central pensions'!L50</f>
        <v>864436.235506572</v>
      </c>
      <c r="O50" s="6"/>
      <c r="P50" s="6" t="n">
        <f aca="false">'Central pensions'!X50</f>
        <v>24168575.5932334</v>
      </c>
      <c r="Q50" s="8"/>
      <c r="R50" s="8" t="n">
        <f aca="false">'Central SIPA income'!G45</f>
        <v>14734780.8169419</v>
      </c>
      <c r="S50" s="8"/>
      <c r="T50" s="6" t="n">
        <f aca="false">'Central SIPA income'!J45</f>
        <v>56339711.5420799</v>
      </c>
      <c r="U50" s="6"/>
      <c r="V50" s="8" t="n">
        <f aca="false">'Central SIPA income'!F45</f>
        <v>122068.023579426</v>
      </c>
      <c r="W50" s="8"/>
      <c r="X50" s="8" t="n">
        <f aca="false">'Central SIPA income'!M45</f>
        <v>306599.682043776</v>
      </c>
      <c r="Y50" s="6"/>
      <c r="Z50" s="6" t="n">
        <f aca="false">R50+V50-N50-L50-F50</f>
        <v>-9680106.19933942</v>
      </c>
      <c r="AA50" s="6"/>
      <c r="AB50" s="6" t="n">
        <f aca="false">T50-P50-D50</f>
        <v>-77485525.7644105</v>
      </c>
      <c r="AC50" s="50"/>
      <c r="AD50" s="6"/>
      <c r="AE50" s="6"/>
      <c r="AF50" s="6"/>
      <c r="AG50" s="6" t="n">
        <f aca="false">AG49*'Central macro hypothesis'!B32/'Central macro hypothesis'!B31</f>
        <v>5199198453.89296</v>
      </c>
      <c r="AH50" s="61" t="n">
        <f aca="false">(AG50-AG49)/AG49</f>
        <v>-0.0245441898830687</v>
      </c>
      <c r="AI50" s="61"/>
      <c r="AJ50" s="61" t="n">
        <f aca="false">AB50/AG50</f>
        <v>-0.0149033599027928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0.0108581442550788</v>
      </c>
      <c r="AV50" s="5"/>
      <c r="AW50" s="65" t="n">
        <f aca="false">workers_and_wage_central!C38</f>
        <v>12252500</v>
      </c>
      <c r="AX50" s="5"/>
      <c r="AY50" s="61" t="n">
        <f aca="false">(AW50-AW49)/AW49</f>
        <v>0.00121927711355326</v>
      </c>
      <c r="AZ50" s="66" t="n">
        <f aca="false">workers_and_wage_central!B38</f>
        <v>6326.27636409552</v>
      </c>
      <c r="BA50" s="61" t="n">
        <f aca="false">(AZ50-AZ49)/AZ49</f>
        <v>0.00984952480579334</v>
      </c>
      <c r="BB50" s="11" t="n">
        <f aca="false">BB49*3/4+BB53*1/4</f>
        <v>52</v>
      </c>
      <c r="BC50" s="11" t="n">
        <f aca="false">$BC$33</f>
        <v>13.3006153702016</v>
      </c>
      <c r="BD50" s="11" t="n">
        <f aca="false">BD49*(2-((BL50)/(BL49*(1+AY50)*(1+BA50))))</f>
        <v>52.55406344627</v>
      </c>
      <c r="BE50" s="61" t="n">
        <f aca="false">BD50/BD49-1</f>
        <v>0.0352345734458368</v>
      </c>
      <c r="BF50" s="5"/>
      <c r="BG50" s="5"/>
      <c r="BH50" s="5" t="n">
        <f aca="false">BH49+1</f>
        <v>19</v>
      </c>
      <c r="BI50" s="61" t="n">
        <f aca="false">T57/AG57</f>
        <v>0.0128401853866235</v>
      </c>
      <c r="BJ50" s="5"/>
      <c r="BK50" s="11" t="n">
        <f aca="false">BK49*(1+AY50)*(1+BA50)*(1-BE50)</f>
        <v>147.077157123927</v>
      </c>
      <c r="BL50" s="5" t="n">
        <f aca="false">'Central macro hypothesis'!B32</f>
        <v>147.077157123927</v>
      </c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111107455.255162</v>
      </c>
      <c r="E51" s="9"/>
      <c r="F51" s="67" t="n">
        <f aca="false">'Central pensions'!I51</f>
        <v>20195095.1965742</v>
      </c>
      <c r="G51" s="9" t="n">
        <f aca="false">'Central pensions'!K51</f>
        <v>588624.24066873</v>
      </c>
      <c r="H51" s="9" t="n">
        <f aca="false">'Central pensions'!V51</f>
        <v>3238436.89993098</v>
      </c>
      <c r="I51" s="67" t="n">
        <f aca="false">'Central pensions'!M51</f>
        <v>18204.873422744</v>
      </c>
      <c r="J51" s="9" t="n">
        <f aca="false">'Central pensions'!W51</f>
        <v>100157.842265905</v>
      </c>
      <c r="K51" s="9"/>
      <c r="L51" s="67" t="n">
        <f aca="false">'Central pensions'!N51</f>
        <v>3130468.05154936</v>
      </c>
      <c r="M51" s="67"/>
      <c r="N51" s="67" t="n">
        <f aca="false">'Central pensions'!L51</f>
        <v>878403.615865856</v>
      </c>
      <c r="O51" s="9"/>
      <c r="P51" s="9" t="n">
        <f aca="false">'Central pensions'!X51</f>
        <v>21076731.1246361</v>
      </c>
      <c r="Q51" s="67"/>
      <c r="R51" s="67" t="n">
        <f aca="false">'Central SIPA income'!G46</f>
        <v>17736292.6442141</v>
      </c>
      <c r="S51" s="67"/>
      <c r="T51" s="9" t="n">
        <f aca="false">'Central SIPA income'!J46</f>
        <v>67816252.1597877</v>
      </c>
      <c r="U51" s="9"/>
      <c r="V51" s="67" t="n">
        <f aca="false">'Central SIPA income'!F46</f>
        <v>125249.417477589</v>
      </c>
      <c r="W51" s="67"/>
      <c r="X51" s="67" t="n">
        <f aca="false">'Central SIPA income'!M46</f>
        <v>314590.426294649</v>
      </c>
      <c r="Y51" s="9"/>
      <c r="Z51" s="9" t="n">
        <f aca="false">R51+V51-N51-L51-F51</f>
        <v>-6342424.80229771</v>
      </c>
      <c r="AA51" s="9"/>
      <c r="AB51" s="9" t="n">
        <f aca="false">T51-P51-D51</f>
        <v>-64367934.2200104</v>
      </c>
      <c r="AC51" s="50"/>
      <c r="AD51" s="9"/>
      <c r="AE51" s="9"/>
      <c r="AF51" s="9"/>
      <c r="AG51" s="9" t="n">
        <f aca="false">AG50*'Central macro hypothesis'!B33/'Central macro hypothesis'!B32</f>
        <v>5949468934.79935</v>
      </c>
      <c r="AH51" s="39" t="n">
        <f aca="false">(AG51-AG50)/AG50</f>
        <v>0.144305028469266</v>
      </c>
      <c r="AI51" s="39"/>
      <c r="AJ51" s="39" t="n">
        <f aca="false">AB51/AG51</f>
        <v>-0.0108191058606109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12303605</v>
      </c>
      <c r="AX51" s="7"/>
      <c r="AY51" s="39" t="n">
        <f aca="false">(AW51-AW50)/AW50</f>
        <v>0.00417098551316058</v>
      </c>
      <c r="AZ51" s="38" t="n">
        <f aca="false">workers_and_wage_central!B39</f>
        <v>6395.17786893838</v>
      </c>
      <c r="BA51" s="39" t="n">
        <f aca="false">(AZ51-AZ50)/AZ50</f>
        <v>0.010891320719706</v>
      </c>
      <c r="BB51" s="12" t="n">
        <f aca="false">BB49*2/4+BB53*2/4</f>
        <v>52</v>
      </c>
      <c r="BC51" s="12" t="n">
        <f aca="false">$BC$33</f>
        <v>13.3006153702016</v>
      </c>
      <c r="BD51" s="12" t="n">
        <f aca="false">BD50*(2-((BL51)/(BL50*(1+AY51)*(1+BA51))))</f>
        <v>45.8652730877636</v>
      </c>
      <c r="BE51" s="39" t="n">
        <f aca="false">BD51/BD50-1</f>
        <v>-0.127274465947717</v>
      </c>
      <c r="BF51" s="7"/>
      <c r="BG51" s="7"/>
      <c r="BH51" s="7" t="n">
        <f aca="false">BH50+1</f>
        <v>20</v>
      </c>
      <c r="BI51" s="39" t="n">
        <f aca="false">T58/AG58</f>
        <v>0.0107631585541932</v>
      </c>
      <c r="BJ51" s="7"/>
      <c r="BK51" s="12" t="n">
        <f aca="false">BK50*(1+AY51)*(1+BA51)*(1-BE51)</f>
        <v>168.301130469874</v>
      </c>
      <c r="BL51" s="7" t="n">
        <f aca="false">'Central macro hypothesis'!B33</f>
        <v>168.301130469874</v>
      </c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112411420.645038</v>
      </c>
      <c r="E52" s="9"/>
      <c r="F52" s="67" t="n">
        <f aca="false">'Central pensions'!I52</f>
        <v>20432106.3415158</v>
      </c>
      <c r="G52" s="9" t="n">
        <f aca="false">'Central pensions'!K52</f>
        <v>612138.217154796</v>
      </c>
      <c r="H52" s="9" t="n">
        <f aca="false">'Central pensions'!V52</f>
        <v>3367803.86081263</v>
      </c>
      <c r="I52" s="67" t="n">
        <f aca="false">'Central pensions'!M52</f>
        <v>18932.109808912</v>
      </c>
      <c r="J52" s="9" t="n">
        <f aca="false">'Central pensions'!W52</f>
        <v>104158.882293179</v>
      </c>
      <c r="K52" s="9"/>
      <c r="L52" s="67" t="n">
        <f aca="false">'Central pensions'!N52</f>
        <v>3129378.14414245</v>
      </c>
      <c r="M52" s="67"/>
      <c r="N52" s="67" t="n">
        <f aca="false">'Central pensions'!L52</f>
        <v>890729.030730989</v>
      </c>
      <c r="O52" s="9"/>
      <c r="P52" s="9" t="n">
        <f aca="false">'Central pensions'!X52</f>
        <v>21138886.3859231</v>
      </c>
      <c r="Q52" s="67"/>
      <c r="R52" s="67" t="n">
        <f aca="false">'Central SIPA income'!G47</f>
        <v>15463591.284988</v>
      </c>
      <c r="S52" s="67"/>
      <c r="T52" s="9" t="n">
        <f aca="false">'Central SIPA income'!J47</f>
        <v>59126381.5338966</v>
      </c>
      <c r="U52" s="9"/>
      <c r="V52" s="67" t="n">
        <f aca="false">'Central SIPA income'!F47</f>
        <v>121523.28362122</v>
      </c>
      <c r="W52" s="67"/>
      <c r="X52" s="67" t="n">
        <f aca="false">'Central SIPA income'!M47</f>
        <v>305231.45232165</v>
      </c>
      <c r="Y52" s="9"/>
      <c r="Z52" s="9" t="n">
        <f aca="false">R52+V52-N52-L52-F52</f>
        <v>-8867098.94777998</v>
      </c>
      <c r="AA52" s="9"/>
      <c r="AB52" s="9" t="n">
        <f aca="false">T52-P52-D52</f>
        <v>-74423925.4970642</v>
      </c>
      <c r="AC52" s="50"/>
      <c r="AD52" s="9"/>
      <c r="AE52" s="9"/>
      <c r="AF52" s="9"/>
      <c r="AG52" s="9" t="n">
        <f aca="false">AG51*'Central macro hypothesis'!B34/'Central macro hypothesis'!B33</f>
        <v>5511795093.09097</v>
      </c>
      <c r="AH52" s="39" t="n">
        <f aca="false">(AG52-AG51)/AG51</f>
        <v>-0.0735651948946845</v>
      </c>
      <c r="AI52" s="39"/>
      <c r="AJ52" s="39" t="n">
        <f aca="false">AB52/AG52</f>
        <v>-0.013502665509165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12298027</v>
      </c>
      <c r="AY52" s="39" t="n">
        <f aca="false">(AW52-AW51)/AW51</f>
        <v>-0.000453363059038388</v>
      </c>
      <c r="AZ52" s="38" t="n">
        <f aca="false">workers_and_wage_central!B40</f>
        <v>6424.85381458221</v>
      </c>
      <c r="BA52" s="39" t="n">
        <f aca="false">(AZ52-AZ51)/AZ51</f>
        <v>0.00464036282524174</v>
      </c>
      <c r="BB52" s="12" t="n">
        <f aca="false">BB49*1/4+BB53*3/4</f>
        <v>52</v>
      </c>
      <c r="BC52" s="12" t="n">
        <f aca="false">$BC$33</f>
        <v>13.3006153702016</v>
      </c>
      <c r="BD52" s="12" t="n">
        <f aca="false">BD51*(2-((BL52)/(BL51*(1+AY52)*(1+BA52))))</f>
        <v>49.4164409708555</v>
      </c>
      <c r="BE52" s="39" t="n">
        <f aca="false">BD52/BD51-1</f>
        <v>0.0774260708378804</v>
      </c>
      <c r="BF52" s="7"/>
      <c r="BG52" s="7"/>
      <c r="BH52" s="0" t="n">
        <f aca="false">BH51+1</f>
        <v>21</v>
      </c>
      <c r="BI52" s="39" t="n">
        <f aca="false">T59/AG59</f>
        <v>0.0126343268770568</v>
      </c>
      <c r="BK52" s="79" t="n">
        <f aca="false">BK51*(1+AY52)*(1+BA52)*(1-BE52)</f>
        <v>155.920025005862</v>
      </c>
      <c r="BL52" s="0" t="n">
        <f aca="false">'Central macro hypothesis'!B34</f>
        <v>155.920025005862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112946483.386154</v>
      </c>
      <c r="E53" s="9"/>
      <c r="F53" s="67" t="n">
        <f aca="false">'Central pensions'!I53</f>
        <v>20529360.3283718</v>
      </c>
      <c r="G53" s="9" t="n">
        <f aca="false">'Central pensions'!K53</f>
        <v>674259.138815269</v>
      </c>
      <c r="H53" s="9" t="n">
        <f aca="false">'Central pensions'!V53</f>
        <v>3709574.8431535</v>
      </c>
      <c r="I53" s="67" t="n">
        <f aca="false">'Central pensions'!M53</f>
        <v>20853.375427276</v>
      </c>
      <c r="J53" s="9" t="n">
        <f aca="false">'Central pensions'!W53</f>
        <v>114729.118860416</v>
      </c>
      <c r="K53" s="9"/>
      <c r="L53" s="67" t="n">
        <f aca="false">'Central pensions'!N53</f>
        <v>3100867.6674499</v>
      </c>
      <c r="M53" s="67"/>
      <c r="N53" s="67" t="n">
        <f aca="false">'Central pensions'!L53</f>
        <v>896942.410304327</v>
      </c>
      <c r="O53" s="9"/>
      <c r="P53" s="9" t="n">
        <f aca="false">'Central pensions'!X53</f>
        <v>21025129.5680015</v>
      </c>
      <c r="Q53" s="67"/>
      <c r="R53" s="67" t="n">
        <f aca="false">'Central SIPA income'!G48</f>
        <v>18466028.3565427</v>
      </c>
      <c r="S53" s="67"/>
      <c r="T53" s="9" t="n">
        <f aca="false">'Central SIPA income'!J48</f>
        <v>70606459.903311</v>
      </c>
      <c r="U53" s="9"/>
      <c r="V53" s="67" t="n">
        <f aca="false">'Central SIPA income'!F48</f>
        <v>124538.74192412</v>
      </c>
      <c r="W53" s="67"/>
      <c r="X53" s="67" t="n">
        <f aca="false">'Central SIPA income'!M48</f>
        <v>312805.414197783</v>
      </c>
      <c r="Y53" s="9"/>
      <c r="Z53" s="9" t="n">
        <f aca="false">R53+V53-N53-L53-F53</f>
        <v>-5936603.30765922</v>
      </c>
      <c r="AA53" s="9"/>
      <c r="AB53" s="9" t="n">
        <f aca="false">T53-P53-D53</f>
        <v>-63365153.0508449</v>
      </c>
      <c r="AC53" s="50"/>
      <c r="AD53" s="9"/>
      <c r="AE53" s="9"/>
      <c r="AF53" s="9"/>
      <c r="AG53" s="9" t="n">
        <f aca="false">AG52*'Central macro hypothesis'!B35/'Central macro hypothesis'!B34</f>
        <v>5496565635.77078</v>
      </c>
      <c r="AH53" s="39" t="n">
        <f aca="false">(AG53-AG52)/AG52</f>
        <v>-0.00276306667119766</v>
      </c>
      <c r="AI53" s="39" t="n">
        <f aca="false">(AG53-AG49)/AG49</f>
        <v>0.0312468224956986</v>
      </c>
      <c r="AJ53" s="39" t="n">
        <f aca="false">AB53/AG53</f>
        <v>-0.0115281354303266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12340283</v>
      </c>
      <c r="AY53" s="39" t="n">
        <f aca="false">(AW53-AW52)/AW52</f>
        <v>0.00343599831094858</v>
      </c>
      <c r="AZ53" s="38" t="n">
        <f aca="false">workers_and_wage_central!B41</f>
        <v>6469.38868614341</v>
      </c>
      <c r="BA53" s="39" t="n">
        <f aca="false">(AZ53-AZ52)/AZ52</f>
        <v>0.0069316552323916</v>
      </c>
      <c r="BB53" s="68" t="n">
        <v>52</v>
      </c>
      <c r="BC53" s="12" t="n">
        <f aca="false">$BC$33</f>
        <v>13.3006153702016</v>
      </c>
      <c r="BD53" s="12" t="n">
        <f aca="false">BD52*(2-((BL53)/(BL52*(1+AY53)*(1+BA53))))</f>
        <v>50.0598058826793</v>
      </c>
      <c r="BE53" s="39" t="n">
        <f aca="false">BD53/BD52-1</f>
        <v>0.0130192482336653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39" t="n">
        <f aca="false">T60/AG60</f>
        <v>0.0108300568723179</v>
      </c>
      <c r="BK53" s="79" t="n">
        <f aca="false">BK52*(1+AY53)*(1+BA53)*(1-BE53)</f>
        <v>155.489207581396</v>
      </c>
      <c r="BL53" s="0" t="n">
        <f aca="false">'Central macro hypothesis'!B35</f>
        <v>155.489207581396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113181763.223973</v>
      </c>
      <c r="E54" s="6"/>
      <c r="F54" s="8" t="n">
        <f aca="false">'Central pensions'!I54</f>
        <v>20572125.2239557</v>
      </c>
      <c r="G54" s="6" t="n">
        <f aca="false">'Central pensions'!K54</f>
        <v>743425.43914228</v>
      </c>
      <c r="H54" s="6" t="n">
        <f aca="false">'Central pensions'!V54</f>
        <v>4090107.42019488</v>
      </c>
      <c r="I54" s="8" t="n">
        <f aca="false">'Central pensions'!M54</f>
        <v>22992.539354916</v>
      </c>
      <c r="J54" s="6" t="n">
        <f aca="false">'Central pensions'!W54</f>
        <v>126498.167634894</v>
      </c>
      <c r="K54" s="6"/>
      <c r="L54" s="8" t="n">
        <f aca="false">'Central pensions'!N54</f>
        <v>3757513.61227016</v>
      </c>
      <c r="M54" s="8"/>
      <c r="N54" s="8" t="n">
        <f aca="false">'Central pensions'!L54</f>
        <v>900912.866508484</v>
      </c>
      <c r="O54" s="6"/>
      <c r="P54" s="6" t="n">
        <f aca="false">'Central pensions'!X54</f>
        <v>24454312.7757986</v>
      </c>
      <c r="Q54" s="8"/>
      <c r="R54" s="8" t="n">
        <f aca="false">'Central SIPA income'!G49</f>
        <v>15605220.9412056</v>
      </c>
      <c r="S54" s="8"/>
      <c r="T54" s="6" t="n">
        <f aca="false">'Central SIPA income'!J49</f>
        <v>59667914.7997275</v>
      </c>
      <c r="U54" s="6"/>
      <c r="V54" s="8" t="n">
        <f aca="false">'Central SIPA income'!F49</f>
        <v>122655.014026557</v>
      </c>
      <c r="W54" s="8"/>
      <c r="X54" s="8" t="n">
        <f aca="false">'Central SIPA income'!M49</f>
        <v>308074.032812927</v>
      </c>
      <c r="Y54" s="6"/>
      <c r="Z54" s="6" t="n">
        <f aca="false">R54+V54-N54-L54-F54</f>
        <v>-9502675.7475022</v>
      </c>
      <c r="AA54" s="6"/>
      <c r="AB54" s="6" t="n">
        <f aca="false">T54-P54-D54</f>
        <v>-77968161.200044</v>
      </c>
      <c r="AC54" s="50"/>
      <c r="AD54" s="6"/>
      <c r="AE54" s="6"/>
      <c r="AF54" s="6"/>
      <c r="AG54" s="6" t="n">
        <f aca="false">BF54/100*$AG$53</f>
        <v>5559469197.19228</v>
      </c>
      <c r="AH54" s="61" t="n">
        <f aca="false">(AG54-AG53)/AG53</f>
        <v>0.0114441572410479</v>
      </c>
      <c r="AI54" s="61"/>
      <c r="AJ54" s="61" t="n">
        <f aca="false">AB54/AG54</f>
        <v>-0.0140243894577958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0.0110233036032677</v>
      </c>
      <c r="AV54" s="5"/>
      <c r="AW54" s="65" t="n">
        <f aca="false">workers_and_wage_central!C42</f>
        <v>12389916</v>
      </c>
      <c r="AX54" s="5"/>
      <c r="AY54" s="61" t="n">
        <f aca="false">(AW54-AW53)/AW53</f>
        <v>0.00402203093721595</v>
      </c>
      <c r="AZ54" s="66" t="n">
        <f aca="false">workers_and_wage_central!B42</f>
        <v>6517.21295539009</v>
      </c>
      <c r="BA54" s="61" t="n">
        <f aca="false">(AZ54-AZ53)/AZ53</f>
        <v>0.00739239386699914</v>
      </c>
      <c r="BB54" s="5"/>
      <c r="BC54" s="5"/>
      <c r="BD54" s="5"/>
      <c r="BE54" s="5"/>
      <c r="BF54" s="5" t="n">
        <f aca="false">BF53*(1+AY54)*(1+BA54)*(1-BE54)</f>
        <v>101.144415724105</v>
      </c>
      <c r="BG54" s="5"/>
      <c r="BH54" s="5" t="n">
        <f aca="false">BH53+1</f>
        <v>23</v>
      </c>
      <c r="BI54" s="61" t="n">
        <f aca="false">T61/AG61</f>
        <v>0.0127429406389392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113983846.255333</v>
      </c>
      <c r="E55" s="9"/>
      <c r="F55" s="67" t="n">
        <f aca="false">'Central pensions'!I55</f>
        <v>20717913.3093428</v>
      </c>
      <c r="G55" s="9" t="n">
        <f aca="false">'Central pensions'!K55</f>
        <v>843127.213151415</v>
      </c>
      <c r="H55" s="9" t="n">
        <f aca="false">'Central pensions'!V55</f>
        <v>4638637.16401404</v>
      </c>
      <c r="I55" s="67" t="n">
        <f aca="false">'Central pensions'!M55</f>
        <v>26076.099375817</v>
      </c>
      <c r="J55" s="9" t="n">
        <f aca="false">'Central pensions'!W55</f>
        <v>143463.005072599</v>
      </c>
      <c r="K55" s="9"/>
      <c r="L55" s="67" t="n">
        <f aca="false">'Central pensions'!N55</f>
        <v>3172289.91947616</v>
      </c>
      <c r="M55" s="67"/>
      <c r="N55" s="67" t="n">
        <f aca="false">'Central pensions'!L55</f>
        <v>908837.416407581</v>
      </c>
      <c r="O55" s="9"/>
      <c r="P55" s="9" t="n">
        <f aca="false">'Central pensions'!X55</f>
        <v>21461182.7872787</v>
      </c>
      <c r="Q55" s="67"/>
      <c r="R55" s="67" t="n">
        <f aca="false">'Central SIPA income'!G50</f>
        <v>18653216.2138578</v>
      </c>
      <c r="S55" s="67"/>
      <c r="T55" s="9" t="n">
        <f aca="false">'Central SIPA income'!J50</f>
        <v>71322188.8996451</v>
      </c>
      <c r="U55" s="9"/>
      <c r="V55" s="67" t="n">
        <f aca="false">'Central SIPA income'!F50</f>
        <v>123886.789285825</v>
      </c>
      <c r="W55" s="67"/>
      <c r="X55" s="67" t="n">
        <f aca="false">'Central SIPA income'!M50</f>
        <v>311167.897133547</v>
      </c>
      <c r="Y55" s="9"/>
      <c r="Z55" s="9" t="n">
        <f aca="false">R55+V55-N55-L55-F55</f>
        <v>-6021937.64208288</v>
      </c>
      <c r="AA55" s="9"/>
      <c r="AB55" s="9" t="n">
        <f aca="false">T55-P55-D55</f>
        <v>-64122840.1429669</v>
      </c>
      <c r="AC55" s="50"/>
      <c r="AD55" s="9"/>
      <c r="AE55" s="9"/>
      <c r="AF55" s="9"/>
      <c r="AG55" s="9" t="n">
        <f aca="false">BF55/100*$AG$53</f>
        <v>5628048284.93529</v>
      </c>
      <c r="AH55" s="39" t="n">
        <f aca="false">(AG55-AG54)/AG54</f>
        <v>0.0123355459506173</v>
      </c>
      <c r="AI55" s="39"/>
      <c r="AJ55" s="39" t="n">
        <f aca="false">AB55/AG55</f>
        <v>-0.011393441721992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12447884</v>
      </c>
      <c r="AX55" s="7"/>
      <c r="AY55" s="39" t="n">
        <f aca="false">(AW55-AW54)/AW54</f>
        <v>0.0046786435033135</v>
      </c>
      <c r="AZ55" s="38" t="n">
        <f aca="false">workers_and_wage_central!B43</f>
        <v>6566.88223436841</v>
      </c>
      <c r="BA55" s="39" t="n">
        <f aca="false">(AZ55-AZ54)/AZ54</f>
        <v>0.0076212453572259</v>
      </c>
      <c r="BB55" s="7"/>
      <c r="BC55" s="7"/>
      <c r="BD55" s="7"/>
      <c r="BE55" s="7"/>
      <c r="BF55" s="7" t="n">
        <f aca="false">BF54*(1+AY55)*(1+BA55)*(1-BE55)</f>
        <v>102.392087311918</v>
      </c>
      <c r="BG55" s="7"/>
      <c r="BH55" s="7" t="n">
        <f aca="false">BH54+1</f>
        <v>24</v>
      </c>
      <c r="BI55" s="39" t="n">
        <f aca="false">T62/AG62</f>
        <v>0.0107572548905443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115030329.562935</v>
      </c>
      <c r="E56" s="9"/>
      <c r="F56" s="67" t="n">
        <f aca="false">'Central pensions'!I56</f>
        <v>20908124.0379577</v>
      </c>
      <c r="G56" s="9" t="n">
        <f aca="false">'Central pensions'!K56</f>
        <v>896366.439651399</v>
      </c>
      <c r="H56" s="9" t="n">
        <f aca="false">'Central pensions'!V56</f>
        <v>4931543.68010562</v>
      </c>
      <c r="I56" s="67" t="n">
        <f aca="false">'Central pensions'!M56</f>
        <v>27722.67339128</v>
      </c>
      <c r="J56" s="9" t="n">
        <f aca="false">'Central pensions'!W56</f>
        <v>152521.969487801</v>
      </c>
      <c r="K56" s="9"/>
      <c r="L56" s="67" t="n">
        <f aca="false">'Central pensions'!N56</f>
        <v>3135923.72728612</v>
      </c>
      <c r="M56" s="67"/>
      <c r="N56" s="67" t="n">
        <f aca="false">'Central pensions'!L56</f>
        <v>919322.016297918</v>
      </c>
      <c r="O56" s="9"/>
      <c r="P56" s="9" t="n">
        <f aca="false">'Central pensions'!X56</f>
        <v>21330161.6182666</v>
      </c>
      <c r="Q56" s="67"/>
      <c r="R56" s="67" t="n">
        <f aca="false">'Central SIPA income'!G51</f>
        <v>16160145.5094898</v>
      </c>
      <c r="S56" s="67"/>
      <c r="T56" s="9" t="n">
        <f aca="false">'Central SIPA income'!J51</f>
        <v>61789716.9828177</v>
      </c>
      <c r="U56" s="9"/>
      <c r="V56" s="67" t="n">
        <f aca="false">'Central SIPA income'!F51</f>
        <v>127131.766357886</v>
      </c>
      <c r="W56" s="67"/>
      <c r="X56" s="67" t="n">
        <f aca="false">'Central SIPA income'!M51</f>
        <v>319318.343985714</v>
      </c>
      <c r="Y56" s="9"/>
      <c r="Z56" s="9" t="n">
        <f aca="false">R56+V56-N56-L56-F56</f>
        <v>-8676092.50569407</v>
      </c>
      <c r="AA56" s="9"/>
      <c r="AB56" s="9" t="n">
        <f aca="false">T56-P56-D56</f>
        <v>-74570774.1983834</v>
      </c>
      <c r="AC56" s="50"/>
      <c r="AD56" s="9"/>
      <c r="AE56" s="9"/>
      <c r="AF56" s="9"/>
      <c r="AG56" s="9" t="n">
        <f aca="false">BF56/100*$AG$53</f>
        <v>5667939581.00566</v>
      </c>
      <c r="AH56" s="39" t="n">
        <f aca="false">(AG56-AG55)/AG55</f>
        <v>0.00708794488795648</v>
      </c>
      <c r="AI56" s="39"/>
      <c r="AJ56" s="39" t="n">
        <f aca="false">AB56/AG56</f>
        <v>-0.0131565929969127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12494012</v>
      </c>
      <c r="AY56" s="39" t="n">
        <f aca="false">(AW56-AW55)/AW55</f>
        <v>0.00370569005945107</v>
      </c>
      <c r="AZ56" s="38" t="n">
        <f aca="false">workers_and_wage_central!B44</f>
        <v>6589.01110079349</v>
      </c>
      <c r="BA56" s="39" t="n">
        <f aca="false">(AZ56-AZ55)/AZ55</f>
        <v>0.00336976751452417</v>
      </c>
      <c r="BB56" s="7"/>
      <c r="BC56" s="7"/>
      <c r="BD56" s="7"/>
      <c r="BE56" s="7"/>
      <c r="BF56" s="7" t="n">
        <f aca="false">BF55*(1+AY56)*(1+BA56)*(1-BE56)</f>
        <v>103.117836783748</v>
      </c>
      <c r="BG56" s="7"/>
      <c r="BH56" s="0" t="n">
        <f aca="false">BH55+1</f>
        <v>25</v>
      </c>
      <c r="BI56" s="39" t="n">
        <f aca="false">T63/AG63</f>
        <v>0.0126337332743011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116032840.35772</v>
      </c>
      <c r="E57" s="9"/>
      <c r="F57" s="67" t="n">
        <f aca="false">'Central pensions'!I57</f>
        <v>21090342.2418558</v>
      </c>
      <c r="G57" s="9" t="n">
        <f aca="false">'Central pensions'!K57</f>
        <v>978760.40327287</v>
      </c>
      <c r="H57" s="9" t="n">
        <f aca="false">'Central pensions'!V57</f>
        <v>5384850.95780149</v>
      </c>
      <c r="I57" s="67" t="n">
        <f aca="false">'Central pensions'!M57</f>
        <v>30270.94030741</v>
      </c>
      <c r="J57" s="9" t="n">
        <f aca="false">'Central pensions'!W57</f>
        <v>166541.782200055</v>
      </c>
      <c r="K57" s="9"/>
      <c r="L57" s="67" t="n">
        <f aca="false">'Central pensions'!N57</f>
        <v>3151019.96329411</v>
      </c>
      <c r="M57" s="67"/>
      <c r="N57" s="67" t="n">
        <f aca="false">'Central pensions'!L57</f>
        <v>930150.487544291</v>
      </c>
      <c r="O57" s="9"/>
      <c r="P57" s="9" t="n">
        <f aca="false">'Central pensions'!X57</f>
        <v>21468071.1125585</v>
      </c>
      <c r="Q57" s="67"/>
      <c r="R57" s="67" t="n">
        <f aca="false">'Central SIPA income'!G52</f>
        <v>19285535.6963559</v>
      </c>
      <c r="S57" s="67"/>
      <c r="T57" s="9" t="n">
        <f aca="false">'Central SIPA income'!J52</f>
        <v>73739917.2451811</v>
      </c>
      <c r="U57" s="9"/>
      <c r="V57" s="67" t="n">
        <f aca="false">'Central SIPA income'!F52</f>
        <v>133708.150369098</v>
      </c>
      <c r="W57" s="67"/>
      <c r="X57" s="67" t="n">
        <f aca="false">'Central SIPA income'!M52</f>
        <v>335836.324597758</v>
      </c>
      <c r="Y57" s="9"/>
      <c r="Z57" s="9" t="n">
        <f aca="false">R57+V57-N57-L57-F57</f>
        <v>-5752268.8459692</v>
      </c>
      <c r="AA57" s="9"/>
      <c r="AB57" s="9" t="n">
        <f aca="false">T57-P57-D57</f>
        <v>-63760994.2250975</v>
      </c>
      <c r="AC57" s="50"/>
      <c r="AD57" s="9"/>
      <c r="AE57" s="9"/>
      <c r="AF57" s="9"/>
      <c r="AG57" s="9" t="n">
        <f aca="false">BF57/100*$AG$53</f>
        <v>5742901291.90824</v>
      </c>
      <c r="AH57" s="39" t="n">
        <f aca="false">(AG57-AG56)/AG56</f>
        <v>0.013225566333449</v>
      </c>
      <c r="AI57" s="39" t="n">
        <f aca="false">(AG57-AG53)/AG53</f>
        <v>0.0448162857429274</v>
      </c>
      <c r="AJ57" s="39" t="n">
        <f aca="false">AB57/AG57</f>
        <v>-0.0111025753332966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12572610</v>
      </c>
      <c r="AY57" s="39" t="n">
        <f aca="false">(AW57-AW56)/AW56</f>
        <v>0.00629085357049441</v>
      </c>
      <c r="AZ57" s="38" t="n">
        <f aca="false">workers_and_wage_central!B45</f>
        <v>6634.41834981478</v>
      </c>
      <c r="BA57" s="39" t="n">
        <f aca="false">(AZ57-AZ56)/AZ56</f>
        <v>0.00689136022487836</v>
      </c>
      <c r="BB57" s="7"/>
      <c r="BC57" s="7"/>
      <c r="BD57" s="7"/>
      <c r="BE57" s="7"/>
      <c r="BF57" s="7" t="n">
        <f aca="false">BF56*(1+AY57)*(1+BA57)*(1-BE57)</f>
        <v>104.481628574293</v>
      </c>
      <c r="BG57" s="73" t="n">
        <f aca="false">(BB57-BB53)/BB53</f>
        <v>-1</v>
      </c>
      <c r="BH57" s="0" t="n">
        <f aca="false">BH56+1</f>
        <v>26</v>
      </c>
      <c r="BI57" s="39" t="n">
        <f aca="false">T64/AG64</f>
        <v>0.0108829137614303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116447581.294532</v>
      </c>
      <c r="E58" s="6"/>
      <c r="F58" s="8" t="n">
        <f aca="false">'Central pensions'!I58</f>
        <v>21165726.3165032</v>
      </c>
      <c r="G58" s="6" t="n">
        <f aca="false">'Central pensions'!K58</f>
        <v>1075111.91897059</v>
      </c>
      <c r="H58" s="6" t="n">
        <f aca="false">'Central pensions'!V58</f>
        <v>5914948.56887725</v>
      </c>
      <c r="I58" s="8" t="n">
        <f aca="false">'Central pensions'!M58</f>
        <v>33250.8840918799</v>
      </c>
      <c r="J58" s="6" t="n">
        <f aca="false">'Central pensions'!W58</f>
        <v>182936.553676649</v>
      </c>
      <c r="K58" s="6"/>
      <c r="L58" s="8" t="n">
        <f aca="false">'Central pensions'!N58</f>
        <v>3751331.44518279</v>
      </c>
      <c r="M58" s="8"/>
      <c r="N58" s="8" t="n">
        <f aca="false">'Central pensions'!L58</f>
        <v>934760.97860042</v>
      </c>
      <c r="O58" s="6"/>
      <c r="P58" s="6" t="n">
        <f aca="false">'Central pensions'!X58</f>
        <v>24608455.8073156</v>
      </c>
      <c r="Q58" s="8"/>
      <c r="R58" s="8" t="n">
        <f aca="false">'Central SIPA income'!G53</f>
        <v>16320592.5676193</v>
      </c>
      <c r="S58" s="8"/>
      <c r="T58" s="6" t="n">
        <f aca="false">'Central SIPA income'!J53</f>
        <v>62403200.2157951</v>
      </c>
      <c r="U58" s="6"/>
      <c r="V58" s="8" t="n">
        <f aca="false">'Central SIPA income'!F53</f>
        <v>129737.908521347</v>
      </c>
      <c r="W58" s="8"/>
      <c r="X58" s="8" t="n">
        <f aca="false">'Central SIPA income'!M53</f>
        <v>325864.221728694</v>
      </c>
      <c r="Y58" s="6"/>
      <c r="Z58" s="6" t="n">
        <f aca="false">R58+V58-N58-L58-F58</f>
        <v>-9401488.26414582</v>
      </c>
      <c r="AA58" s="6"/>
      <c r="AB58" s="6" t="n">
        <f aca="false">T58-P58-D58</f>
        <v>-78652836.8860527</v>
      </c>
      <c r="AC58" s="50"/>
      <c r="AD58" s="6"/>
      <c r="AE58" s="6"/>
      <c r="AF58" s="6"/>
      <c r="AG58" s="6" t="n">
        <f aca="false">BF58/100*$AG$53</f>
        <v>5797851987.55469</v>
      </c>
      <c r="AH58" s="61" t="n">
        <f aca="false">(AG58-AG57)/AG57</f>
        <v>0.0095684555337691</v>
      </c>
      <c r="AI58" s="61"/>
      <c r="AJ58" s="61" t="n">
        <f aca="false">AB58/AG58</f>
        <v>-0.0135658580203296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0.0064200142406085</v>
      </c>
      <c r="AV58" s="5"/>
      <c r="AW58" s="65" t="n">
        <f aca="false">workers_and_wage_central!C46</f>
        <v>12614041</v>
      </c>
      <c r="AX58" s="5"/>
      <c r="AY58" s="61" t="n">
        <f aca="false">(AW58-AW57)/AW57</f>
        <v>0.00329533804039098</v>
      </c>
      <c r="AZ58" s="66" t="n">
        <f aca="false">workers_and_wage_central!B46</f>
        <v>6675.90013910516</v>
      </c>
      <c r="BA58" s="61" t="n">
        <f aca="false">(AZ58-AZ57)/AZ57</f>
        <v>0.00625251334829336</v>
      </c>
      <c r="BB58" s="5"/>
      <c r="BC58" s="5"/>
      <c r="BD58" s="5"/>
      <c r="BE58" s="5"/>
      <c r="BF58" s="5" t="n">
        <f aca="false">BF57*(1+AY58)*(1+BA58)*(1-BE58)</f>
        <v>105.481356391402</v>
      </c>
      <c r="BG58" s="5"/>
      <c r="BH58" s="5" t="n">
        <f aca="false">BH57+1</f>
        <v>27</v>
      </c>
      <c r="BI58" s="61" t="n">
        <f aca="false">T65/AG65</f>
        <v>0.0127921416210076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117299717.311754</v>
      </c>
      <c r="E59" s="9"/>
      <c r="F59" s="67" t="n">
        <f aca="false">'Central pensions'!I59</f>
        <v>21320612.1245591</v>
      </c>
      <c r="G59" s="9" t="n">
        <f aca="false">'Central pensions'!K59</f>
        <v>1164698.39256982</v>
      </c>
      <c r="H59" s="9" t="n">
        <f aca="false">'Central pensions'!V59</f>
        <v>6407826.91433723</v>
      </c>
      <c r="I59" s="67" t="n">
        <f aca="false">'Central pensions'!M59</f>
        <v>36021.5997702</v>
      </c>
      <c r="J59" s="9" t="n">
        <f aca="false">'Central pensions'!W59</f>
        <v>198180.213845478</v>
      </c>
      <c r="K59" s="9"/>
      <c r="L59" s="67" t="n">
        <f aca="false">'Central pensions'!N59</f>
        <v>3163742.46696385</v>
      </c>
      <c r="M59" s="67"/>
      <c r="N59" s="67" t="n">
        <f aca="false">'Central pensions'!L59</f>
        <v>943717.449213401</v>
      </c>
      <c r="O59" s="9"/>
      <c r="P59" s="9" t="n">
        <f aca="false">'Central pensions'!X59</f>
        <v>21608729.6647836</v>
      </c>
      <c r="Q59" s="67"/>
      <c r="R59" s="67" t="n">
        <f aca="false">'Central SIPA income'!G54</f>
        <v>19300009.9759692</v>
      </c>
      <c r="S59" s="67"/>
      <c r="T59" s="9" t="n">
        <f aca="false">'Central SIPA income'!J54</f>
        <v>73795260.9077928</v>
      </c>
      <c r="U59" s="9"/>
      <c r="V59" s="67" t="n">
        <f aca="false">'Central SIPA income'!F54</f>
        <v>131223.185555747</v>
      </c>
      <c r="W59" s="67"/>
      <c r="X59" s="67" t="n">
        <f aca="false">'Central SIPA income'!M54</f>
        <v>329594.809421855</v>
      </c>
      <c r="Y59" s="9"/>
      <c r="Z59" s="9" t="n">
        <f aca="false">R59+V59-N59-L59-F59</f>
        <v>-5996838.8792114</v>
      </c>
      <c r="AA59" s="9"/>
      <c r="AB59" s="9" t="n">
        <f aca="false">T59-P59-D59</f>
        <v>-65113186.068745</v>
      </c>
      <c r="AC59" s="50"/>
      <c r="AD59" s="9"/>
      <c r="AE59" s="9"/>
      <c r="AF59" s="9"/>
      <c r="AG59" s="9" t="n">
        <f aca="false">BF59/100*$AG$53</f>
        <v>5840854176.553</v>
      </c>
      <c r="AH59" s="39" t="n">
        <f aca="false">(AG59-AG58)/AG58</f>
        <v>0.00741691734984312</v>
      </c>
      <c r="AI59" s="39"/>
      <c r="AJ59" s="39" t="n">
        <f aca="false">AB59/AG59</f>
        <v>-0.0111478876377584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12635412</v>
      </c>
      <c r="AX59" s="7"/>
      <c r="AY59" s="39" t="n">
        <f aca="false">(AW59-AW58)/AW58</f>
        <v>0.00169422312802059</v>
      </c>
      <c r="AZ59" s="38" t="n">
        <f aca="false">workers_and_wage_central!B47</f>
        <v>6714.03965740269</v>
      </c>
      <c r="BA59" s="39" t="n">
        <f aca="false">(AZ59-AZ58)/AZ58</f>
        <v>0.00571301509951023</v>
      </c>
      <c r="BB59" s="7"/>
      <c r="BC59" s="7"/>
      <c r="BD59" s="7"/>
      <c r="BE59" s="7"/>
      <c r="BF59" s="7" t="n">
        <f aca="false">BF58*(1+AY59)*(1+BA59)*(1-BE59)</f>
        <v>106.263702893706</v>
      </c>
      <c r="BG59" s="7"/>
      <c r="BH59" s="7" t="n">
        <f aca="false">BH58+1</f>
        <v>28</v>
      </c>
      <c r="BI59" s="39" t="n">
        <f aca="false">T66/AG66</f>
        <v>0.010873132890751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118098439.753214</v>
      </c>
      <c r="E60" s="9"/>
      <c r="F60" s="67" t="n">
        <f aca="false">'Central pensions'!I60</f>
        <v>21465789.3829517</v>
      </c>
      <c r="G60" s="9" t="n">
        <f aca="false">'Central pensions'!K60</f>
        <v>1234788.79157023</v>
      </c>
      <c r="H60" s="9" t="n">
        <f aca="false">'Central pensions'!V60</f>
        <v>6793443.60962647</v>
      </c>
      <c r="I60" s="67" t="n">
        <f aca="false">'Central pensions'!M60</f>
        <v>38189.3440691801</v>
      </c>
      <c r="J60" s="9" t="n">
        <f aca="false">'Central pensions'!W60</f>
        <v>210106.503390497</v>
      </c>
      <c r="K60" s="9"/>
      <c r="L60" s="67" t="n">
        <f aca="false">'Central pensions'!N60</f>
        <v>3200284.18639733</v>
      </c>
      <c r="M60" s="67"/>
      <c r="N60" s="67" t="n">
        <f aca="false">'Central pensions'!L60</f>
        <v>951877.412925419</v>
      </c>
      <c r="O60" s="9"/>
      <c r="P60" s="9" t="n">
        <f aca="false">'Central pensions'!X60</f>
        <v>21843238.533401</v>
      </c>
      <c r="Q60" s="67"/>
      <c r="R60" s="67" t="n">
        <f aca="false">'Central SIPA income'!G55</f>
        <v>16601884.3438492</v>
      </c>
      <c r="S60" s="67"/>
      <c r="T60" s="9" t="n">
        <f aca="false">'Central SIPA income'!J55</f>
        <v>63478743.7022466</v>
      </c>
      <c r="U60" s="9"/>
      <c r="V60" s="67" t="n">
        <f aca="false">'Central SIPA income'!F55</f>
        <v>131841.785773769</v>
      </c>
      <c r="W60" s="67"/>
      <c r="X60" s="67" t="n">
        <f aca="false">'Central SIPA income'!M55</f>
        <v>331148.554822135</v>
      </c>
      <c r="Y60" s="9"/>
      <c r="Z60" s="9" t="n">
        <f aca="false">R60+V60-N60-L60-F60</f>
        <v>-8884224.85265149</v>
      </c>
      <c r="AA60" s="9"/>
      <c r="AB60" s="9" t="n">
        <f aca="false">T60-P60-D60</f>
        <v>-76462934.5843684</v>
      </c>
      <c r="AC60" s="50"/>
      <c r="AD60" s="9"/>
      <c r="AE60" s="9"/>
      <c r="AF60" s="9"/>
      <c r="AG60" s="9" t="n">
        <f aca="false">BF60/100*$AG$53</f>
        <v>5861349063.13381</v>
      </c>
      <c r="AH60" s="39" t="n">
        <f aca="false">(AG60-AG59)/AG59</f>
        <v>0.00350888516667396</v>
      </c>
      <c r="AI60" s="39"/>
      <c r="AJ60" s="39" t="n">
        <f aca="false">AB60/AG60</f>
        <v>-0.0130452791261483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12672503</v>
      </c>
      <c r="AY60" s="39" t="n">
        <f aca="false">(AW60-AW59)/AW59</f>
        <v>0.00293548006190855</v>
      </c>
      <c r="AZ60" s="38" t="n">
        <f aca="false">workers_and_wage_central!B48</f>
        <v>6717.87825389238</v>
      </c>
      <c r="BA60" s="39" t="n">
        <f aca="false">(AZ60-AZ59)/AZ59</f>
        <v>0.000571726812107435</v>
      </c>
      <c r="BB60" s="7"/>
      <c r="BC60" s="7"/>
      <c r="BD60" s="7"/>
      <c r="BE60" s="7"/>
      <c r="BF60" s="7" t="n">
        <f aca="false">BF59*(1+AY60)*(1+BA60)*(1-BE60)</f>
        <v>106.636570024546</v>
      </c>
      <c r="BG60" s="7"/>
      <c r="BH60" s="0" t="n">
        <f aca="false">BH59+1</f>
        <v>29</v>
      </c>
      <c r="BI60" s="39" t="n">
        <f aca="false">T67/AG67</f>
        <v>0.0127374895834409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118757665.031975</v>
      </c>
      <c r="E61" s="9"/>
      <c r="F61" s="67" t="n">
        <f aca="false">'Central pensions'!I61</f>
        <v>21585611.3807645</v>
      </c>
      <c r="G61" s="9" t="n">
        <f aca="false">'Central pensions'!K61</f>
        <v>1306586.92336787</v>
      </c>
      <c r="H61" s="9" t="n">
        <f aca="false">'Central pensions'!V61</f>
        <v>7188455.74690343</v>
      </c>
      <c r="I61" s="67" t="n">
        <f aca="false">'Central pensions'!M61</f>
        <v>40409.9048464301</v>
      </c>
      <c r="J61" s="9" t="n">
        <f aca="false">'Central pensions'!W61</f>
        <v>222323.373615576</v>
      </c>
      <c r="K61" s="9"/>
      <c r="L61" s="67" t="n">
        <f aca="false">'Central pensions'!N61</f>
        <v>3124783.76254136</v>
      </c>
      <c r="M61" s="67"/>
      <c r="N61" s="67" t="n">
        <f aca="false">'Central pensions'!L61</f>
        <v>960137.937705971</v>
      </c>
      <c r="O61" s="9"/>
      <c r="P61" s="9" t="n">
        <f aca="false">'Central pensions'!X61</f>
        <v>21496913.4451922</v>
      </c>
      <c r="Q61" s="67"/>
      <c r="R61" s="67" t="n">
        <f aca="false">'Central SIPA income'!G56</f>
        <v>19635531.0370948</v>
      </c>
      <c r="S61" s="67"/>
      <c r="T61" s="9" t="n">
        <f aca="false">'Central SIPA income'!J56</f>
        <v>75078154.7651875</v>
      </c>
      <c r="U61" s="9"/>
      <c r="V61" s="67" t="n">
        <f aca="false">'Central SIPA income'!F56</f>
        <v>130489.437665512</v>
      </c>
      <c r="W61" s="67"/>
      <c r="X61" s="67" t="n">
        <f aca="false">'Central SIPA income'!M56</f>
        <v>327751.846266972</v>
      </c>
      <c r="Y61" s="9"/>
      <c r="Z61" s="9" t="n">
        <f aca="false">R61+V61-N61-L61-F61</f>
        <v>-5904512.60625151</v>
      </c>
      <c r="AA61" s="9"/>
      <c r="AB61" s="9" t="n">
        <f aca="false">T61-P61-D61</f>
        <v>-65176423.7119802</v>
      </c>
      <c r="AC61" s="50"/>
      <c r="AD61" s="9"/>
      <c r="AE61" s="9"/>
      <c r="AF61" s="9"/>
      <c r="AG61" s="9" t="n">
        <f aca="false">BF61/100*$AG$53</f>
        <v>5891744840.72913</v>
      </c>
      <c r="AH61" s="39" t="n">
        <f aca="false">(AG61-AG60)/AG60</f>
        <v>0.0051857989121478</v>
      </c>
      <c r="AI61" s="39" t="n">
        <f aca="false">(AG61-AG57)/AG57</f>
        <v>0.0259178316421035</v>
      </c>
      <c r="AJ61" s="39" t="n">
        <f aca="false">AB61/AG61</f>
        <v>-0.0110623296619061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12701843</v>
      </c>
      <c r="AY61" s="39" t="n">
        <f aca="false">(AW61-AW60)/AW60</f>
        <v>0.00231524900802943</v>
      </c>
      <c r="AZ61" s="38" t="n">
        <f aca="false">workers_and_wage_central!B49</f>
        <v>6737.11771452782</v>
      </c>
      <c r="BA61" s="39" t="n">
        <f aca="false">(AZ61-AZ60)/AZ60</f>
        <v>0.00286391921799009</v>
      </c>
      <c r="BB61" s="7"/>
      <c r="BC61" s="7"/>
      <c r="BD61" s="7"/>
      <c r="BE61" s="7"/>
      <c r="BF61" s="7" t="n">
        <f aca="false">BF60*(1+AY61)*(1+BA61)*(1-BE61)</f>
        <v>107.189565833374</v>
      </c>
      <c r="BG61" s="73" t="e">
        <f aca="false">(BB61-BB57)/BB57</f>
        <v>#DIV/0!</v>
      </c>
      <c r="BH61" s="0" t="n">
        <f aca="false">BH60+1</f>
        <v>30</v>
      </c>
      <c r="BI61" s="39" t="n">
        <f aca="false">T68/AG68</f>
        <v>0.0109924515997437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119277993.033675</v>
      </c>
      <c r="E62" s="6"/>
      <c r="F62" s="8" t="n">
        <f aca="false">'Central pensions'!I62</f>
        <v>21680187.154313</v>
      </c>
      <c r="G62" s="6" t="n">
        <f aca="false">'Central pensions'!K62</f>
        <v>1333324.37590872</v>
      </c>
      <c r="H62" s="6" t="n">
        <f aca="false">'Central pensions'!V62</f>
        <v>7335557.32195931</v>
      </c>
      <c r="I62" s="8" t="n">
        <f aca="false">'Central pensions'!M62</f>
        <v>41236.83636831</v>
      </c>
      <c r="J62" s="6" t="n">
        <f aca="false">'Central pensions'!W62</f>
        <v>226872.906864716</v>
      </c>
      <c r="K62" s="6"/>
      <c r="L62" s="8" t="n">
        <f aca="false">'Central pensions'!N62</f>
        <v>3833139.90776968</v>
      </c>
      <c r="M62" s="8"/>
      <c r="N62" s="8" t="n">
        <f aca="false">'Central pensions'!L62</f>
        <v>966168.457704794</v>
      </c>
      <c r="O62" s="6"/>
      <c r="P62" s="6" t="n">
        <f aca="false">'Central pensions'!X62</f>
        <v>25205754.9919079</v>
      </c>
      <c r="Q62" s="8"/>
      <c r="R62" s="8" t="n">
        <f aca="false">'Central SIPA income'!G57</f>
        <v>16586963.8248675</v>
      </c>
      <c r="S62" s="8"/>
      <c r="T62" s="6" t="n">
        <f aca="false">'Central SIPA income'!J57</f>
        <v>63421693.8047336</v>
      </c>
      <c r="U62" s="6"/>
      <c r="V62" s="8" t="n">
        <f aca="false">'Central SIPA income'!F57</f>
        <v>136625.511097653</v>
      </c>
      <c r="W62" s="8"/>
      <c r="X62" s="8" t="n">
        <f aca="false">'Central SIPA income'!M57</f>
        <v>343163.893649451</v>
      </c>
      <c r="Y62" s="6"/>
      <c r="Z62" s="6" t="n">
        <f aca="false">R62+V62-N62-L62-F62</f>
        <v>-9755906.18382226</v>
      </c>
      <c r="AA62" s="6"/>
      <c r="AB62" s="6" t="n">
        <f aca="false">T62-P62-D62</f>
        <v>-81062054.2208489</v>
      </c>
      <c r="AC62" s="50"/>
      <c r="AD62" s="6"/>
      <c r="AE62" s="6"/>
      <c r="AF62" s="6"/>
      <c r="AG62" s="6" t="n">
        <f aca="false">BF62/100*$AG$53</f>
        <v>5895713585.85929</v>
      </c>
      <c r="AH62" s="61" t="n">
        <f aca="false">(AG62-AG61)/AG61</f>
        <v>0.000673611169093014</v>
      </c>
      <c r="AI62" s="61"/>
      <c r="AJ62" s="61" t="n">
        <f aca="false">AB62/AG62</f>
        <v>-0.0137493202545107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0.00662513077026981</v>
      </c>
      <c r="AV62" s="5"/>
      <c r="AW62" s="65" t="n">
        <f aca="false">workers_and_wage_central!C50</f>
        <v>12710878</v>
      </c>
      <c r="AX62" s="5"/>
      <c r="AY62" s="61" t="n">
        <f aca="false">(AW62-AW61)/AW61</f>
        <v>0.000711314098276919</v>
      </c>
      <c r="AZ62" s="66" t="n">
        <f aca="false">workers_and_wage_central!B50</f>
        <v>6736.86388600753</v>
      </c>
      <c r="BA62" s="61" t="n">
        <f aca="false">(AZ62-AZ61)/AZ61</f>
        <v>-3.76761296218143E-005</v>
      </c>
      <c r="BB62" s="5"/>
      <c r="BC62" s="5"/>
      <c r="BD62" s="5"/>
      <c r="BE62" s="5"/>
      <c r="BF62" s="5" t="n">
        <f aca="false">BF61*(1+AY62)*(1+BA62)*(1-BE62)</f>
        <v>107.26176992213</v>
      </c>
      <c r="BG62" s="5"/>
      <c r="BH62" s="5" t="n">
        <f aca="false">BH61+1</f>
        <v>31</v>
      </c>
      <c r="BI62" s="61" t="n">
        <f aca="false">T69/AG69</f>
        <v>0.0129277787208735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119483111.42324</v>
      </c>
      <c r="E63" s="9"/>
      <c r="F63" s="67" t="n">
        <f aca="false">'Central pensions'!I63</f>
        <v>21717469.849649</v>
      </c>
      <c r="G63" s="9" t="n">
        <f aca="false">'Central pensions'!K63</f>
        <v>1379086.90711866</v>
      </c>
      <c r="H63" s="9" t="n">
        <f aca="false">'Central pensions'!V63</f>
        <v>7587329.26654682</v>
      </c>
      <c r="I63" s="67" t="n">
        <f aca="false">'Central pensions'!M63</f>
        <v>42652.1723851101</v>
      </c>
      <c r="J63" s="9" t="n">
        <f aca="false">'Central pensions'!W63</f>
        <v>234659.668037513</v>
      </c>
      <c r="K63" s="9"/>
      <c r="L63" s="67" t="n">
        <f aca="false">'Central pensions'!N63</f>
        <v>3133790.78739828</v>
      </c>
      <c r="M63" s="67"/>
      <c r="N63" s="67" t="n">
        <f aca="false">'Central pensions'!L63</f>
        <v>968276.720894989</v>
      </c>
      <c r="O63" s="9"/>
      <c r="P63" s="9" t="n">
        <f aca="false">'Central pensions'!X63</f>
        <v>21588428.1237691</v>
      </c>
      <c r="Q63" s="67"/>
      <c r="R63" s="67" t="n">
        <f aca="false">'Central SIPA income'!G58</f>
        <v>19600632.8580402</v>
      </c>
      <c r="S63" s="67"/>
      <c r="T63" s="9" t="n">
        <f aca="false">'Central SIPA income'!J58</f>
        <v>74944718.5528874</v>
      </c>
      <c r="U63" s="9"/>
      <c r="V63" s="67" t="n">
        <f aca="false">'Central SIPA income'!F58</f>
        <v>135150.64469706</v>
      </c>
      <c r="W63" s="67"/>
      <c r="X63" s="67" t="n">
        <f aca="false">'Central SIPA income'!M58</f>
        <v>339459.454466943</v>
      </c>
      <c r="Y63" s="9"/>
      <c r="Z63" s="9" t="n">
        <f aca="false">R63+V63-N63-L63-F63</f>
        <v>-6083753.85520509</v>
      </c>
      <c r="AA63" s="9"/>
      <c r="AB63" s="9" t="n">
        <f aca="false">T63-P63-D63</f>
        <v>-66126820.9941217</v>
      </c>
      <c r="AC63" s="50"/>
      <c r="AD63" s="9"/>
      <c r="AE63" s="9"/>
      <c r="AF63" s="9"/>
      <c r="AG63" s="9" t="n">
        <f aca="false">BF63/100*$AG$53</f>
        <v>5932111825.19869</v>
      </c>
      <c r="AH63" s="39" t="n">
        <f aca="false">(AG63-AG62)/AG62</f>
        <v>0.00617367835281155</v>
      </c>
      <c r="AI63" s="39"/>
      <c r="AJ63" s="39" t="n">
        <f aca="false">AB63/AG63</f>
        <v>-0.0111472647419129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12716996</v>
      </c>
      <c r="AX63" s="7"/>
      <c r="AY63" s="39" t="n">
        <f aca="false">(AW63-AW62)/AW62</f>
        <v>0.000481320015816374</v>
      </c>
      <c r="AZ63" s="38" t="n">
        <f aca="false">workers_and_wage_central!B51</f>
        <v>6775.19408022456</v>
      </c>
      <c r="BA63" s="39" t="n">
        <f aca="false">(AZ63-AZ62)/AZ62</f>
        <v>0.0056896198090987</v>
      </c>
      <c r="BB63" s="7"/>
      <c r="BC63" s="7"/>
      <c r="BD63" s="7"/>
      <c r="BE63" s="7"/>
      <c r="BF63" s="7" t="n">
        <f aca="false">BF62*(1+AY63)*(1+BA63)*(1-BE63)</f>
        <v>107.923969589182</v>
      </c>
      <c r="BG63" s="7"/>
      <c r="BH63" s="7" t="n">
        <f aca="false">BH62+1</f>
        <v>32</v>
      </c>
      <c r="BI63" s="39" t="n">
        <f aca="false">T70/AG70</f>
        <v>0.0109689567321885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119167668.384037</v>
      </c>
      <c r="E64" s="9"/>
      <c r="F64" s="67" t="n">
        <f aca="false">'Central pensions'!I64</f>
        <v>21660134.3433037</v>
      </c>
      <c r="G64" s="9" t="n">
        <f aca="false">'Central pensions'!K64</f>
        <v>1453289.2639572</v>
      </c>
      <c r="H64" s="9" t="n">
        <f aca="false">'Central pensions'!V64</f>
        <v>7995568.74063775</v>
      </c>
      <c r="I64" s="67" t="n">
        <f aca="false">'Central pensions'!M64</f>
        <v>44947.0906378499</v>
      </c>
      <c r="J64" s="9" t="n">
        <f aca="false">'Central pensions'!W64</f>
        <v>247285.631153736</v>
      </c>
      <c r="K64" s="9"/>
      <c r="L64" s="67" t="n">
        <f aca="false">'Central pensions'!N64</f>
        <v>3070091.61313633</v>
      </c>
      <c r="M64" s="67"/>
      <c r="N64" s="67" t="n">
        <f aca="false">'Central pensions'!L64</f>
        <v>966972.575309046</v>
      </c>
      <c r="O64" s="9"/>
      <c r="P64" s="9" t="n">
        <f aca="false">'Central pensions'!X64</f>
        <v>21250717.781482</v>
      </c>
      <c r="Q64" s="67"/>
      <c r="R64" s="67" t="n">
        <f aca="false">'Central SIPA income'!G59</f>
        <v>17105399.0952075</v>
      </c>
      <c r="S64" s="67"/>
      <c r="T64" s="9" t="n">
        <f aca="false">'Central SIPA income'!J59</f>
        <v>65403975.9945447</v>
      </c>
      <c r="U64" s="9"/>
      <c r="V64" s="67" t="n">
        <f aca="false">'Central SIPA income'!F59</f>
        <v>132749.365772418</v>
      </c>
      <c r="W64" s="67"/>
      <c r="X64" s="67" t="n">
        <f aca="false">'Central SIPA income'!M59</f>
        <v>333428.134116167</v>
      </c>
      <c r="Y64" s="9"/>
      <c r="Z64" s="9" t="n">
        <f aca="false">R64+V64-N64-L64-F64</f>
        <v>-8459050.07076915</v>
      </c>
      <c r="AA64" s="9"/>
      <c r="AB64" s="9" t="n">
        <f aca="false">T64-P64-D64</f>
        <v>-75014410.1709746</v>
      </c>
      <c r="AC64" s="50"/>
      <c r="AD64" s="9"/>
      <c r="AE64" s="9"/>
      <c r="AF64" s="9"/>
      <c r="AG64" s="9" t="n">
        <f aca="false">BF64/100*$AG$53</f>
        <v>6009785378.09791</v>
      </c>
      <c r="AH64" s="39" t="n">
        <f aca="false">(AG64-AG63)/AG63</f>
        <v>0.0130937438787447</v>
      </c>
      <c r="AI64" s="39"/>
      <c r="AJ64" s="39" t="n">
        <f aca="false">AB64/AG64</f>
        <v>-0.0124820447739045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12748495</v>
      </c>
      <c r="AY64" s="39" t="n">
        <f aca="false">(AW64-AW63)/AW63</f>
        <v>0.00247692143647761</v>
      </c>
      <c r="AZ64" s="38" t="n">
        <f aca="false">workers_and_wage_central!B52</f>
        <v>6846.94738548626</v>
      </c>
      <c r="BA64" s="39" t="n">
        <f aca="false">(AZ64-AZ63)/AZ63</f>
        <v>0.0105905903819248</v>
      </c>
      <c r="BB64" s="7"/>
      <c r="BC64" s="7"/>
      <c r="BD64" s="7"/>
      <c r="BE64" s="7"/>
      <c r="BF64" s="7" t="n">
        <f aca="false">BF63*(1+AY64)*(1+BA64)*(1-BE64)</f>
        <v>109.33709840536</v>
      </c>
      <c r="BG64" s="7"/>
      <c r="BH64" s="0" t="n">
        <f aca="false">BH63+1</f>
        <v>33</v>
      </c>
      <c r="BI64" s="39" t="n">
        <f aca="false">T71/AG71</f>
        <v>0.0129534564565335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119796934.281104</v>
      </c>
      <c r="E65" s="9"/>
      <c r="F65" s="67" t="n">
        <f aca="false">'Central pensions'!I65</f>
        <v>21774510.8688576</v>
      </c>
      <c r="G65" s="9" t="n">
        <f aca="false">'Central pensions'!K65</f>
        <v>1514636.52005555</v>
      </c>
      <c r="H65" s="9" t="n">
        <f aca="false">'Central pensions'!V65</f>
        <v>8333083.24332406</v>
      </c>
      <c r="I65" s="67" t="n">
        <f aca="false">'Central pensions'!M65</f>
        <v>46844.4284553302</v>
      </c>
      <c r="J65" s="9" t="n">
        <f aca="false">'Central pensions'!W65</f>
        <v>257724.224020353</v>
      </c>
      <c r="K65" s="9"/>
      <c r="L65" s="67" t="n">
        <f aca="false">'Central pensions'!N65</f>
        <v>3051539.20765918</v>
      </c>
      <c r="M65" s="67"/>
      <c r="N65" s="67" t="n">
        <f aca="false">'Central pensions'!L65</f>
        <v>973588.71763397</v>
      </c>
      <c r="O65" s="9"/>
      <c r="P65" s="9" t="n">
        <f aca="false">'Central pensions'!X65</f>
        <v>21190849.3242608</v>
      </c>
      <c r="Q65" s="67"/>
      <c r="R65" s="67" t="n">
        <f aca="false">'Central SIPA income'!G60</f>
        <v>20238146.256041</v>
      </c>
      <c r="S65" s="67"/>
      <c r="T65" s="9" t="n">
        <f aca="false">'Central SIPA income'!J60</f>
        <v>77382306.2845136</v>
      </c>
      <c r="U65" s="9"/>
      <c r="V65" s="67" t="n">
        <f aca="false">'Central SIPA income'!F60</f>
        <v>133764.342462863</v>
      </c>
      <c r="W65" s="67"/>
      <c r="X65" s="67" t="n">
        <f aca="false">'Central SIPA income'!M60</f>
        <v>335977.462936665</v>
      </c>
      <c r="Y65" s="9"/>
      <c r="Z65" s="9" t="n">
        <f aca="false">R65+V65-N65-L65-F65</f>
        <v>-5427728.19564694</v>
      </c>
      <c r="AA65" s="9"/>
      <c r="AB65" s="9" t="n">
        <f aca="false">T65-P65-D65</f>
        <v>-63605477.3208515</v>
      </c>
      <c r="AC65" s="50"/>
      <c r="AD65" s="9"/>
      <c r="AE65" s="9"/>
      <c r="AF65" s="9"/>
      <c r="AG65" s="9" t="n">
        <f aca="false">BF65/100*$AG$53</f>
        <v>6049206503.26715</v>
      </c>
      <c r="AH65" s="39" t="n">
        <f aca="false">(AG65-AG64)/AG64</f>
        <v>0.00655948968043</v>
      </c>
      <c r="AI65" s="39" t="n">
        <f aca="false">(AG65-AG61)/AG61</f>
        <v>0.0267258115880198</v>
      </c>
      <c r="AJ65" s="39" t="n">
        <f aca="false">AB65/AG65</f>
        <v>-0.0105146811051166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12831171</v>
      </c>
      <c r="AY65" s="39" t="n">
        <f aca="false">(AW65-AW64)/AW64</f>
        <v>0.00648515765978651</v>
      </c>
      <c r="AZ65" s="38" t="n">
        <f aca="false">workers_and_wage_central!B53</f>
        <v>6847.45305358333</v>
      </c>
      <c r="BA65" s="39" t="n">
        <f aca="false">(AZ65-AZ64)/AZ64</f>
        <v>7.38530718290666E-005</v>
      </c>
      <c r="BB65" s="7"/>
      <c r="BC65" s="7"/>
      <c r="BD65" s="7"/>
      <c r="BE65" s="7"/>
      <c r="BF65" s="7" t="n">
        <f aca="false">BF64*(1+AY65)*(1+BA65)*(1-BE65)</f>
        <v>110.054293974038</v>
      </c>
      <c r="BG65" s="73" t="e">
        <f aca="false">(BB65-BB61)/BB61</f>
        <v>#DIV/0!</v>
      </c>
      <c r="BH65" s="0" t="n">
        <f aca="false">BH64+1</f>
        <v>34</v>
      </c>
      <c r="BI65" s="39" t="n">
        <f aca="false">T72/AG72</f>
        <v>0.0110957568604139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120742704.503802</v>
      </c>
      <c r="E66" s="6"/>
      <c r="F66" s="8" t="n">
        <f aca="false">'Central pensions'!I66</f>
        <v>21946415.8021279</v>
      </c>
      <c r="G66" s="6" t="n">
        <f aca="false">'Central pensions'!K66</f>
        <v>1578225.85252659</v>
      </c>
      <c r="H66" s="6" t="n">
        <f aca="false">'Central pensions'!V66</f>
        <v>8682932.98869343</v>
      </c>
      <c r="I66" s="8" t="n">
        <f aca="false">'Central pensions'!M66</f>
        <v>48811.1088410199</v>
      </c>
      <c r="J66" s="6" t="n">
        <f aca="false">'Central pensions'!W66</f>
        <v>268544.319237894</v>
      </c>
      <c r="K66" s="6"/>
      <c r="L66" s="8" t="n">
        <f aca="false">'Central pensions'!N66</f>
        <v>3706697.79454412</v>
      </c>
      <c r="M66" s="8"/>
      <c r="N66" s="8" t="n">
        <f aca="false">'Central pensions'!L66</f>
        <v>982879.814243279</v>
      </c>
      <c r="O66" s="6"/>
      <c r="P66" s="6" t="n">
        <f aca="false">'Central pensions'!X66</f>
        <v>24641587.2183274</v>
      </c>
      <c r="Q66" s="8"/>
      <c r="R66" s="8" t="n">
        <f aca="false">'Central SIPA income'!G61</f>
        <v>17362448.5722776</v>
      </c>
      <c r="S66" s="8"/>
      <c r="T66" s="6" t="n">
        <f aca="false">'Central SIPA income'!J61</f>
        <v>66386826.9490373</v>
      </c>
      <c r="U66" s="6"/>
      <c r="V66" s="8" t="n">
        <f aca="false">'Central SIPA income'!F61</f>
        <v>135595.80170202</v>
      </c>
      <c r="W66" s="8"/>
      <c r="X66" s="8" t="n">
        <f aca="false">'Central SIPA income'!M61</f>
        <v>340577.560521077</v>
      </c>
      <c r="Y66" s="6"/>
      <c r="Z66" s="6" t="n">
        <f aca="false">R66+V66-N66-L66-F66</f>
        <v>-9137949.0369357</v>
      </c>
      <c r="AA66" s="6"/>
      <c r="AB66" s="6" t="n">
        <f aca="false">T66-P66-D66</f>
        <v>-78997464.7730922</v>
      </c>
      <c r="AC66" s="50"/>
      <c r="AD66" s="6"/>
      <c r="AE66" s="6"/>
      <c r="AF66" s="6"/>
      <c r="AG66" s="6" t="n">
        <f aca="false">BF66/100*$AG$53</f>
        <v>6105584068.18591</v>
      </c>
      <c r="AH66" s="61" t="n">
        <f aca="false">(AG66-AG65)/AG65</f>
        <v>0.00931982812759179</v>
      </c>
      <c r="AI66" s="61"/>
      <c r="AJ66" s="61" t="n">
        <f aca="false">AB66/AG66</f>
        <v>-0.0129385598316008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0.00639720182170399</v>
      </c>
      <c r="AV66" s="5"/>
      <c r="AW66" s="65" t="n">
        <f aca="false">workers_and_wage_central!C54</f>
        <v>12863618</v>
      </c>
      <c r="AX66" s="5"/>
      <c r="AY66" s="61" t="n">
        <f aca="false">(AW66-AW65)/AW65</f>
        <v>0.00252876374260775</v>
      </c>
      <c r="AZ66" s="66" t="n">
        <f aca="false">workers_and_wage_central!B54</f>
        <v>6893.83725346049</v>
      </c>
      <c r="BA66" s="61" t="n">
        <f aca="false">(AZ66-AZ65)/AZ65</f>
        <v>0.00677393470450831</v>
      </c>
      <c r="BB66" s="5"/>
      <c r="BC66" s="5"/>
      <c r="BD66" s="5"/>
      <c r="BE66" s="5"/>
      <c r="BF66" s="5" t="n">
        <f aca="false">BF65*(1+AY66)*(1+BA66)*(1-BE66)</f>
        <v>111.07998107858</v>
      </c>
      <c r="BG66" s="5"/>
      <c r="BH66" s="5" t="n">
        <f aca="false">BH65+1</f>
        <v>35</v>
      </c>
      <c r="BI66" s="61" t="n">
        <f aca="false">T73/AG73</f>
        <v>0.0130297811370201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121192440.602985</v>
      </c>
      <c r="E67" s="9"/>
      <c r="F67" s="67" t="n">
        <f aca="false">'Central pensions'!I67</f>
        <v>22028160.6617819</v>
      </c>
      <c r="G67" s="9" t="n">
        <f aca="false">'Central pensions'!K67</f>
        <v>1651030.51875284</v>
      </c>
      <c r="H67" s="9" t="n">
        <f aca="false">'Central pensions'!V67</f>
        <v>9083482.78142094</v>
      </c>
      <c r="I67" s="67" t="n">
        <f aca="false">'Central pensions'!M67</f>
        <v>51062.7995490499</v>
      </c>
      <c r="J67" s="9" t="n">
        <f aca="false">'Central pensions'!W67</f>
        <v>280932.45715731</v>
      </c>
      <c r="K67" s="9"/>
      <c r="L67" s="67" t="n">
        <f aca="false">'Central pensions'!N67</f>
        <v>3120322.10303429</v>
      </c>
      <c r="M67" s="67"/>
      <c r="N67" s="67" t="n">
        <f aca="false">'Central pensions'!L67</f>
        <v>989100.792829849</v>
      </c>
      <c r="O67" s="9"/>
      <c r="P67" s="9" t="n">
        <f aca="false">'Central pensions'!X67</f>
        <v>21633106.956268</v>
      </c>
      <c r="Q67" s="67"/>
      <c r="R67" s="67" t="n">
        <f aca="false">'Central SIPA income'!G62</f>
        <v>20344323.626948</v>
      </c>
      <c r="S67" s="67"/>
      <c r="T67" s="9" t="n">
        <f aca="false">'Central SIPA income'!J62</f>
        <v>77788284.66475</v>
      </c>
      <c r="U67" s="9"/>
      <c r="V67" s="67" t="n">
        <f aca="false">'Central SIPA income'!F62</f>
        <v>136406.467185216</v>
      </c>
      <c r="W67" s="67"/>
      <c r="X67" s="67" t="n">
        <f aca="false">'Central SIPA income'!M62</f>
        <v>342613.718493521</v>
      </c>
      <c r="Y67" s="9"/>
      <c r="Z67" s="9" t="n">
        <f aca="false">R67+V67-N67-L67-F67</f>
        <v>-5656853.46351274</v>
      </c>
      <c r="AA67" s="9"/>
      <c r="AB67" s="9" t="n">
        <f aca="false">T67-P67-D67</f>
        <v>-65037262.8945033</v>
      </c>
      <c r="AC67" s="50"/>
      <c r="AD67" s="9"/>
      <c r="AE67" s="9"/>
      <c r="AF67" s="9"/>
      <c r="AG67" s="9" t="n">
        <f aca="false">BF67/100*$AG$53</f>
        <v>6107034212.28912</v>
      </c>
      <c r="AH67" s="39" t="n">
        <f aca="false">(AG67-AG66)/AG66</f>
        <v>0.000237511118840801</v>
      </c>
      <c r="AI67" s="39"/>
      <c r="AJ67" s="39" t="n">
        <f aca="false">AB67/AG67</f>
        <v>-0.0106495658340393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12899106</v>
      </c>
      <c r="AX67" s="7"/>
      <c r="AY67" s="39" t="n">
        <f aca="false">(AW67-AW66)/AW66</f>
        <v>0.00275878839063784</v>
      </c>
      <c r="AZ67" s="38" t="n">
        <f aca="false">workers_and_wage_central!B55</f>
        <v>6876.50379761463</v>
      </c>
      <c r="BA67" s="39" t="n">
        <f aca="false">(AZ67-AZ66)/AZ66</f>
        <v>-0.00251434073775954</v>
      </c>
      <c r="BB67" s="7"/>
      <c r="BC67" s="7"/>
      <c r="BD67" s="7"/>
      <c r="BE67" s="7"/>
      <c r="BF67" s="7" t="n">
        <f aca="false">BF66*(1+AY67)*(1+BA67)*(1-BE67)</f>
        <v>111.106363809167</v>
      </c>
      <c r="BG67" s="7"/>
      <c r="BH67" s="7" t="n">
        <f aca="false">BH66+1</f>
        <v>36</v>
      </c>
      <c r="BI67" s="39" t="n">
        <f aca="false">T74/AG74</f>
        <v>0.0110939873724852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121687344.065686</v>
      </c>
      <c r="E68" s="9"/>
      <c r="F68" s="67" t="n">
        <f aca="false">'Central pensions'!I68</f>
        <v>22118115.2244114</v>
      </c>
      <c r="G68" s="9" t="n">
        <f aca="false">'Central pensions'!K68</f>
        <v>1676612.00324158</v>
      </c>
      <c r="H68" s="9" t="n">
        <f aca="false">'Central pensions'!V68</f>
        <v>9224224.56131982</v>
      </c>
      <c r="I68" s="67" t="n">
        <f aca="false">'Central pensions'!M68</f>
        <v>51853.9794816901</v>
      </c>
      <c r="J68" s="9" t="n">
        <f aca="false">'Central pensions'!W68</f>
        <v>285285.295710877</v>
      </c>
      <c r="K68" s="9"/>
      <c r="L68" s="67" t="n">
        <f aca="false">'Central pensions'!N68</f>
        <v>3086442.27252898</v>
      </c>
      <c r="M68" s="67"/>
      <c r="N68" s="67" t="n">
        <f aca="false">'Central pensions'!L68</f>
        <v>995567.681356508</v>
      </c>
      <c r="O68" s="9"/>
      <c r="P68" s="9" t="n">
        <f aca="false">'Central pensions'!X68</f>
        <v>21492883.2673511</v>
      </c>
      <c r="Q68" s="67"/>
      <c r="R68" s="67" t="n">
        <f aca="false">'Central SIPA income'!G63</f>
        <v>17722626.3120376</v>
      </c>
      <c r="S68" s="67"/>
      <c r="T68" s="9" t="n">
        <f aca="false">'Central SIPA income'!J63</f>
        <v>67763997.7542265</v>
      </c>
      <c r="U68" s="9"/>
      <c r="V68" s="67" t="n">
        <f aca="false">'Central SIPA income'!F63</f>
        <v>135499.167499636</v>
      </c>
      <c r="W68" s="67"/>
      <c r="X68" s="67" t="n">
        <f aca="false">'Central SIPA income'!M63</f>
        <v>340334.843265102</v>
      </c>
      <c r="Y68" s="9"/>
      <c r="Z68" s="9" t="n">
        <f aca="false">R68+V68-N68-L68-F68</f>
        <v>-8341999.69875972</v>
      </c>
      <c r="AA68" s="9"/>
      <c r="AB68" s="9" t="n">
        <f aca="false">T68-P68-D68</f>
        <v>-75416229.5788109</v>
      </c>
      <c r="AC68" s="50"/>
      <c r="AD68" s="9"/>
      <c r="AE68" s="9"/>
      <c r="AF68" s="9"/>
      <c r="AG68" s="9" t="n">
        <f aca="false">BF68/100*$AG$53</f>
        <v>6164593688.6187</v>
      </c>
      <c r="AH68" s="39" t="n">
        <f aca="false">(AG68-AG67)/AG67</f>
        <v>0.00942511116341089</v>
      </c>
      <c r="AI68" s="39"/>
      <c r="AJ68" s="39" t="n">
        <f aca="false">AB68/AG68</f>
        <v>-0.0122337713380928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12954467</v>
      </c>
      <c r="AY68" s="39" t="n">
        <f aca="false">(AW68-AW67)/AW67</f>
        <v>0.00429184782263205</v>
      </c>
      <c r="AZ68" s="38" t="n">
        <f aca="false">workers_and_wage_central!B56</f>
        <v>6911.65185236938</v>
      </c>
      <c r="BA68" s="39" t="n">
        <f aca="false">(AZ68-AZ67)/AZ67</f>
        <v>0.00511132630610095</v>
      </c>
      <c r="BB68" s="7"/>
      <c r="BC68" s="7"/>
      <c r="BD68" s="7"/>
      <c r="BE68" s="7"/>
      <c r="BF68" s="7" t="n">
        <f aca="false">BF67*(1+AY68)*(1+BA68)*(1-BE68)</f>
        <v>112.153553639031</v>
      </c>
      <c r="BG68" s="7"/>
      <c r="BH68" s="0" t="n">
        <f aca="false">BH67+1</f>
        <v>37</v>
      </c>
      <c r="BI68" s="39" t="n">
        <f aca="false">T75/AG75</f>
        <v>0.013036000197328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121454504.453133</v>
      </c>
      <c r="E69" s="9"/>
      <c r="F69" s="67" t="n">
        <f aca="false">'Central pensions'!I69</f>
        <v>22075793.8686549</v>
      </c>
      <c r="G69" s="9" t="n">
        <f aca="false">'Central pensions'!K69</f>
        <v>1775574.7705224</v>
      </c>
      <c r="H69" s="9" t="n">
        <f aca="false">'Central pensions'!V69</f>
        <v>9768688.50816202</v>
      </c>
      <c r="I69" s="67" t="n">
        <f aca="false">'Central pensions'!M69</f>
        <v>54914.6836244001</v>
      </c>
      <c r="J69" s="9" t="n">
        <f aca="false">'Central pensions'!W69</f>
        <v>302124.386850349</v>
      </c>
      <c r="K69" s="9"/>
      <c r="L69" s="67" t="n">
        <f aca="false">'Central pensions'!N69</f>
        <v>3093845.77697919</v>
      </c>
      <c r="M69" s="67"/>
      <c r="N69" s="67" t="n">
        <f aca="false">'Central pensions'!L69</f>
        <v>996128.095147204</v>
      </c>
      <c r="O69" s="9"/>
      <c r="P69" s="9" t="n">
        <f aca="false">'Central pensions'!X69</f>
        <v>21534383.3184656</v>
      </c>
      <c r="Q69" s="67"/>
      <c r="R69" s="67" t="n">
        <f aca="false">'Central SIPA income'!G64</f>
        <v>20980561.0091141</v>
      </c>
      <c r="S69" s="67"/>
      <c r="T69" s="9" t="n">
        <f aca="false">'Central SIPA income'!J64</f>
        <v>80220993.4392372</v>
      </c>
      <c r="U69" s="9"/>
      <c r="V69" s="67" t="n">
        <f aca="false">'Central SIPA income'!F64</f>
        <v>135202.487123348</v>
      </c>
      <c r="W69" s="67"/>
      <c r="X69" s="67" t="n">
        <f aca="false">'Central SIPA income'!M64</f>
        <v>339589.667695193</v>
      </c>
      <c r="Y69" s="9"/>
      <c r="Z69" s="9" t="n">
        <f aca="false">R69+V69-N69-L69-F69</f>
        <v>-5050004.24454389</v>
      </c>
      <c r="AA69" s="9"/>
      <c r="AB69" s="9" t="n">
        <f aca="false">T69-P69-D69</f>
        <v>-62767894.332361</v>
      </c>
      <c r="AC69" s="50"/>
      <c r="AD69" s="9"/>
      <c r="AE69" s="9"/>
      <c r="AF69" s="9"/>
      <c r="AG69" s="9" t="n">
        <f aca="false">BF69/100*$AG$53</f>
        <v>6205319194.52724</v>
      </c>
      <c r="AH69" s="39" t="n">
        <f aca="false">(AG69-AG68)/AG68</f>
        <v>0.0066063568769725</v>
      </c>
      <c r="AI69" s="39" t="n">
        <f aca="false">(AG69-AG65)/AG65</f>
        <v>0.025807135394664</v>
      </c>
      <c r="AJ69" s="39" t="n">
        <f aca="false">AB69/AG69</f>
        <v>-0.0101151757652884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12918458</v>
      </c>
      <c r="AY69" s="39" t="n">
        <f aca="false">(AW69-AW68)/AW68</f>
        <v>-0.00277965893926782</v>
      </c>
      <c r="AZ69" s="38" t="n">
        <f aca="false">workers_and_wage_central!B57</f>
        <v>6976.70555307276</v>
      </c>
      <c r="BA69" s="39" t="n">
        <f aca="false">(AZ69-AZ68)/AZ68</f>
        <v>0.00941217846224111</v>
      </c>
      <c r="BB69" s="7"/>
      <c r="BC69" s="7"/>
      <c r="BD69" s="7"/>
      <c r="BE69" s="7"/>
      <c r="BF69" s="7" t="n">
        <f aca="false">BF68*(1+AY69)*(1+BA69)*(1-BE69)</f>
        <v>112.894480039391</v>
      </c>
      <c r="BG69" s="73" t="e">
        <f aca="false">(BB69-BB65)/BB65</f>
        <v>#DIV/0!</v>
      </c>
      <c r="BH69" s="0" t="n">
        <f aca="false">BH68+1</f>
        <v>38</v>
      </c>
      <c r="BI69" s="39" t="n">
        <f aca="false">T76/AG76</f>
        <v>0.0112228764828253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121763848.096725</v>
      </c>
      <c r="E70" s="6"/>
      <c r="F70" s="8" t="n">
        <f aca="false">'Central pensions'!I70</f>
        <v>22132020.7376481</v>
      </c>
      <c r="G70" s="6" t="n">
        <f aca="false">'Central pensions'!K70</f>
        <v>1877853.75401842</v>
      </c>
      <c r="H70" s="6" t="n">
        <f aca="false">'Central pensions'!V70</f>
        <v>10331397.2981783</v>
      </c>
      <c r="I70" s="8" t="n">
        <f aca="false">'Central pensions'!M70</f>
        <v>58077.9511552101</v>
      </c>
      <c r="J70" s="6" t="n">
        <f aca="false">'Central pensions'!W70</f>
        <v>319527.751490057</v>
      </c>
      <c r="K70" s="6"/>
      <c r="L70" s="8" t="n">
        <f aca="false">'Central pensions'!N70</f>
        <v>3718617.66474102</v>
      </c>
      <c r="M70" s="8"/>
      <c r="N70" s="8" t="n">
        <f aca="false">'Central pensions'!L70</f>
        <v>1000648.76808679</v>
      </c>
      <c r="O70" s="6"/>
      <c r="P70" s="6" t="n">
        <f aca="false">'Central pensions'!X70</f>
        <v>24801199.0228018</v>
      </c>
      <c r="Q70" s="8"/>
      <c r="R70" s="8" t="n">
        <f aca="false">'Central SIPA income'!G65</f>
        <v>17871839.9875565</v>
      </c>
      <c r="S70" s="8"/>
      <c r="T70" s="6" t="n">
        <f aca="false">'Central SIPA income'!J65</f>
        <v>68334529.175176</v>
      </c>
      <c r="U70" s="6"/>
      <c r="V70" s="8" t="n">
        <f aca="false">'Central SIPA income'!F65</f>
        <v>136177.824869181</v>
      </c>
      <c r="W70" s="8"/>
      <c r="X70" s="8" t="n">
        <f aca="false">'Central SIPA income'!M65</f>
        <v>342039.43491505</v>
      </c>
      <c r="Y70" s="6"/>
      <c r="Z70" s="6" t="n">
        <f aca="false">R70+V70-N70-L70-F70</f>
        <v>-8843269.35805023</v>
      </c>
      <c r="AA70" s="6"/>
      <c r="AB70" s="6" t="n">
        <f aca="false">T70-P70-D70</f>
        <v>-78230517.9443505</v>
      </c>
      <c r="AC70" s="50"/>
      <c r="AD70" s="6"/>
      <c r="AE70" s="6"/>
      <c r="AF70" s="6"/>
      <c r="AG70" s="6" t="n">
        <f aca="false">BF70/100*$AG$53</f>
        <v>6229811170.15878</v>
      </c>
      <c r="AH70" s="61" t="n">
        <f aca="false">(AG70-AG69)/AG69</f>
        <v>0.00394693244033939</v>
      </c>
      <c r="AI70" s="61"/>
      <c r="AJ70" s="61" t="n">
        <f aca="false">AB70/AG70</f>
        <v>-0.0125574460938848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0.00613773207732228</v>
      </c>
      <c r="AV70" s="5"/>
      <c r="AW70" s="65" t="n">
        <f aca="false">workers_and_wage_central!C58</f>
        <v>12970200</v>
      </c>
      <c r="AX70" s="5"/>
      <c r="AY70" s="61" t="n">
        <f aca="false">(AW70-AW69)/AW69</f>
        <v>0.00400527679077487</v>
      </c>
      <c r="AZ70" s="66" t="n">
        <f aca="false">workers_and_wage_central!B58</f>
        <v>6976.30012556846</v>
      </c>
      <c r="BA70" s="61" t="n">
        <f aca="false">(AZ70-AZ69)/AZ69</f>
        <v>-5.81115974030734E-005</v>
      </c>
      <c r="BB70" s="5"/>
      <c r="BC70" s="5"/>
      <c r="BD70" s="5"/>
      <c r="BE70" s="5"/>
      <c r="BF70" s="5" t="n">
        <f aca="false">BF69*(1+AY70)*(1+BA70)*(1-BE70)</f>
        <v>113.340066924993</v>
      </c>
      <c r="BG70" s="5"/>
      <c r="BH70" s="5" t="n">
        <f aca="false">BH69+1</f>
        <v>39</v>
      </c>
      <c r="BI70" s="61" t="n">
        <f aca="false">T77/AG77</f>
        <v>0.013136645862533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122336068.604762</v>
      </c>
      <c r="E71" s="9"/>
      <c r="F71" s="67" t="n">
        <f aca="false">'Central pensions'!I71</f>
        <v>22236028.5884868</v>
      </c>
      <c r="G71" s="9" t="n">
        <f aca="false">'Central pensions'!K71</f>
        <v>1914986.17152302</v>
      </c>
      <c r="H71" s="9" t="n">
        <f aca="false">'Central pensions'!V71</f>
        <v>10535688.9034542</v>
      </c>
      <c r="I71" s="67" t="n">
        <f aca="false">'Central pensions'!M71</f>
        <v>59226.3764388501</v>
      </c>
      <c r="J71" s="9" t="n">
        <f aca="false">'Central pensions'!W71</f>
        <v>325846.048560405</v>
      </c>
      <c r="K71" s="9"/>
      <c r="L71" s="67" t="n">
        <f aca="false">'Central pensions'!N71</f>
        <v>3026497.80860562</v>
      </c>
      <c r="M71" s="67"/>
      <c r="N71" s="67" t="n">
        <f aca="false">'Central pensions'!L71</f>
        <v>1006107.89573285</v>
      </c>
      <c r="O71" s="9"/>
      <c r="P71" s="9" t="n">
        <f aca="false">'Central pensions'!X71</f>
        <v>21239820.3087214</v>
      </c>
      <c r="Q71" s="67"/>
      <c r="R71" s="67" t="n">
        <f aca="false">'Central SIPA income'!G66</f>
        <v>21284256.4230491</v>
      </c>
      <c r="S71" s="67"/>
      <c r="T71" s="9" t="n">
        <f aca="false">'Central SIPA income'!J66</f>
        <v>81382199.1762157</v>
      </c>
      <c r="U71" s="9"/>
      <c r="V71" s="67" t="n">
        <f aca="false">'Central SIPA income'!F66</f>
        <v>133286.346410152</v>
      </c>
      <c r="W71" s="67"/>
      <c r="X71" s="67" t="n">
        <f aca="false">'Central SIPA income'!M66</f>
        <v>334776.874662341</v>
      </c>
      <c r="Y71" s="9"/>
      <c r="Z71" s="9" t="n">
        <f aca="false">R71+V71-N71-L71-F71</f>
        <v>-4851091.523366</v>
      </c>
      <c r="AA71" s="9"/>
      <c r="AB71" s="9" t="n">
        <f aca="false">T71-P71-D71</f>
        <v>-62193689.7372679</v>
      </c>
      <c r="AC71" s="50"/>
      <c r="AD71" s="9"/>
      <c r="AE71" s="9"/>
      <c r="AF71" s="9"/>
      <c r="AG71" s="9" t="n">
        <f aca="false">BF71/100*$AG$53</f>
        <v>6282662812.76362</v>
      </c>
      <c r="AH71" s="39" t="n">
        <f aca="false">(AG71-AG70)/AG70</f>
        <v>0.00848366686585873</v>
      </c>
      <c r="AI71" s="39"/>
      <c r="AJ71" s="39" t="n">
        <f aca="false">AB71/AG71</f>
        <v>-0.00989925634890313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12997827</v>
      </c>
      <c r="AX71" s="7"/>
      <c r="AY71" s="39" t="n">
        <f aca="false">(AW71-AW70)/AW70</f>
        <v>0.00213003654531156</v>
      </c>
      <c r="AZ71" s="38" t="n">
        <f aca="false">workers_and_wage_central!B59</f>
        <v>7020.53074473626</v>
      </c>
      <c r="BA71" s="39" t="n">
        <f aca="false">(AZ71-AZ70)/AZ70</f>
        <v>0.00634012562127203</v>
      </c>
      <c r="BB71" s="7"/>
      <c r="BC71" s="7"/>
      <c r="BD71" s="7"/>
      <c r="BE71" s="7"/>
      <c r="BF71" s="7" t="n">
        <f aca="false">BF70*(1+AY71)*(1+BA71)*(1-BE71)</f>
        <v>114.301606295339</v>
      </c>
      <c r="BG71" s="7"/>
      <c r="BH71" s="7" t="n">
        <f aca="false">BH70+1</f>
        <v>40</v>
      </c>
      <c r="BI71" s="39" t="n">
        <f aca="false">T78/AG78</f>
        <v>0.0111846074739804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122497035.038416</v>
      </c>
      <c r="E72" s="9"/>
      <c r="F72" s="67" t="n">
        <f aca="false">'Central pensions'!I72</f>
        <v>22265286.1431993</v>
      </c>
      <c r="G72" s="9" t="n">
        <f aca="false">'Central pensions'!K72</f>
        <v>1937625.33618753</v>
      </c>
      <c r="H72" s="9" t="n">
        <f aca="false">'Central pensions'!V72</f>
        <v>10660242.9078049</v>
      </c>
      <c r="I72" s="67" t="n">
        <f aca="false">'Central pensions'!M72</f>
        <v>59926.5567892999</v>
      </c>
      <c r="J72" s="9" t="n">
        <f aca="false">'Central pensions'!W72</f>
        <v>329698.234261979</v>
      </c>
      <c r="K72" s="9"/>
      <c r="L72" s="67" t="n">
        <f aca="false">'Central pensions'!N72</f>
        <v>2998823.64035062</v>
      </c>
      <c r="M72" s="67"/>
      <c r="N72" s="67" t="n">
        <f aca="false">'Central pensions'!L72</f>
        <v>1008454.9204887</v>
      </c>
      <c r="O72" s="9"/>
      <c r="P72" s="9" t="n">
        <f aca="false">'Central pensions'!X72</f>
        <v>21109131.5558112</v>
      </c>
      <c r="Q72" s="67"/>
      <c r="R72" s="67" t="n">
        <f aca="false">'Central SIPA income'!G67</f>
        <v>18337373.4208089</v>
      </c>
      <c r="S72" s="67"/>
      <c r="T72" s="9" t="n">
        <f aca="false">'Central SIPA income'!J67</f>
        <v>70114536.6057906</v>
      </c>
      <c r="U72" s="9"/>
      <c r="V72" s="67" t="n">
        <f aca="false">'Central SIPA income'!F67</f>
        <v>135490.319816771</v>
      </c>
      <c r="W72" s="67"/>
      <c r="X72" s="67" t="n">
        <f aca="false">'Central SIPA income'!M67</f>
        <v>340312.620436603</v>
      </c>
      <c r="Y72" s="9"/>
      <c r="Z72" s="9" t="n">
        <f aca="false">R72+V72-N72-L72-F72</f>
        <v>-7799700.96341296</v>
      </c>
      <c r="AA72" s="9"/>
      <c r="AB72" s="9" t="n">
        <f aca="false">T72-P72-D72</f>
        <v>-73491629.9884365</v>
      </c>
      <c r="AC72" s="50"/>
      <c r="AD72" s="9"/>
      <c r="AE72" s="9"/>
      <c r="AF72" s="9"/>
      <c r="AG72" s="9" t="n">
        <f aca="false">BF72/100*$AG$53</f>
        <v>6319040466.35493</v>
      </c>
      <c r="AH72" s="39" t="n">
        <f aca="false">(AG72-AG71)/AG71</f>
        <v>0.00579016488317803</v>
      </c>
      <c r="AI72" s="39"/>
      <c r="AJ72" s="39" t="n">
        <f aca="false">AB72/AG72</f>
        <v>-0.011630188219198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13090305</v>
      </c>
      <c r="AY72" s="39" t="n">
        <f aca="false">(AW72-AW71)/AW71</f>
        <v>0.00711488158751459</v>
      </c>
      <c r="AZ72" s="38" t="n">
        <f aca="false">workers_and_wage_central!B60</f>
        <v>7011.29623284403</v>
      </c>
      <c r="BA72" s="39" t="n">
        <f aca="false">(AZ72-AZ71)/AZ71</f>
        <v>-0.00131535808730046</v>
      </c>
      <c r="BB72" s="7"/>
      <c r="BC72" s="7"/>
      <c r="BD72" s="7"/>
      <c r="BE72" s="7"/>
      <c r="BF72" s="7" t="n">
        <f aca="false">BF71*(1+AY72)*(1+BA72)*(1-BE72)</f>
        <v>114.963431442201</v>
      </c>
      <c r="BG72" s="7"/>
      <c r="BH72" s="0" t="n">
        <f aca="false">BH71+1</f>
        <v>41</v>
      </c>
      <c r="BI72" s="39" t="n">
        <f aca="false">T79/AG79</f>
        <v>0.0131530680008367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122788627.34133</v>
      </c>
      <c r="E73" s="9"/>
      <c r="F73" s="67" t="n">
        <f aca="false">'Central pensions'!I73</f>
        <v>22318286.4958975</v>
      </c>
      <c r="G73" s="9" t="n">
        <f aca="false">'Central pensions'!K73</f>
        <v>1986033.01081295</v>
      </c>
      <c r="H73" s="9" t="n">
        <f aca="false">'Central pensions'!V73</f>
        <v>10926567.6510209</v>
      </c>
      <c r="I73" s="67" t="n">
        <f aca="false">'Central pensions'!M73</f>
        <v>61423.7013653498</v>
      </c>
      <c r="J73" s="9" t="n">
        <f aca="false">'Central pensions'!W73</f>
        <v>337935.081990341</v>
      </c>
      <c r="K73" s="9"/>
      <c r="L73" s="67" t="n">
        <f aca="false">'Central pensions'!N73</f>
        <v>2988668.65205898</v>
      </c>
      <c r="M73" s="67"/>
      <c r="N73" s="67" t="n">
        <f aca="false">'Central pensions'!L73</f>
        <v>1011020.63238265</v>
      </c>
      <c r="O73" s="9"/>
      <c r="P73" s="9" t="n">
        <f aca="false">'Central pensions'!X73</f>
        <v>21070553.0631242</v>
      </c>
      <c r="Q73" s="67"/>
      <c r="R73" s="67" t="n">
        <f aca="false">'Central SIPA income'!G68</f>
        <v>21669944.994346</v>
      </c>
      <c r="S73" s="67"/>
      <c r="T73" s="9" t="n">
        <f aca="false">'Central SIPA income'!J68</f>
        <v>82856912.8568536</v>
      </c>
      <c r="U73" s="9"/>
      <c r="V73" s="67" t="n">
        <f aca="false">'Central SIPA income'!F68</f>
        <v>137809.328000686</v>
      </c>
      <c r="W73" s="67"/>
      <c r="X73" s="67" t="n">
        <f aca="false">'Central SIPA income'!M68</f>
        <v>346137.300405986</v>
      </c>
      <c r="Y73" s="9"/>
      <c r="Z73" s="9" t="n">
        <f aca="false">R73+V73-N73-L73-F73</f>
        <v>-4510221.45799247</v>
      </c>
      <c r="AA73" s="9"/>
      <c r="AB73" s="9" t="n">
        <f aca="false">T73-P73-D73</f>
        <v>-61002267.5476004</v>
      </c>
      <c r="AC73" s="50"/>
      <c r="AD73" s="9"/>
      <c r="AE73" s="9"/>
      <c r="AF73" s="9"/>
      <c r="AG73" s="9" t="n">
        <f aca="false">BF73/100*$AG$53</f>
        <v>6359041029.58733</v>
      </c>
      <c r="AH73" s="39" t="n">
        <f aca="false">(AG73-AG72)/AG72</f>
        <v>0.00633016411991296</v>
      </c>
      <c r="AI73" s="39" t="n">
        <f aca="false">(AG73-AG69)/AG69</f>
        <v>0.024772591101463</v>
      </c>
      <c r="AJ73" s="39" t="n">
        <f aca="false">AB73/AG73</f>
        <v>-0.00959299794792473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13092935</v>
      </c>
      <c r="AY73" s="39" t="n">
        <f aca="false">(AW73-AW72)/AW72</f>
        <v>0.000200912049031707</v>
      </c>
      <c r="AZ73" s="38" t="n">
        <f aca="false">workers_and_wage_central!B61</f>
        <v>7054.26160253829</v>
      </c>
      <c r="BA73" s="39" t="n">
        <f aca="false">(AZ73-AZ72)/AZ72</f>
        <v>0.0061280208776505</v>
      </c>
      <c r="BB73" s="7"/>
      <c r="BC73" s="7"/>
      <c r="BD73" s="7"/>
      <c r="BE73" s="7"/>
      <c r="BF73" s="7" t="n">
        <f aca="false">BF72*(1+AY73)*(1+BA73)*(1-BE73)</f>
        <v>115.691168831019</v>
      </c>
      <c r="BG73" s="73" t="e">
        <f aca="false">(BB73-BB69)/BB69</f>
        <v>#DIV/0!</v>
      </c>
      <c r="BH73" s="0" t="n">
        <f aca="false">BH72+1</f>
        <v>42</v>
      </c>
      <c r="BI73" s="39" t="n">
        <f aca="false">T80/AG80</f>
        <v>0.0112446804905075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123184000.676484</v>
      </c>
      <c r="E74" s="6"/>
      <c r="F74" s="8" t="n">
        <f aca="false">'Central pensions'!I74</f>
        <v>22390150.279685</v>
      </c>
      <c r="G74" s="6" t="n">
        <f aca="false">'Central pensions'!K74</f>
        <v>2054805.33900193</v>
      </c>
      <c r="H74" s="6" t="n">
        <f aca="false">'Central pensions'!V74</f>
        <v>11304932.7095994</v>
      </c>
      <c r="I74" s="8" t="n">
        <f aca="false">'Central pensions'!M74</f>
        <v>63550.6805876901</v>
      </c>
      <c r="J74" s="6" t="n">
        <f aca="false">'Central pensions'!W74</f>
        <v>349637.09411133</v>
      </c>
      <c r="K74" s="6"/>
      <c r="L74" s="8" t="n">
        <f aca="false">'Central pensions'!N74</f>
        <v>3646946.3424825</v>
      </c>
      <c r="M74" s="8"/>
      <c r="N74" s="8" t="n">
        <f aca="false">'Central pensions'!L74</f>
        <v>1016409.89422461</v>
      </c>
      <c r="O74" s="6"/>
      <c r="P74" s="6" t="n">
        <f aca="false">'Central pensions'!X74</f>
        <v>24516009.2566175</v>
      </c>
      <c r="Q74" s="8"/>
      <c r="R74" s="8" t="n">
        <f aca="false">'Central SIPA income'!G69</f>
        <v>18650807.9041511</v>
      </c>
      <c r="S74" s="8"/>
      <c r="T74" s="6" t="n">
        <f aca="false">'Central SIPA income'!J69</f>
        <v>71312980.5187492</v>
      </c>
      <c r="U74" s="6"/>
      <c r="V74" s="8" t="n">
        <f aca="false">'Central SIPA income'!F69</f>
        <v>135336.7846344</v>
      </c>
      <c r="W74" s="8"/>
      <c r="X74" s="8" t="n">
        <f aca="false">'Central SIPA income'!M69</f>
        <v>339926.984323908</v>
      </c>
      <c r="Y74" s="6"/>
      <c r="Z74" s="6" t="n">
        <f aca="false">R74+V74-N74-L74-F74</f>
        <v>-8267361.82760656</v>
      </c>
      <c r="AA74" s="6"/>
      <c r="AB74" s="6" t="n">
        <f aca="false">T74-P74-D74</f>
        <v>-76387029.4143523</v>
      </c>
      <c r="AC74" s="50"/>
      <c r="AD74" s="6"/>
      <c r="AE74" s="6"/>
      <c r="AF74" s="6"/>
      <c r="AG74" s="6" t="n">
        <f aca="false">BF74/100*$AG$53</f>
        <v>6428074787.21459</v>
      </c>
      <c r="AH74" s="61" t="n">
        <f aca="false">(AG74-AG73)/AG73</f>
        <v>0.0108560012910855</v>
      </c>
      <c r="AI74" s="61"/>
      <c r="AJ74" s="61" t="n">
        <f aca="false">AB74/AG74</f>
        <v>-0.011883344849423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0.00623771271258443</v>
      </c>
      <c r="AV74" s="5"/>
      <c r="AW74" s="65" t="n">
        <f aca="false">workers_and_wage_central!C62</f>
        <v>13167882</v>
      </c>
      <c r="AX74" s="5"/>
      <c r="AY74" s="61" t="n">
        <f aca="false">(AW74-AW73)/AW73</f>
        <v>0.00572423219087241</v>
      </c>
      <c r="AZ74" s="66" t="n">
        <f aca="false">workers_and_wage_central!B62</f>
        <v>7090.25640166714</v>
      </c>
      <c r="BA74" s="61" t="n">
        <f aca="false">(AZ74-AZ73)/AZ73</f>
        <v>0.00510256085709923</v>
      </c>
      <c r="BB74" s="5"/>
      <c r="BC74" s="5"/>
      <c r="BD74" s="5"/>
      <c r="BE74" s="5"/>
      <c r="BF74" s="5" t="n">
        <f aca="false">BF73*(1+AY74)*(1+BA74)*(1-BE74)</f>
        <v>116.947112309215</v>
      </c>
      <c r="BG74" s="5"/>
      <c r="BH74" s="5" t="n">
        <f aca="false">BH73+1</f>
        <v>43</v>
      </c>
      <c r="BI74" s="61" t="n">
        <f aca="false">T81/AG81</f>
        <v>0.0131596140713536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123868849.90498</v>
      </c>
      <c r="E75" s="9"/>
      <c r="F75" s="67" t="n">
        <f aca="false">'Central pensions'!I75</f>
        <v>22514629.7336785</v>
      </c>
      <c r="G75" s="9" t="n">
        <f aca="false">'Central pensions'!K75</f>
        <v>2108702.72688327</v>
      </c>
      <c r="H75" s="9" t="n">
        <f aca="false">'Central pensions'!V75</f>
        <v>11601460.2354222</v>
      </c>
      <c r="I75" s="67" t="n">
        <f aca="false">'Central pensions'!M75</f>
        <v>65217.6101097902</v>
      </c>
      <c r="J75" s="9" t="n">
        <f aca="false">'Central pensions'!W75</f>
        <v>358808.048518203</v>
      </c>
      <c r="K75" s="9"/>
      <c r="L75" s="67" t="n">
        <f aca="false">'Central pensions'!N75</f>
        <v>2977088.58618539</v>
      </c>
      <c r="M75" s="67"/>
      <c r="N75" s="67" t="n">
        <f aca="false">'Central pensions'!L75</f>
        <v>1023888.87088351</v>
      </c>
      <c r="O75" s="9"/>
      <c r="P75" s="9" t="n">
        <f aca="false">'Central pensions'!X75</f>
        <v>21081261.2977444</v>
      </c>
      <c r="Q75" s="67"/>
      <c r="R75" s="67" t="n">
        <f aca="false">'Central SIPA income'!G70</f>
        <v>21966480.155359</v>
      </c>
      <c r="S75" s="67"/>
      <c r="T75" s="9" t="n">
        <f aca="false">'Central SIPA income'!J70</f>
        <v>83990740.7461933</v>
      </c>
      <c r="U75" s="9"/>
      <c r="V75" s="67" t="n">
        <f aca="false">'Central SIPA income'!F70</f>
        <v>133316.411691416</v>
      </c>
      <c r="W75" s="67"/>
      <c r="X75" s="67" t="n">
        <f aca="false">'Central SIPA income'!M70</f>
        <v>334852.389980815</v>
      </c>
      <c r="Y75" s="9"/>
      <c r="Z75" s="9" t="n">
        <f aca="false">R75+V75-N75-L75-F75</f>
        <v>-4415810.623697</v>
      </c>
      <c r="AA75" s="9"/>
      <c r="AB75" s="9" t="n">
        <f aca="false">T75-P75-D75</f>
        <v>-60959370.4565311</v>
      </c>
      <c r="AC75" s="50"/>
      <c r="AD75" s="9"/>
      <c r="AE75" s="9"/>
      <c r="AF75" s="9"/>
      <c r="AG75" s="9" t="n">
        <f aca="false">BF75/100*$AG$53</f>
        <v>6442984003.89784</v>
      </c>
      <c r="AH75" s="39" t="n">
        <f aca="false">(AG75-AG74)/AG74</f>
        <v>0.00231939066933325</v>
      </c>
      <c r="AI75" s="39"/>
      <c r="AJ75" s="39" t="n">
        <f aca="false">AB75/AG75</f>
        <v>-0.0094613567905263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13182651</v>
      </c>
      <c r="AX75" s="7"/>
      <c r="AY75" s="39" t="n">
        <f aca="false">(AW75-AW74)/AW74</f>
        <v>0.00112159267526851</v>
      </c>
      <c r="AZ75" s="38" t="n">
        <f aca="false">workers_and_wage_central!B63</f>
        <v>7098.73958188966</v>
      </c>
      <c r="BA75" s="39" t="n">
        <f aca="false">(AZ75-AZ74)/AZ74</f>
        <v>0.00119645605771397</v>
      </c>
      <c r="BB75" s="7"/>
      <c r="BC75" s="7"/>
      <c r="BD75" s="7"/>
      <c r="BE75" s="7"/>
      <c r="BF75" s="7" t="n">
        <f aca="false">BF74*(1+AY75)*(1+BA75)*(1-BE75)</f>
        <v>117.218358350311</v>
      </c>
      <c r="BG75" s="7"/>
      <c r="BH75" s="7" t="n">
        <f aca="false">BH74+1</f>
        <v>44</v>
      </c>
      <c r="BI75" s="39" t="n">
        <f aca="false">T82/AG82</f>
        <v>0.0111794948493075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124299022.411295</v>
      </c>
      <c r="E76" s="9"/>
      <c r="F76" s="67" t="n">
        <f aca="false">'Central pensions'!I76</f>
        <v>22592818.6787501</v>
      </c>
      <c r="G76" s="9" t="n">
        <f aca="false">'Central pensions'!K76</f>
        <v>2169731.72393869</v>
      </c>
      <c r="H76" s="9" t="n">
        <f aca="false">'Central pensions'!V76</f>
        <v>11937223.7707559</v>
      </c>
      <c r="I76" s="67" t="n">
        <f aca="false">'Central pensions'!M76</f>
        <v>67105.1048640897</v>
      </c>
      <c r="J76" s="9" t="n">
        <f aca="false">'Central pensions'!W76</f>
        <v>369192.487755373</v>
      </c>
      <c r="K76" s="9"/>
      <c r="L76" s="67" t="n">
        <f aca="false">'Central pensions'!N76</f>
        <v>2990925.79380219</v>
      </c>
      <c r="M76" s="67"/>
      <c r="N76" s="67" t="n">
        <f aca="false">'Central pensions'!L76</f>
        <v>1028618.31208981</v>
      </c>
      <c r="O76" s="9"/>
      <c r="P76" s="9" t="n">
        <f aca="false">'Central pensions'!X76</f>
        <v>21179082.6239536</v>
      </c>
      <c r="Q76" s="67"/>
      <c r="R76" s="67" t="n">
        <f aca="false">'Central SIPA income'!G71</f>
        <v>19030837.6205944</v>
      </c>
      <c r="S76" s="67"/>
      <c r="T76" s="9" t="n">
        <f aca="false">'Central SIPA income'!J71</f>
        <v>72766057.0773916</v>
      </c>
      <c r="U76" s="9"/>
      <c r="V76" s="67" t="n">
        <f aca="false">'Central SIPA income'!F71</f>
        <v>134702.813541739</v>
      </c>
      <c r="W76" s="67"/>
      <c r="X76" s="67" t="n">
        <f aca="false">'Central SIPA income'!M71</f>
        <v>338334.631718082</v>
      </c>
      <c r="Y76" s="9"/>
      <c r="Z76" s="9" t="n">
        <f aca="false">R76+V76-N76-L76-F76</f>
        <v>-7446822.35050599</v>
      </c>
      <c r="AA76" s="9"/>
      <c r="AB76" s="9" t="n">
        <f aca="false">T76-P76-D76</f>
        <v>-72712047.9578574</v>
      </c>
      <c r="AC76" s="50"/>
      <c r="AD76" s="9"/>
      <c r="AE76" s="9"/>
      <c r="AF76" s="9"/>
      <c r="AG76" s="9" t="n">
        <f aca="false">BF76/100*$AG$53</f>
        <v>6483726091.85778</v>
      </c>
      <c r="AH76" s="39" t="n">
        <f aca="false">(AG76-AG75)/AG75</f>
        <v>0.00632348115955214</v>
      </c>
      <c r="AI76" s="39"/>
      <c r="AJ76" s="39" t="n">
        <f aca="false">AB76/AG76</f>
        <v>-0.0112145465319963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13188743</v>
      </c>
      <c r="AY76" s="39" t="n">
        <f aca="false">(AW76-AW75)/AW75</f>
        <v>0.000462122527555345</v>
      </c>
      <c r="AZ76" s="38" t="n">
        <f aca="false">workers_and_wage_central!B64</f>
        <v>7140.32862118231</v>
      </c>
      <c r="BA76" s="39" t="n">
        <f aca="false">(AZ76-AZ75)/AZ75</f>
        <v>0.00585865121728815</v>
      </c>
      <c r="BB76" s="7"/>
      <c r="BC76" s="7"/>
      <c r="BD76" s="7"/>
      <c r="BE76" s="7"/>
      <c r="BF76" s="7" t="n">
        <f aca="false">BF75*(1+AY76)*(1+BA76)*(1-BE76)</f>
        <v>117.959586430893</v>
      </c>
      <c r="BG76" s="7"/>
      <c r="BH76" s="0" t="n">
        <f aca="false">BH75+1</f>
        <v>45</v>
      </c>
      <c r="BI76" s="39" t="n">
        <f aca="false">T83/AG83</f>
        <v>0.013227599669763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124724824.539446</v>
      </c>
      <c r="E77" s="9"/>
      <c r="F77" s="67" t="n">
        <f aca="false">'Central pensions'!I77</f>
        <v>22670213.2558571</v>
      </c>
      <c r="G77" s="9" t="n">
        <f aca="false">'Central pensions'!K77</f>
        <v>2194655.23468109</v>
      </c>
      <c r="H77" s="9" t="n">
        <f aca="false">'Central pensions'!V77</f>
        <v>12074345.5732361</v>
      </c>
      <c r="I77" s="67" t="n">
        <f aca="false">'Central pensions'!M77</f>
        <v>67875.9350932301</v>
      </c>
      <c r="J77" s="9" t="n">
        <f aca="false">'Central pensions'!W77</f>
        <v>373433.368244417</v>
      </c>
      <c r="K77" s="9"/>
      <c r="L77" s="67" t="n">
        <f aca="false">'Central pensions'!N77</f>
        <v>3006004.8769193</v>
      </c>
      <c r="M77" s="67"/>
      <c r="N77" s="67" t="n">
        <f aca="false">'Central pensions'!L77</f>
        <v>1033387.87969877</v>
      </c>
      <c r="O77" s="9"/>
      <c r="P77" s="9" t="n">
        <f aca="false">'Central pensions'!X77</f>
        <v>21283568.8116657</v>
      </c>
      <c r="Q77" s="67"/>
      <c r="R77" s="67" t="n">
        <f aca="false">'Central SIPA income'!G72</f>
        <v>22397500.0169496</v>
      </c>
      <c r="S77" s="67"/>
      <c r="T77" s="9" t="n">
        <f aca="false">'Central SIPA income'!J72</f>
        <v>85638782.544209</v>
      </c>
      <c r="U77" s="9"/>
      <c r="V77" s="67" t="n">
        <f aca="false">'Central SIPA income'!F72</f>
        <v>136161.648611863</v>
      </c>
      <c r="W77" s="67"/>
      <c r="X77" s="67" t="n">
        <f aca="false">'Central SIPA income'!M72</f>
        <v>341998.804820412</v>
      </c>
      <c r="Y77" s="9"/>
      <c r="Z77" s="9" t="n">
        <f aca="false">R77+V77-N77-L77-F77</f>
        <v>-4175944.34691372</v>
      </c>
      <c r="AA77" s="9"/>
      <c r="AB77" s="9" t="n">
        <f aca="false">T77-P77-D77</f>
        <v>-60369610.8069029</v>
      </c>
      <c r="AC77" s="50"/>
      <c r="AD77" s="9"/>
      <c r="AE77" s="9"/>
      <c r="AF77" s="9"/>
      <c r="AG77" s="9" t="n">
        <f aca="false">BF77/100*$AG$53</f>
        <v>6519075222.12039</v>
      </c>
      <c r="AH77" s="39" t="n">
        <f aca="false">(AG77-AG76)/AG76</f>
        <v>0.00545197773036678</v>
      </c>
      <c r="AI77" s="39" t="n">
        <f aca="false">(AG77-AG73)/AG73</f>
        <v>0.0251664035172051</v>
      </c>
      <c r="AJ77" s="39" t="n">
        <f aca="false">AB77/AG77</f>
        <v>-0.00926045623803481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13243330</v>
      </c>
      <c r="AY77" s="39" t="n">
        <f aca="false">(AW77-AW76)/AW76</f>
        <v>0.00413890846155695</v>
      </c>
      <c r="AZ77" s="38" t="n">
        <f aca="false">workers_and_wage_central!B65</f>
        <v>7149.66572185899</v>
      </c>
      <c r="BA77" s="39" t="n">
        <f aca="false">(AZ77-AZ76)/AZ76</f>
        <v>0.00130765699620336</v>
      </c>
      <c r="BB77" s="7"/>
      <c r="BC77" s="7"/>
      <c r="BD77" s="7"/>
      <c r="BE77" s="7"/>
      <c r="BF77" s="7" t="n">
        <f aca="false">BF76*(1+AY77)*(1+BA77)*(1-BE77)</f>
        <v>118.602699469197</v>
      </c>
      <c r="BG77" s="73" t="e">
        <f aca="false">(BB77-BB73)/BB73</f>
        <v>#DIV/0!</v>
      </c>
      <c r="BH77" s="0" t="n">
        <f aca="false">BH76+1</f>
        <v>46</v>
      </c>
      <c r="BI77" s="39" t="n">
        <f aca="false">T84/AG84</f>
        <v>0.0112577010245135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125158001.485091</v>
      </c>
      <c r="E78" s="6"/>
      <c r="F78" s="8" t="n">
        <f aca="false">'Central pensions'!I78</f>
        <v>22748948.2933411</v>
      </c>
      <c r="G78" s="6" t="n">
        <f aca="false">'Central pensions'!K78</f>
        <v>2289322.78975892</v>
      </c>
      <c r="H78" s="6" t="n">
        <f aca="false">'Central pensions'!V78</f>
        <v>12595178.5298299</v>
      </c>
      <c r="I78" s="8" t="n">
        <f aca="false">'Central pensions'!M78</f>
        <v>70803.7976214099</v>
      </c>
      <c r="J78" s="6" t="n">
        <f aca="false">'Central pensions'!W78</f>
        <v>389541.604015358</v>
      </c>
      <c r="K78" s="6"/>
      <c r="L78" s="8" t="n">
        <f aca="false">'Central pensions'!N78</f>
        <v>3535441.62803204</v>
      </c>
      <c r="M78" s="8"/>
      <c r="N78" s="8" t="n">
        <f aca="false">'Central pensions'!L78</f>
        <v>1038564.96363689</v>
      </c>
      <c r="O78" s="6"/>
      <c r="P78" s="6" t="n">
        <f aca="false">'Central pensions'!X78</f>
        <v>24059301.418367</v>
      </c>
      <c r="Q78" s="8"/>
      <c r="R78" s="8" t="n">
        <f aca="false">'Central SIPA income'!G73</f>
        <v>19115039.2414514</v>
      </c>
      <c r="S78" s="8"/>
      <c r="T78" s="6" t="n">
        <f aca="false">'Central SIPA income'!J73</f>
        <v>73088009.2726362</v>
      </c>
      <c r="U78" s="6"/>
      <c r="V78" s="8" t="n">
        <f aca="false">'Central SIPA income'!F73</f>
        <v>132312.715696243</v>
      </c>
      <c r="W78" s="8"/>
      <c r="X78" s="8" t="n">
        <f aca="false">'Central SIPA income'!M73</f>
        <v>332331.395014525</v>
      </c>
      <c r="Y78" s="6"/>
      <c r="Z78" s="6" t="n">
        <f aca="false">R78+V78-N78-L78-F78</f>
        <v>-8075602.92786234</v>
      </c>
      <c r="AA78" s="6"/>
      <c r="AB78" s="6" t="n">
        <f aca="false">T78-P78-D78</f>
        <v>-76129293.6308221</v>
      </c>
      <c r="AC78" s="50"/>
      <c r="AD78" s="6"/>
      <c r="AE78" s="6"/>
      <c r="AF78" s="6"/>
      <c r="AG78" s="6" t="n">
        <f aca="false">BF78/100*$AG$53</f>
        <v>6534695959.84183</v>
      </c>
      <c r="AH78" s="61" t="n">
        <f aca="false">(AG78-AG77)/AG77</f>
        <v>0.00239615853310607</v>
      </c>
      <c r="AI78" s="61"/>
      <c r="AJ78" s="61" t="n">
        <f aca="false">AB78/AG78</f>
        <v>-0.0116500131144074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0.00467374994605146</v>
      </c>
      <c r="AV78" s="5"/>
      <c r="AW78" s="65" t="n">
        <f aca="false">workers_and_wage_central!C66</f>
        <v>13232417</v>
      </c>
      <c r="AX78" s="5"/>
      <c r="AY78" s="61" t="n">
        <f aca="false">(AW78-AW77)/AW77</f>
        <v>-0.000824037458856647</v>
      </c>
      <c r="AZ78" s="66" t="n">
        <f aca="false">workers_and_wage_central!B66</f>
        <v>7172.70803448914</v>
      </c>
      <c r="BA78" s="61" t="n">
        <f aca="false">(AZ78-AZ77)/AZ77</f>
        <v>0.00322285174252301</v>
      </c>
      <c r="BB78" s="5"/>
      <c r="BC78" s="5"/>
      <c r="BD78" s="5"/>
      <c r="BE78" s="5"/>
      <c r="BF78" s="5" t="n">
        <f aca="false">BF77*(1+AY78)*(1+BA78)*(1-BE78)</f>
        <v>118.88689033958</v>
      </c>
      <c r="BG78" s="5"/>
      <c r="BH78" s="5" t="n">
        <f aca="false">BH77+1</f>
        <v>47</v>
      </c>
      <c r="BI78" s="61" t="n">
        <f aca="false">T85/AG85</f>
        <v>0.0132629371369235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124948507.506651</v>
      </c>
      <c r="E79" s="9"/>
      <c r="F79" s="67" t="n">
        <f aca="false">'Central pensions'!I79</f>
        <v>22710870.2829323</v>
      </c>
      <c r="G79" s="9" t="n">
        <f aca="false">'Central pensions'!K79</f>
        <v>2338020.64636713</v>
      </c>
      <c r="H79" s="9" t="n">
        <f aca="false">'Central pensions'!V79</f>
        <v>12863099.7686977</v>
      </c>
      <c r="I79" s="67" t="n">
        <f aca="false">'Central pensions'!M79</f>
        <v>72309.9168979502</v>
      </c>
      <c r="J79" s="9" t="n">
        <f aca="false">'Central pensions'!W79</f>
        <v>397827.827897854</v>
      </c>
      <c r="K79" s="9"/>
      <c r="L79" s="67" t="n">
        <f aca="false">'Central pensions'!N79</f>
        <v>2856893.81585843</v>
      </c>
      <c r="M79" s="67"/>
      <c r="N79" s="67" t="n">
        <f aca="false">'Central pensions'!L79</f>
        <v>1037572.34180525</v>
      </c>
      <c r="O79" s="9"/>
      <c r="P79" s="9" t="n">
        <f aca="false">'Central pensions'!X79</f>
        <v>20532852.4828707</v>
      </c>
      <c r="Q79" s="67"/>
      <c r="R79" s="67" t="n">
        <f aca="false">'Central SIPA income'!G74</f>
        <v>22631520.8523808</v>
      </c>
      <c r="S79" s="67"/>
      <c r="T79" s="9" t="n">
        <f aca="false">'Central SIPA income'!J74</f>
        <v>86533581.4914638</v>
      </c>
      <c r="U79" s="9"/>
      <c r="V79" s="67" t="n">
        <f aca="false">'Central SIPA income'!F74</f>
        <v>141372.92161188</v>
      </c>
      <c r="W79" s="67"/>
      <c r="X79" s="67" t="n">
        <f aca="false">'Central SIPA income'!M74</f>
        <v>355088.020144758</v>
      </c>
      <c r="Y79" s="9"/>
      <c r="Z79" s="9" t="n">
        <f aca="false">R79+V79-N79-L79-F79</f>
        <v>-3832442.66660329</v>
      </c>
      <c r="AA79" s="9"/>
      <c r="AB79" s="9" t="n">
        <f aca="false">T79-P79-D79</f>
        <v>-58947778.4980582</v>
      </c>
      <c r="AC79" s="50"/>
      <c r="AD79" s="9"/>
      <c r="AE79" s="9"/>
      <c r="AF79" s="9"/>
      <c r="AG79" s="9" t="n">
        <f aca="false">BF79/100*$AG$53</f>
        <v>6578965568.03016</v>
      </c>
      <c r="AH79" s="39" t="n">
        <f aca="false">(AG79-AG78)/AG78</f>
        <v>0.00677454750158062</v>
      </c>
      <c r="AI79" s="39"/>
      <c r="AJ79" s="39" t="n">
        <f aca="false">AB79/AG79</f>
        <v>-0.00896003754518935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13250709</v>
      </c>
      <c r="AX79" s="7"/>
      <c r="AY79" s="39" t="n">
        <f aca="false">(AW79-AW78)/AW78</f>
        <v>0.00138236272330293</v>
      </c>
      <c r="AZ79" s="38" t="n">
        <f aca="false">workers_and_wage_central!B67</f>
        <v>7211.3312103332</v>
      </c>
      <c r="BA79" s="39" t="n">
        <f aca="false">(AZ79-AZ78)/AZ78</f>
        <v>0.00538474111288858</v>
      </c>
      <c r="BB79" s="7"/>
      <c r="BC79" s="7"/>
      <c r="BD79" s="7"/>
      <c r="BE79" s="7"/>
      <c r="BF79" s="7" t="n">
        <f aca="false">BF78*(1+AY79)*(1+BA79)*(1-BE79)</f>
        <v>119.6922952255</v>
      </c>
      <c r="BG79" s="7"/>
      <c r="BH79" s="7" t="n">
        <f aca="false">BH78+1</f>
        <v>48</v>
      </c>
      <c r="BI79" s="39" t="n">
        <f aca="false">T86/AG86</f>
        <v>0.0112379700595196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125267621.133722</v>
      </c>
      <c r="E80" s="9"/>
      <c r="F80" s="67" t="n">
        <f aca="false">'Central pensions'!I80</f>
        <v>22768872.9620721</v>
      </c>
      <c r="G80" s="9" t="n">
        <f aca="false">'Central pensions'!K80</f>
        <v>2365099.97471112</v>
      </c>
      <c r="H80" s="9" t="n">
        <f aca="false">'Central pensions'!V80</f>
        <v>13012082.2435528</v>
      </c>
      <c r="I80" s="67" t="n">
        <f aca="false">'Central pensions'!M80</f>
        <v>73147.4218982798</v>
      </c>
      <c r="J80" s="9" t="n">
        <f aca="false">'Central pensions'!W80</f>
        <v>402435.533305744</v>
      </c>
      <c r="K80" s="9"/>
      <c r="L80" s="67" t="n">
        <f aca="false">'Central pensions'!N80</f>
        <v>2824314.47312612</v>
      </c>
      <c r="M80" s="67"/>
      <c r="N80" s="67" t="n">
        <f aca="false">'Central pensions'!L80</f>
        <v>1042092.92620122</v>
      </c>
      <c r="O80" s="9"/>
      <c r="P80" s="9" t="n">
        <f aca="false">'Central pensions'!X80</f>
        <v>20388669.0401156</v>
      </c>
      <c r="Q80" s="67"/>
      <c r="R80" s="67" t="n">
        <f aca="false">'Central SIPA income'!G75</f>
        <v>19431874.8800547</v>
      </c>
      <c r="S80" s="67"/>
      <c r="T80" s="9" t="n">
        <f aca="false">'Central SIPA income'!J75</f>
        <v>74299457.7975192</v>
      </c>
      <c r="U80" s="9"/>
      <c r="V80" s="67" t="n">
        <f aca="false">'Central SIPA income'!F75</f>
        <v>144097.829532122</v>
      </c>
      <c r="W80" s="67"/>
      <c r="X80" s="67" t="n">
        <f aca="false">'Central SIPA income'!M75</f>
        <v>361932.203227654</v>
      </c>
      <c r="Y80" s="9"/>
      <c r="Z80" s="9" t="n">
        <f aca="false">R80+V80-N80-L80-F80</f>
        <v>-7059307.65181259</v>
      </c>
      <c r="AA80" s="9"/>
      <c r="AB80" s="9" t="n">
        <f aca="false">T80-P80-D80</f>
        <v>-71356832.3763179</v>
      </c>
      <c r="AC80" s="50"/>
      <c r="AD80" s="9"/>
      <c r="AE80" s="9"/>
      <c r="AF80" s="9"/>
      <c r="AG80" s="9" t="n">
        <f aca="false">BF80/100*$AG$53</f>
        <v>6607520583.64318</v>
      </c>
      <c r="AH80" s="39" t="n">
        <f aca="false">(AG80-AG79)/AG79</f>
        <v>0.00434035036629093</v>
      </c>
      <c r="AI80" s="39"/>
      <c r="AJ80" s="39" t="n">
        <f aca="false">AB80/AG80</f>
        <v>-0.0107993356165943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13286125</v>
      </c>
      <c r="AY80" s="39" t="n">
        <f aca="false">(AW80-AW79)/AW79</f>
        <v>0.00267276264236125</v>
      </c>
      <c r="AZ80" s="38" t="n">
        <f aca="false">workers_and_wage_central!B68</f>
        <v>7223.32468202964</v>
      </c>
      <c r="BA80" s="39" t="n">
        <f aca="false">(AZ80-AZ79)/AZ79</f>
        <v>0.00166314253868333</v>
      </c>
      <c r="BB80" s="7"/>
      <c r="BC80" s="7"/>
      <c r="BD80" s="7"/>
      <c r="BE80" s="7"/>
      <c r="BF80" s="7" t="n">
        <f aca="false">BF79*(1+AY80)*(1+BA80)*(1-BE80)</f>
        <v>120.211801722925</v>
      </c>
      <c r="BG80" s="7"/>
      <c r="BH80" s="0" t="n">
        <f aca="false">BH79+1</f>
        <v>49</v>
      </c>
      <c r="BI80" s="39" t="n">
        <f aca="false">T87/AG87</f>
        <v>0.0132180715546377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125406476.058556</v>
      </c>
      <c r="E81" s="9"/>
      <c r="F81" s="67" t="n">
        <f aca="false">'Central pensions'!I81</f>
        <v>22794111.4883178</v>
      </c>
      <c r="G81" s="9" t="n">
        <f aca="false">'Central pensions'!K81</f>
        <v>2446268.6594273</v>
      </c>
      <c r="H81" s="9" t="n">
        <f aca="false">'Central pensions'!V81</f>
        <v>13458648.3982275</v>
      </c>
      <c r="I81" s="67" t="n">
        <f aca="false">'Central pensions'!M81</f>
        <v>75657.7935905401</v>
      </c>
      <c r="J81" s="9" t="n">
        <f aca="false">'Central pensions'!W81</f>
        <v>416246.857677166</v>
      </c>
      <c r="K81" s="9"/>
      <c r="L81" s="67" t="n">
        <f aca="false">'Central pensions'!N81</f>
        <v>2844324.73887467</v>
      </c>
      <c r="M81" s="67"/>
      <c r="N81" s="67" t="n">
        <f aca="false">'Central pensions'!L81</f>
        <v>1044273.12721636</v>
      </c>
      <c r="O81" s="9"/>
      <c r="P81" s="9" t="n">
        <f aca="false">'Central pensions'!X81</f>
        <v>20504497.2269316</v>
      </c>
      <c r="Q81" s="67"/>
      <c r="R81" s="67" t="n">
        <f aca="false">'Central SIPA income'!G76</f>
        <v>22858950.1901172</v>
      </c>
      <c r="S81" s="67"/>
      <c r="T81" s="9" t="n">
        <f aca="false">'Central SIPA income'!J76</f>
        <v>87403177.2759864</v>
      </c>
      <c r="U81" s="9"/>
      <c r="V81" s="67" t="n">
        <f aca="false">'Central SIPA income'!F76</f>
        <v>143059.389536097</v>
      </c>
      <c r="W81" s="67"/>
      <c r="X81" s="67" t="n">
        <f aca="false">'Central SIPA income'!M76</f>
        <v>359323.941348197</v>
      </c>
      <c r="Y81" s="9"/>
      <c r="Z81" s="9" t="n">
        <f aca="false">R81+V81-N81-L81-F81</f>
        <v>-3680699.7747555</v>
      </c>
      <c r="AA81" s="9"/>
      <c r="AB81" s="9" t="n">
        <f aca="false">T81-P81-D81</f>
        <v>-58507796.0095016</v>
      </c>
      <c r="AC81" s="50"/>
      <c r="AD81" s="9"/>
      <c r="AE81" s="9"/>
      <c r="AF81" s="9"/>
      <c r="AG81" s="9" t="n">
        <f aca="false">BF81/100*$AG$53</f>
        <v>6641773596.2523</v>
      </c>
      <c r="AH81" s="39" t="n">
        <f aca="false">(AG81-AG80)/AG80</f>
        <v>0.00518394338322822</v>
      </c>
      <c r="AI81" s="39" t="n">
        <f aca="false">(AG81-AG77)/AG77</f>
        <v>0.0188214386168729</v>
      </c>
      <c r="AJ81" s="39" t="n">
        <f aca="false">AB81/AG81</f>
        <v>-0.00880906209186583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13324718</v>
      </c>
      <c r="AY81" s="39" t="n">
        <f aca="false">(AW81-AW80)/AW80</f>
        <v>0.00290475966468778</v>
      </c>
      <c r="AZ81" s="38" t="n">
        <f aca="false">workers_and_wage_central!B69</f>
        <v>7239.74028266406</v>
      </c>
      <c r="BA81" s="39" t="n">
        <f aca="false">(AZ81-AZ80)/AZ80</f>
        <v>0.00227258241281321</v>
      </c>
      <c r="BB81" s="7"/>
      <c r="BC81" s="7"/>
      <c r="BD81" s="7"/>
      <c r="BE81" s="7"/>
      <c r="BF81" s="7" t="n">
        <f aca="false">BF80*(1+AY81)*(1+BA81)*(1-BE81)</f>
        <v>120.834972897052</v>
      </c>
      <c r="BG81" s="73" t="e">
        <f aca="false">(BB81-BB77)/BB77</f>
        <v>#DIV/0!</v>
      </c>
      <c r="BH81" s="0" t="n">
        <f aca="false">BH80+1</f>
        <v>50</v>
      </c>
      <c r="BI81" s="39" t="n">
        <f aca="false">T88/AG88</f>
        <v>0.0113552223365272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125488962.741887</v>
      </c>
      <c r="E82" s="6"/>
      <c r="F82" s="8" t="n">
        <f aca="false">'Central pensions'!I82</f>
        <v>22809104.4194266</v>
      </c>
      <c r="G82" s="6" t="n">
        <f aca="false">'Central pensions'!K82</f>
        <v>2535858.32007228</v>
      </c>
      <c r="H82" s="6" t="n">
        <f aca="false">'Central pensions'!V82</f>
        <v>13951544.2778728</v>
      </c>
      <c r="I82" s="8" t="n">
        <f aca="false">'Central pensions'!M82</f>
        <v>78428.6078372803</v>
      </c>
      <c r="J82" s="6" t="n">
        <f aca="false">'Central pensions'!W82</f>
        <v>431491.060140359</v>
      </c>
      <c r="K82" s="6"/>
      <c r="L82" s="8" t="n">
        <f aca="false">'Central pensions'!N82</f>
        <v>3444354.70737903</v>
      </c>
      <c r="M82" s="8"/>
      <c r="N82" s="8" t="n">
        <f aca="false">'Central pensions'!L82</f>
        <v>1046814.81255652</v>
      </c>
      <c r="O82" s="6"/>
      <c r="P82" s="6" t="n">
        <f aca="false">'Central pensions'!X82</f>
        <v>23632039.1887464</v>
      </c>
      <c r="Q82" s="8"/>
      <c r="R82" s="8" t="n">
        <f aca="false">'Central SIPA income'!G77</f>
        <v>19435335.1542362</v>
      </c>
      <c r="S82" s="8"/>
      <c r="T82" s="6" t="n">
        <f aca="false">'Central SIPA income'!J77</f>
        <v>74312688.45576</v>
      </c>
      <c r="U82" s="6"/>
      <c r="V82" s="8" t="n">
        <f aca="false">'Central SIPA income'!F77</f>
        <v>145597.808320578</v>
      </c>
      <c r="W82" s="8"/>
      <c r="X82" s="8" t="n">
        <f aca="false">'Central SIPA income'!M77</f>
        <v>365699.717488371</v>
      </c>
      <c r="Y82" s="6"/>
      <c r="Z82" s="6" t="n">
        <f aca="false">R82+V82-N82-L82-F82</f>
        <v>-7719340.97680539</v>
      </c>
      <c r="AA82" s="6"/>
      <c r="AB82" s="6" t="n">
        <f aca="false">T82-P82-D82</f>
        <v>-74808313.4748737</v>
      </c>
      <c r="AC82" s="50"/>
      <c r="AD82" s="6"/>
      <c r="AE82" s="6"/>
      <c r="AF82" s="6"/>
      <c r="AG82" s="6" t="n">
        <f aca="false">BF82/100*$AG$53</f>
        <v>6647231333.56633</v>
      </c>
      <c r="AH82" s="61" t="n">
        <f aca="false">(AG82-AG81)/AG81</f>
        <v>0.000821728900411804</v>
      </c>
      <c r="AI82" s="61"/>
      <c r="AJ82" s="61" t="n">
        <f aca="false">AB82/AG82</f>
        <v>-0.0112540559702077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0.0039939074563208</v>
      </c>
      <c r="AV82" s="5"/>
      <c r="AW82" s="65" t="n">
        <f aca="false">workers_and_wage_central!C70</f>
        <v>13330364</v>
      </c>
      <c r="AX82" s="5"/>
      <c r="AY82" s="61" t="n">
        <f aca="false">(AW82-AW81)/AW81</f>
        <v>0.000423723789126344</v>
      </c>
      <c r="AZ82" s="66" t="n">
        <f aca="false">workers_and_wage_central!B70</f>
        <v>7242.62051587761</v>
      </c>
      <c r="BA82" s="61" t="n">
        <f aca="false">(AZ82-AZ81)/AZ81</f>
        <v>0.000397836538480116</v>
      </c>
      <c r="BB82" s="5"/>
      <c r="BC82" s="5"/>
      <c r="BD82" s="5"/>
      <c r="BE82" s="5"/>
      <c r="BF82" s="5" t="n">
        <f aca="false">BF81*(1+AY82)*(1+BA82)*(1-BE82)</f>
        <v>120.934266486462</v>
      </c>
      <c r="BG82" s="5"/>
      <c r="BH82" s="5" t="n">
        <f aca="false">BH81+1</f>
        <v>51</v>
      </c>
      <c r="BI82" s="61" t="n">
        <f aca="false">T89/AG89</f>
        <v>0.0133271483621949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125783466.756693</v>
      </c>
      <c r="E83" s="9"/>
      <c r="F83" s="67" t="n">
        <f aca="false">'Central pensions'!I83</f>
        <v>22862634.0102278</v>
      </c>
      <c r="G83" s="9" t="n">
        <f aca="false">'Central pensions'!K83</f>
        <v>2617016.83484957</v>
      </c>
      <c r="H83" s="9" t="n">
        <f aca="false">'Central pensions'!V83</f>
        <v>14398054.4805443</v>
      </c>
      <c r="I83" s="67" t="n">
        <f aca="false">'Central pensions'!M83</f>
        <v>80938.66499535</v>
      </c>
      <c r="J83" s="9" t="n">
        <f aca="false">'Central pensions'!W83</f>
        <v>445300.654037467</v>
      </c>
      <c r="K83" s="9"/>
      <c r="L83" s="67" t="n">
        <f aca="false">'Central pensions'!N83</f>
        <v>2769617.00209895</v>
      </c>
      <c r="M83" s="67"/>
      <c r="N83" s="67" t="n">
        <f aca="false">'Central pensions'!L83</f>
        <v>1051658.56907115</v>
      </c>
      <c r="O83" s="9"/>
      <c r="P83" s="9" t="n">
        <f aca="false">'Central pensions'!X83</f>
        <v>20157470.9476842</v>
      </c>
      <c r="Q83" s="67"/>
      <c r="R83" s="67" t="n">
        <f aca="false">'Central SIPA income'!G78</f>
        <v>23154472.8562513</v>
      </c>
      <c r="S83" s="67"/>
      <c r="T83" s="9" t="n">
        <f aca="false">'Central SIPA income'!J78</f>
        <v>88533133.8034018</v>
      </c>
      <c r="U83" s="9"/>
      <c r="V83" s="67" t="n">
        <f aca="false">'Central SIPA income'!F78</f>
        <v>143129.041391035</v>
      </c>
      <c r="W83" s="67"/>
      <c r="X83" s="67" t="n">
        <f aca="false">'Central SIPA income'!M78</f>
        <v>359498.886726615</v>
      </c>
      <c r="Y83" s="9"/>
      <c r="Z83" s="9" t="n">
        <f aca="false">R83+V83-N83-L83-F83</f>
        <v>-3386307.68375562</v>
      </c>
      <c r="AA83" s="9"/>
      <c r="AB83" s="9" t="n">
        <f aca="false">T83-P83-D83</f>
        <v>-57407803.9009753</v>
      </c>
      <c r="AC83" s="50"/>
      <c r="AD83" s="9"/>
      <c r="AE83" s="9"/>
      <c r="AF83" s="9"/>
      <c r="AG83" s="9" t="n">
        <f aca="false">BF83/100*$AG$53</f>
        <v>6693061176.15429</v>
      </c>
      <c r="AH83" s="39" t="n">
        <f aca="false">(AG83-AG82)/AG82</f>
        <v>0.00689457614578989</v>
      </c>
      <c r="AI83" s="39"/>
      <c r="AJ83" s="39" t="n">
        <f aca="false">AB83/AG83</f>
        <v>-0.00857721189005489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13344143</v>
      </c>
      <c r="AX83" s="7"/>
      <c r="AY83" s="39" t="n">
        <f aca="false">(AW83-AW82)/AW82</f>
        <v>0.00103365519501193</v>
      </c>
      <c r="AZ83" s="38" t="n">
        <f aca="false">workers_and_wage_central!B71</f>
        <v>7285.02511046816</v>
      </c>
      <c r="BA83" s="39" t="n">
        <f aca="false">(AZ83-AZ82)/AZ82</f>
        <v>0.00585486903498377</v>
      </c>
      <c r="BB83" s="7"/>
      <c r="BC83" s="7"/>
      <c r="BD83" s="7"/>
      <c r="BE83" s="7"/>
      <c r="BF83" s="7" t="n">
        <f aca="false">BF82*(1+AY83)*(1+BA83)*(1-BE83)</f>
        <v>121.768056995388</v>
      </c>
      <c r="BG83" s="7"/>
      <c r="BH83" s="7" t="n">
        <f aca="false">BH82+1</f>
        <v>52</v>
      </c>
      <c r="BI83" s="39" t="n">
        <f aca="false">T90/AG90</f>
        <v>0.0113000849275935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126220212.706385</v>
      </c>
      <c r="E84" s="9"/>
      <c r="F84" s="67" t="n">
        <f aca="false">'Central pensions'!I84</f>
        <v>22942017.7564445</v>
      </c>
      <c r="G84" s="9" t="n">
        <f aca="false">'Central pensions'!K84</f>
        <v>2722109.34202977</v>
      </c>
      <c r="H84" s="9" t="n">
        <f aca="false">'Central pensions'!V84</f>
        <v>14976242.4477473</v>
      </c>
      <c r="I84" s="67" t="n">
        <f aca="false">'Central pensions'!M84</f>
        <v>84188.9487225702</v>
      </c>
      <c r="J84" s="9" t="n">
        <f aca="false">'Central pensions'!W84</f>
        <v>463182.756115895</v>
      </c>
      <c r="K84" s="9"/>
      <c r="L84" s="67" t="n">
        <f aca="false">'Central pensions'!N84</f>
        <v>2834320.76781347</v>
      </c>
      <c r="M84" s="67"/>
      <c r="N84" s="67" t="n">
        <f aca="false">'Central pensions'!L84</f>
        <v>1057226.30739723</v>
      </c>
      <c r="O84" s="9"/>
      <c r="P84" s="9" t="n">
        <f aca="false">'Central pensions'!X84</f>
        <v>20523851.1490873</v>
      </c>
      <c r="Q84" s="67"/>
      <c r="R84" s="67" t="n">
        <f aca="false">'Central SIPA income'!G79</f>
        <v>19776645.5461113</v>
      </c>
      <c r="S84" s="67"/>
      <c r="T84" s="9" t="n">
        <f aca="false">'Central SIPA income'!J79</f>
        <v>75617718.3210462</v>
      </c>
      <c r="U84" s="9"/>
      <c r="V84" s="67" t="n">
        <f aca="false">'Central SIPA income'!F79</f>
        <v>148452.951160343</v>
      </c>
      <c r="W84" s="67"/>
      <c r="X84" s="67" t="n">
        <f aca="false">'Central SIPA income'!M79</f>
        <v>372871.013141338</v>
      </c>
      <c r="Y84" s="9"/>
      <c r="Z84" s="9" t="n">
        <f aca="false">R84+V84-N84-L84-F84</f>
        <v>-6908466.33438363</v>
      </c>
      <c r="AA84" s="9"/>
      <c r="AB84" s="9" t="n">
        <f aca="false">T84-P84-D84</f>
        <v>-71126345.5344266</v>
      </c>
      <c r="AC84" s="50"/>
      <c r="AD84" s="9"/>
      <c r="AE84" s="9"/>
      <c r="AF84" s="9"/>
      <c r="AG84" s="9" t="n">
        <f aca="false">BF84/100*$AG$53</f>
        <v>6716976952.61133</v>
      </c>
      <c r="AH84" s="39" t="n">
        <f aca="false">(AG84-AG83)/AG83</f>
        <v>0.00357321946230709</v>
      </c>
      <c r="AI84" s="39"/>
      <c r="AJ84" s="39" t="n">
        <f aca="false">AB84/AG84</f>
        <v>-0.0105890411767417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13390304</v>
      </c>
      <c r="AY84" s="39" t="n">
        <f aca="false">(AW84-AW83)/AW83</f>
        <v>0.00345927048293772</v>
      </c>
      <c r="AZ84" s="38" t="n">
        <f aca="false">workers_and_wage_central!B72</f>
        <v>7285.85236992994</v>
      </c>
      <c r="BA84" s="39" t="n">
        <f aca="false">(AZ84-AZ83)/AZ83</f>
        <v>0.000113556157904169</v>
      </c>
      <c r="BB84" s="7"/>
      <c r="BC84" s="7"/>
      <c r="BD84" s="7"/>
      <c r="BE84" s="7"/>
      <c r="BF84" s="7" t="n">
        <f aca="false">BF83*(1+AY84)*(1+BA84)*(1-BE84)</f>
        <v>122.203160986532</v>
      </c>
      <c r="BG84" s="7"/>
      <c r="BH84" s="0" t="n">
        <f aca="false">BH83+1</f>
        <v>53</v>
      </c>
      <c r="BI84" s="39" t="n">
        <f aca="false">T91/AG91</f>
        <v>0.0133814305269013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126336893.243312</v>
      </c>
      <c r="E85" s="9"/>
      <c r="F85" s="67" t="n">
        <f aca="false">'Central pensions'!I85</f>
        <v>22963225.8252047</v>
      </c>
      <c r="G85" s="9" t="n">
        <f aca="false">'Central pensions'!K85</f>
        <v>2791113.08927694</v>
      </c>
      <c r="H85" s="9" t="n">
        <f aca="false">'Central pensions'!V85</f>
        <v>15355880.7057043</v>
      </c>
      <c r="I85" s="67" t="n">
        <f aca="false">'Central pensions'!M85</f>
        <v>86323.0852353699</v>
      </c>
      <c r="J85" s="9" t="n">
        <f aca="false">'Central pensions'!W85</f>
        <v>474924.145537249</v>
      </c>
      <c r="K85" s="9"/>
      <c r="L85" s="67" t="n">
        <f aca="false">'Central pensions'!N85</f>
        <v>2793819.88139458</v>
      </c>
      <c r="M85" s="67"/>
      <c r="N85" s="67" t="n">
        <f aca="false">'Central pensions'!L85</f>
        <v>1059775.39720103</v>
      </c>
      <c r="O85" s="9"/>
      <c r="P85" s="9" t="n">
        <f aca="false">'Central pensions'!X85</f>
        <v>20327716.196924</v>
      </c>
      <c r="Q85" s="67"/>
      <c r="R85" s="67" t="n">
        <f aca="false">'Central SIPA income'!G80</f>
        <v>23408469.8704715</v>
      </c>
      <c r="S85" s="67"/>
      <c r="T85" s="9" t="n">
        <f aca="false">'Central SIPA income'!J80</f>
        <v>89504313.4016258</v>
      </c>
      <c r="U85" s="9"/>
      <c r="V85" s="67" t="n">
        <f aca="false">'Central SIPA income'!F80</f>
        <v>144387.303953738</v>
      </c>
      <c r="W85" s="67"/>
      <c r="X85" s="67" t="n">
        <f aca="false">'Central SIPA income'!M80</f>
        <v>362659.279516962</v>
      </c>
      <c r="Y85" s="9"/>
      <c r="Z85" s="9" t="n">
        <f aca="false">R85+V85-N85-L85-F85</f>
        <v>-3263963.92937505</v>
      </c>
      <c r="AA85" s="9"/>
      <c r="AB85" s="9" t="n">
        <f aca="false">T85-P85-D85</f>
        <v>-57160296.03861</v>
      </c>
      <c r="AC85" s="50"/>
      <c r="AD85" s="9"/>
      <c r="AE85" s="9"/>
      <c r="AF85" s="9"/>
      <c r="AG85" s="9" t="n">
        <f aca="false">BF85/100*$AG$53</f>
        <v>6748453414.02162</v>
      </c>
      <c r="AH85" s="39" t="n">
        <f aca="false">(AG85-AG84)/AG84</f>
        <v>0.0046861053167744</v>
      </c>
      <c r="AI85" s="39" t="n">
        <f aca="false">(AG85-AG81)/AG81</f>
        <v>0.0160619473433288</v>
      </c>
      <c r="AJ85" s="39" t="n">
        <f aca="false">AB85/AG85</f>
        <v>-0.00847013271512625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13418045</v>
      </c>
      <c r="AY85" s="39" t="n">
        <f aca="false">(AW85-AW84)/AW84</f>
        <v>0.00207172294221251</v>
      </c>
      <c r="AZ85" s="38" t="n">
        <f aca="false">workers_and_wage_central!B73</f>
        <v>7304.86099334831</v>
      </c>
      <c r="BA85" s="39" t="n">
        <f aca="false">(AZ85-AZ84)/AZ84</f>
        <v>0.00260897729644127</v>
      </c>
      <c r="BB85" s="7"/>
      <c r="BC85" s="7"/>
      <c r="BD85" s="7"/>
      <c r="BE85" s="7"/>
      <c r="BF85" s="7" t="n">
        <f aca="false">BF84*(1+AY85)*(1+BA85)*(1-BE85)</f>
        <v>122.775817868957</v>
      </c>
      <c r="BG85" s="73" t="e">
        <f aca="false">(BB85-BB81)/BB81</f>
        <v>#DIV/0!</v>
      </c>
      <c r="BH85" s="0" t="n">
        <f aca="false">BH84+1</f>
        <v>54</v>
      </c>
      <c r="BI85" s="39" t="n">
        <f aca="false">T92/AG92</f>
        <v>0.0114457760167554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126442280.844343</v>
      </c>
      <c r="E86" s="6"/>
      <c r="F86" s="8" t="n">
        <f aca="false">'Central pensions'!I86</f>
        <v>22982381.2691889</v>
      </c>
      <c r="G86" s="6" t="n">
        <f aca="false">'Central pensions'!K86</f>
        <v>2856999.87522584</v>
      </c>
      <c r="H86" s="6" t="n">
        <f aca="false">'Central pensions'!V86</f>
        <v>15718370.3622505</v>
      </c>
      <c r="I86" s="8" t="n">
        <f aca="false">'Central pensions'!M86</f>
        <v>88360.8208832699</v>
      </c>
      <c r="J86" s="6" t="n">
        <f aca="false">'Central pensions'!W86</f>
        <v>486135.165842779</v>
      </c>
      <c r="K86" s="6"/>
      <c r="L86" s="8" t="n">
        <f aca="false">'Central pensions'!N86</f>
        <v>3360604.53333141</v>
      </c>
      <c r="M86" s="8"/>
      <c r="N86" s="8" t="n">
        <f aca="false">'Central pensions'!L86</f>
        <v>1060902.31728783</v>
      </c>
      <c r="O86" s="6"/>
      <c r="P86" s="6" t="n">
        <f aca="false">'Central pensions'!X86</f>
        <v>23274964.4320275</v>
      </c>
      <c r="Q86" s="8"/>
      <c r="R86" s="8" t="n">
        <f aca="false">'Central SIPA income'!G81</f>
        <v>20023463.6884231</v>
      </c>
      <c r="S86" s="8"/>
      <c r="T86" s="6" t="n">
        <f aca="false">'Central SIPA income'!J81</f>
        <v>76561448.8803235</v>
      </c>
      <c r="U86" s="6"/>
      <c r="V86" s="8" t="n">
        <f aca="false">'Central SIPA income'!F81</f>
        <v>146479.301045154</v>
      </c>
      <c r="W86" s="8"/>
      <c r="X86" s="8" t="n">
        <f aca="false">'Central SIPA income'!M81</f>
        <v>367913.773071101</v>
      </c>
      <c r="Y86" s="6"/>
      <c r="Z86" s="6" t="n">
        <f aca="false">R86+V86-N86-L86-F86</f>
        <v>-7233945.13033985</v>
      </c>
      <c r="AA86" s="6"/>
      <c r="AB86" s="6" t="n">
        <f aca="false">T86-P86-D86</f>
        <v>-73155796.3960472</v>
      </c>
      <c r="AC86" s="50"/>
      <c r="AD86" s="6"/>
      <c r="AE86" s="6"/>
      <c r="AF86" s="6"/>
      <c r="AG86" s="6" t="n">
        <f aca="false">BF86/100*$AG$53</f>
        <v>6812747184.30744</v>
      </c>
      <c r="AH86" s="61" t="n">
        <f aca="false">(AG86-AG85)/AG85</f>
        <v>0.00952718591080992</v>
      </c>
      <c r="AI86" s="61"/>
      <c r="AJ86" s="61" t="n">
        <f aca="false">AB86/AG86</f>
        <v>-0.0107380759063767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0.00786139082065331</v>
      </c>
      <c r="AV86" s="5"/>
      <c r="AW86" s="65" t="n">
        <f aca="false">workers_and_wage_central!C74</f>
        <v>13447320</v>
      </c>
      <c r="AX86" s="5"/>
      <c r="AY86" s="61" t="n">
        <f aca="false">(AW86-AW85)/AW85</f>
        <v>0.00218176343871257</v>
      </c>
      <c r="AZ86" s="66" t="n">
        <f aca="false">workers_and_wage_central!B74</f>
        <v>7358.40147078823</v>
      </c>
      <c r="BA86" s="61" t="n">
        <f aca="false">(AZ86-AZ85)/AZ85</f>
        <v>0.00732943138667149</v>
      </c>
      <c r="BB86" s="5"/>
      <c r="BC86" s="5"/>
      <c r="BD86" s="5"/>
      <c r="BE86" s="5"/>
      <c r="BF86" s="5" t="n">
        <f aca="false">BF85*(1+AY86)*(1+BA86)*(1-BE86)</f>
        <v>123.945525911146</v>
      </c>
      <c r="BG86" s="5"/>
      <c r="BH86" s="5" t="n">
        <f aca="false">BH85+1</f>
        <v>55</v>
      </c>
      <c r="BI86" s="61" t="n">
        <f aca="false">T93/AG93</f>
        <v>0.0134438439309997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126657841.532441</v>
      </c>
      <c r="E87" s="9"/>
      <c r="F87" s="67" t="n">
        <f aca="false">'Central pensions'!I87</f>
        <v>23021561.9758911</v>
      </c>
      <c r="G87" s="9" t="n">
        <f aca="false">'Central pensions'!K87</f>
        <v>2941473.49821482</v>
      </c>
      <c r="H87" s="9" t="n">
        <f aca="false">'Central pensions'!V87</f>
        <v>16183119.3121877</v>
      </c>
      <c r="I87" s="67" t="n">
        <f aca="false">'Central pensions'!M87</f>
        <v>90973.40716128</v>
      </c>
      <c r="J87" s="9" t="n">
        <f aca="false">'Central pensions'!W87</f>
        <v>500508.844706819</v>
      </c>
      <c r="K87" s="9"/>
      <c r="L87" s="67" t="n">
        <f aca="false">'Central pensions'!N87</f>
        <v>2750600.62359516</v>
      </c>
      <c r="M87" s="67"/>
      <c r="N87" s="67" t="n">
        <f aca="false">'Central pensions'!L87</f>
        <v>1064510.99925022</v>
      </c>
      <c r="O87" s="9"/>
      <c r="P87" s="9" t="n">
        <f aca="false">'Central pensions'!X87</f>
        <v>20129505.1479933</v>
      </c>
      <c r="Q87" s="67"/>
      <c r="R87" s="67" t="n">
        <f aca="false">'Central SIPA income'!G82</f>
        <v>23638648.0748359</v>
      </c>
      <c r="S87" s="67"/>
      <c r="T87" s="9" t="n">
        <f aca="false">'Central SIPA income'!J82</f>
        <v>90384419.7159493</v>
      </c>
      <c r="U87" s="9"/>
      <c r="V87" s="67" t="n">
        <f aca="false">'Central SIPA income'!F82</f>
        <v>149347.945742628</v>
      </c>
      <c r="W87" s="67"/>
      <c r="X87" s="67" t="n">
        <f aca="false">'Central SIPA income'!M82</f>
        <v>375118.98149794</v>
      </c>
      <c r="Y87" s="9"/>
      <c r="Z87" s="9" t="n">
        <f aca="false">R87+V87-N87-L87-F87</f>
        <v>-3048677.57815797</v>
      </c>
      <c r="AA87" s="9"/>
      <c r="AB87" s="9" t="n">
        <f aca="false">T87-P87-D87</f>
        <v>-56402926.9644854</v>
      </c>
      <c r="AC87" s="50"/>
      <c r="AD87" s="9"/>
      <c r="AE87" s="9"/>
      <c r="AF87" s="9"/>
      <c r="AG87" s="9" t="n">
        <f aca="false">BF87/100*$AG$53</f>
        <v>6837942989.06158</v>
      </c>
      <c r="AH87" s="39" t="n">
        <f aca="false">(AG87-AG86)/AG86</f>
        <v>0.00369833256284197</v>
      </c>
      <c r="AI87" s="39"/>
      <c r="AJ87" s="39" t="n">
        <f aca="false">AB87/AG87</f>
        <v>-0.00824852255345082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13440233</v>
      </c>
      <c r="AX87" s="7"/>
      <c r="AY87" s="39" t="n">
        <f aca="false">(AW87-AW86)/AW86</f>
        <v>-0.000527019510207238</v>
      </c>
      <c r="AZ87" s="38" t="n">
        <f aca="false">workers_and_wage_central!B75</f>
        <v>7389.50970234211</v>
      </c>
      <c r="BA87" s="39" t="n">
        <f aca="false">(AZ87-AZ86)/AZ86</f>
        <v>0.00422758009023777</v>
      </c>
      <c r="BB87" s="7"/>
      <c r="BC87" s="7"/>
      <c r="BD87" s="7"/>
      <c r="BE87" s="7"/>
      <c r="BF87" s="7" t="n">
        <f aca="false">BF86*(1+AY87)*(1+BA87)*(1-BE87)</f>
        <v>124.403917685642</v>
      </c>
      <c r="BG87" s="7"/>
      <c r="BH87" s="7" t="n">
        <f aca="false">BH86+1</f>
        <v>56</v>
      </c>
      <c r="BI87" s="39" t="n">
        <f aca="false">T94/AG94</f>
        <v>0.0114185756851078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126962790.474775</v>
      </c>
      <c r="E88" s="9"/>
      <c r="F88" s="67" t="n">
        <f aca="false">'Central pensions'!I88</f>
        <v>23076990.0559095</v>
      </c>
      <c r="G88" s="9" t="n">
        <f aca="false">'Central pensions'!K88</f>
        <v>3021886.46835728</v>
      </c>
      <c r="H88" s="9" t="n">
        <f aca="false">'Central pensions'!V88</f>
        <v>16625527.7482496</v>
      </c>
      <c r="I88" s="67" t="n">
        <f aca="false">'Central pensions'!M88</f>
        <v>93460.4062378602</v>
      </c>
      <c r="J88" s="9" t="n">
        <f aca="false">'Central pensions'!W88</f>
        <v>514191.579842805</v>
      </c>
      <c r="K88" s="9"/>
      <c r="L88" s="67" t="n">
        <f aca="false">'Central pensions'!N88</f>
        <v>2686546.88748016</v>
      </c>
      <c r="M88" s="67"/>
      <c r="N88" s="67" t="n">
        <f aca="false">'Central pensions'!L88</f>
        <v>1068946.29290544</v>
      </c>
      <c r="O88" s="9"/>
      <c r="P88" s="9" t="n">
        <f aca="false">'Central pensions'!X88</f>
        <v>19821531.6838617</v>
      </c>
      <c r="Q88" s="67"/>
      <c r="R88" s="67" t="n">
        <f aca="false">'Central SIPA income'!G83</f>
        <v>20484608.2743394</v>
      </c>
      <c r="S88" s="67"/>
      <c r="T88" s="9" t="n">
        <f aca="false">'Central SIPA income'!J83</f>
        <v>78324675.1727599</v>
      </c>
      <c r="U88" s="9"/>
      <c r="V88" s="67" t="n">
        <f aca="false">'Central SIPA income'!F83</f>
        <v>147186.779054367</v>
      </c>
      <c r="W88" s="67"/>
      <c r="X88" s="67" t="n">
        <f aca="false">'Central SIPA income'!M83</f>
        <v>369690.753858674</v>
      </c>
      <c r="Y88" s="9"/>
      <c r="Z88" s="9" t="n">
        <f aca="false">R88+V88-N88-L88-F88</f>
        <v>-6200688.18290131</v>
      </c>
      <c r="AA88" s="9"/>
      <c r="AB88" s="9" t="n">
        <f aca="false">T88-P88-D88</f>
        <v>-68459646.9858772</v>
      </c>
      <c r="AC88" s="50"/>
      <c r="AD88" s="9"/>
      <c r="AE88" s="9"/>
      <c r="AF88" s="9"/>
      <c r="AG88" s="9" t="n">
        <f aca="false">BF88/100*$AG$53</f>
        <v>6897678693.68855</v>
      </c>
      <c r="AH88" s="39" t="n">
        <f aca="false">(AG88-AG87)/AG87</f>
        <v>0.00873591732521452</v>
      </c>
      <c r="AI88" s="39"/>
      <c r="AJ88" s="39" t="n">
        <f aca="false">AB88/AG88</f>
        <v>-0.00992502695849236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13500466</v>
      </c>
      <c r="AY88" s="39" t="n">
        <f aca="false">(AW88-AW87)/AW87</f>
        <v>0.00448154433036987</v>
      </c>
      <c r="AZ88" s="38" t="n">
        <f aca="false">workers_and_wage_central!B76</f>
        <v>7420.80717186779</v>
      </c>
      <c r="BA88" s="39" t="n">
        <f aca="false">(AZ88-AZ87)/AZ87</f>
        <v>0.00423539189829605</v>
      </c>
      <c r="BB88" s="7"/>
      <c r="BC88" s="7"/>
      <c r="BD88" s="7"/>
      <c r="BE88" s="7"/>
      <c r="BF88" s="7" t="n">
        <f aca="false">BF87*(1+AY88)*(1+BA88)*(1-BE88)</f>
        <v>125.490700025477</v>
      </c>
      <c r="BG88" s="7"/>
      <c r="BH88" s="0" t="n">
        <f aca="false">BH87+1</f>
        <v>57</v>
      </c>
      <c r="BI88" s="39" t="n">
        <f aca="false">T95/AG95</f>
        <v>0.0133881896021482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127182876.197087</v>
      </c>
      <c r="E89" s="9"/>
      <c r="F89" s="67" t="n">
        <f aca="false">'Central pensions'!I89</f>
        <v>23116993.2411438</v>
      </c>
      <c r="G89" s="9" t="n">
        <f aca="false">'Central pensions'!K89</f>
        <v>3081770.59069245</v>
      </c>
      <c r="H89" s="9" t="n">
        <f aca="false">'Central pensions'!V89</f>
        <v>16954992.5206651</v>
      </c>
      <c r="I89" s="67" t="n">
        <f aca="false">'Central pensions'!M89</f>
        <v>95312.49249565</v>
      </c>
      <c r="J89" s="9" t="n">
        <f aca="false">'Central pensions'!W89</f>
        <v>524381.211979374</v>
      </c>
      <c r="K89" s="9"/>
      <c r="L89" s="67" t="n">
        <f aca="false">'Central pensions'!N89</f>
        <v>2718629.57128917</v>
      </c>
      <c r="M89" s="67"/>
      <c r="N89" s="67" t="n">
        <f aca="false">'Central pensions'!L89</f>
        <v>1072732.55566115</v>
      </c>
      <c r="O89" s="9"/>
      <c r="P89" s="9" t="n">
        <f aca="false">'Central pensions'!X89</f>
        <v>20008839.7832151</v>
      </c>
      <c r="Q89" s="67"/>
      <c r="R89" s="67" t="n">
        <f aca="false">'Central SIPA income'!G84</f>
        <v>24269942.5564754</v>
      </c>
      <c r="S89" s="67"/>
      <c r="T89" s="9" t="n">
        <f aca="false">'Central SIPA income'!J84</f>
        <v>92798228.8818641</v>
      </c>
      <c r="U89" s="9"/>
      <c r="V89" s="67" t="n">
        <f aca="false">'Central SIPA income'!F84</f>
        <v>148017.876290939</v>
      </c>
      <c r="W89" s="67"/>
      <c r="X89" s="67" t="n">
        <f aca="false">'Central SIPA income'!M84</f>
        <v>371778.230504961</v>
      </c>
      <c r="Y89" s="9"/>
      <c r="Z89" s="9" t="n">
        <f aca="false">R89+V89-N89-L89-F89</f>
        <v>-2490394.93532779</v>
      </c>
      <c r="AA89" s="9"/>
      <c r="AB89" s="9" t="n">
        <f aca="false">T89-P89-D89</f>
        <v>-54393487.0984378</v>
      </c>
      <c r="AC89" s="50"/>
      <c r="AD89" s="9"/>
      <c r="AE89" s="9"/>
      <c r="AF89" s="9"/>
      <c r="AG89" s="9" t="n">
        <f aca="false">BF89/100*$AG$53</f>
        <v>6963097157.76141</v>
      </c>
      <c r="AH89" s="39" t="n">
        <f aca="false">(AG89-AG88)/AG88</f>
        <v>0.00948412748374682</v>
      </c>
      <c r="AI89" s="39" t="n">
        <f aca="false">(AG89-AG85)/AG85</f>
        <v>0.0318063607424214</v>
      </c>
      <c r="AJ89" s="39" t="n">
        <f aca="false">AB89/AG89</f>
        <v>-0.00781168004209277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13583179</v>
      </c>
      <c r="AY89" s="39" t="n">
        <f aca="false">(AW89-AW88)/AW88</f>
        <v>0.00612667740506143</v>
      </c>
      <c r="AZ89" s="38" t="n">
        <f aca="false">workers_and_wage_central!B77</f>
        <v>7445.57044490549</v>
      </c>
      <c r="BA89" s="39" t="n">
        <f aca="false">(AZ89-AZ88)/AZ88</f>
        <v>0.00333700532356875</v>
      </c>
      <c r="BB89" s="7"/>
      <c r="BC89" s="7"/>
      <c r="BD89" s="7"/>
      <c r="BE89" s="7"/>
      <c r="BF89" s="7" t="n">
        <f aca="false">BF88*(1+AY89)*(1+BA89)*(1-BE89)</f>
        <v>126.680869822543</v>
      </c>
      <c r="BG89" s="73" t="e">
        <f aca="false">(BB89-BB85)/BB85</f>
        <v>#DIV/0!</v>
      </c>
      <c r="BH89" s="0" t="n">
        <f aca="false">BH88+1</f>
        <v>58</v>
      </c>
      <c r="BI89" s="39" t="n">
        <f aca="false">T96/AG96</f>
        <v>0.0114922330665609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127485847.343113</v>
      </c>
      <c r="E90" s="6"/>
      <c r="F90" s="8" t="n">
        <f aca="false">'Central pensions'!I90</f>
        <v>23172061.8332717</v>
      </c>
      <c r="G90" s="6" t="n">
        <f aca="false">'Central pensions'!K90</f>
        <v>3164661.17854128</v>
      </c>
      <c r="H90" s="6" t="n">
        <f aca="false">'Central pensions'!V90</f>
        <v>17411032.0783321</v>
      </c>
      <c r="I90" s="8" t="n">
        <f aca="false">'Central pensions'!M90</f>
        <v>97876.1189239603</v>
      </c>
      <c r="J90" s="6" t="n">
        <f aca="false">'Central pensions'!W90</f>
        <v>538485.528195856</v>
      </c>
      <c r="K90" s="6"/>
      <c r="L90" s="8" t="n">
        <f aca="false">'Central pensions'!N90</f>
        <v>3312548.04732642</v>
      </c>
      <c r="M90" s="8"/>
      <c r="N90" s="8" t="n">
        <f aca="false">'Central pensions'!L90</f>
        <v>1076255.18883354</v>
      </c>
      <c r="O90" s="6"/>
      <c r="P90" s="6" t="n">
        <f aca="false">'Central pensions'!X90</f>
        <v>23110066.0671118</v>
      </c>
      <c r="Q90" s="8"/>
      <c r="R90" s="8" t="n">
        <f aca="false">'Central SIPA income'!G85</f>
        <v>20601490.2319505</v>
      </c>
      <c r="S90" s="8"/>
      <c r="T90" s="6" t="n">
        <f aca="false">'Central SIPA income'!J85</f>
        <v>78771583.4680438</v>
      </c>
      <c r="U90" s="6"/>
      <c r="V90" s="8" t="n">
        <f aca="false">'Central SIPA income'!F85</f>
        <v>146379.455871656</v>
      </c>
      <c r="W90" s="8"/>
      <c r="X90" s="8" t="n">
        <f aca="false">'Central SIPA income'!M85</f>
        <v>367662.990781436</v>
      </c>
      <c r="Y90" s="6"/>
      <c r="Z90" s="6" t="n">
        <f aca="false">R90+V90-N90-L90-F90</f>
        <v>-6812995.38160948</v>
      </c>
      <c r="AA90" s="6"/>
      <c r="AB90" s="6" t="n">
        <f aca="false">T90-P90-D90</f>
        <v>-71824329.9421808</v>
      </c>
      <c r="AC90" s="50"/>
      <c r="AD90" s="6"/>
      <c r="AE90" s="6"/>
      <c r="AF90" s="6"/>
      <c r="AG90" s="6" t="n">
        <f aca="false">BF90/100*$AG$53</f>
        <v>6970884198.90481</v>
      </c>
      <c r="AH90" s="61" t="n">
        <f aca="false">(AG90-AG89)/AG89</f>
        <v>0.00111833010037992</v>
      </c>
      <c r="AI90" s="61"/>
      <c r="AJ90" s="61" t="n">
        <f aca="false">AB90/AG90</f>
        <v>-0.010303474838022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0.00374524510767294</v>
      </c>
      <c r="AV90" s="5"/>
      <c r="AW90" s="65" t="n">
        <f aca="false">workers_and_wage_central!C78</f>
        <v>13524997</v>
      </c>
      <c r="AX90" s="5"/>
      <c r="AY90" s="61" t="n">
        <f aca="false">(AW90-AW89)/AW89</f>
        <v>-0.00428338609098798</v>
      </c>
      <c r="AZ90" s="66" t="n">
        <f aca="false">workers_and_wage_central!B78</f>
        <v>7485.96231731618</v>
      </c>
      <c r="BA90" s="61" t="n">
        <f aca="false">(AZ90-AZ89)/AZ89</f>
        <v>0.00542495336113934</v>
      </c>
      <c r="BB90" s="5"/>
      <c r="BC90" s="5"/>
      <c r="BD90" s="5"/>
      <c r="BE90" s="5"/>
      <c r="BF90" s="5" t="n">
        <f aca="false">BF89*(1+AY90)*(1+BA90)*(1-BE90)</f>
        <v>126.822540852408</v>
      </c>
      <c r="BG90" s="5"/>
      <c r="BH90" s="5" t="n">
        <f aca="false">BH89+1</f>
        <v>59</v>
      </c>
      <c r="BI90" s="61" t="n">
        <f aca="false">T97/AG97</f>
        <v>0.0134873830277071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128169399.488818</v>
      </c>
      <c r="E91" s="9"/>
      <c r="F91" s="67" t="n">
        <f aca="false">'Central pensions'!I91</f>
        <v>23296305.5271142</v>
      </c>
      <c r="G91" s="9" t="n">
        <f aca="false">'Central pensions'!K91</f>
        <v>3176057.62691758</v>
      </c>
      <c r="H91" s="9" t="n">
        <f aca="false">'Central pensions'!V91</f>
        <v>17473731.9748026</v>
      </c>
      <c r="I91" s="67" t="n">
        <f aca="false">'Central pensions'!M91</f>
        <v>98228.5863995198</v>
      </c>
      <c r="J91" s="9" t="n">
        <f aca="false">'Central pensions'!W91</f>
        <v>540424.700251667</v>
      </c>
      <c r="K91" s="9"/>
      <c r="L91" s="67" t="n">
        <f aca="false">'Central pensions'!N91</f>
        <v>2728824.80142814</v>
      </c>
      <c r="M91" s="67"/>
      <c r="N91" s="67" t="n">
        <f aca="false">'Central pensions'!L91</f>
        <v>1082581.04355048</v>
      </c>
      <c r="O91" s="9"/>
      <c r="P91" s="9" t="n">
        <f aca="false">'Central pensions'!X91</f>
        <v>20115926.3554657</v>
      </c>
      <c r="Q91" s="67"/>
      <c r="R91" s="67" t="n">
        <f aca="false">'Central SIPA income'!G86</f>
        <v>24632507.6301567</v>
      </c>
      <c r="S91" s="67"/>
      <c r="T91" s="9" t="n">
        <f aca="false">'Central SIPA income'!J86</f>
        <v>94184527.8652157</v>
      </c>
      <c r="U91" s="9"/>
      <c r="V91" s="67" t="n">
        <f aca="false">'Central SIPA income'!F86</f>
        <v>148403.98165016</v>
      </c>
      <c r="W91" s="67"/>
      <c r="X91" s="67" t="n">
        <f aca="false">'Central SIPA income'!M86</f>
        <v>372748.01585006</v>
      </c>
      <c r="Y91" s="9"/>
      <c r="Z91" s="9" t="n">
        <f aca="false">R91+V91-N91-L91-F91</f>
        <v>-2326799.76028599</v>
      </c>
      <c r="AA91" s="9"/>
      <c r="AB91" s="9" t="n">
        <f aca="false">T91-P91-D91</f>
        <v>-54100797.9790682</v>
      </c>
      <c r="AC91" s="50"/>
      <c r="AD91" s="9"/>
      <c r="AE91" s="9"/>
      <c r="AF91" s="9"/>
      <c r="AG91" s="9" t="n">
        <f aca="false">BF91/100*$AG$53</f>
        <v>7038449863.47853</v>
      </c>
      <c r="AH91" s="39" t="n">
        <f aca="false">(AG91-AG90)/AG90</f>
        <v>0.00969255300272251</v>
      </c>
      <c r="AI91" s="39"/>
      <c r="AJ91" s="39" t="n">
        <f aca="false">AB91/AG91</f>
        <v>-0.0076864649217421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13557284</v>
      </c>
      <c r="AX91" s="7"/>
      <c r="AY91" s="39" t="n">
        <f aca="false">(AW91-AW90)/AW90</f>
        <v>0.00238720940196881</v>
      </c>
      <c r="AZ91" s="38" t="n">
        <f aca="false">workers_and_wage_central!B79</f>
        <v>7540.51960455742</v>
      </c>
      <c r="BA91" s="39" t="n">
        <f aca="false">(AZ91-AZ90)/AZ90</f>
        <v>0.00728794574814263</v>
      </c>
      <c r="BB91" s="7"/>
      <c r="BC91" s="7"/>
      <c r="BD91" s="7"/>
      <c r="BE91" s="7"/>
      <c r="BF91" s="7" t="n">
        <f aca="false">BF90*(1+AY91)*(1+BA91)*(1-BE91)</f>
        <v>128.05177505156</v>
      </c>
      <c r="BG91" s="7"/>
      <c r="BH91" s="7" t="n">
        <f aca="false">BH90+1</f>
        <v>60</v>
      </c>
      <c r="BI91" s="39" t="n">
        <f aca="false">T98/AG98</f>
        <v>0.0114316401770926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128380232.379659</v>
      </c>
      <c r="E92" s="9"/>
      <c r="F92" s="67" t="n">
        <f aca="false">'Central pensions'!I92</f>
        <v>23334626.900701</v>
      </c>
      <c r="G92" s="9" t="n">
        <f aca="false">'Central pensions'!K92</f>
        <v>3223104.73383942</v>
      </c>
      <c r="H92" s="9" t="n">
        <f aca="false">'Central pensions'!V92</f>
        <v>17732571.2759459</v>
      </c>
      <c r="I92" s="67" t="n">
        <f aca="false">'Central pensions'!M92</f>
        <v>99683.6515620397</v>
      </c>
      <c r="J92" s="9" t="n">
        <f aca="false">'Central pensions'!W92</f>
        <v>548430.039462222</v>
      </c>
      <c r="K92" s="9"/>
      <c r="L92" s="67" t="n">
        <f aca="false">'Central pensions'!N92</f>
        <v>2704158.34835098</v>
      </c>
      <c r="M92" s="67"/>
      <c r="N92" s="67" t="n">
        <f aca="false">'Central pensions'!L92</f>
        <v>1084859.59963335</v>
      </c>
      <c r="O92" s="9"/>
      <c r="P92" s="9" t="n">
        <f aca="false">'Central pensions'!X92</f>
        <v>20000467.9564742</v>
      </c>
      <c r="Q92" s="67"/>
      <c r="R92" s="67" t="n">
        <f aca="false">'Central SIPA income'!G87</f>
        <v>20998938.3835609</v>
      </c>
      <c r="S92" s="67"/>
      <c r="T92" s="9" t="n">
        <f aca="false">'Central SIPA income'!J87</f>
        <v>80291260.923233</v>
      </c>
      <c r="U92" s="9"/>
      <c r="V92" s="67" t="n">
        <f aca="false">'Central SIPA income'!F87</f>
        <v>148902.396572579</v>
      </c>
      <c r="W92" s="67"/>
      <c r="X92" s="67" t="n">
        <f aca="false">'Central SIPA income'!M87</f>
        <v>373999.890438167</v>
      </c>
      <c r="Y92" s="9"/>
      <c r="Z92" s="9" t="n">
        <f aca="false">R92+V92-N92-L92-F92</f>
        <v>-5975804.06855184</v>
      </c>
      <c r="AA92" s="9"/>
      <c r="AB92" s="9" t="n">
        <f aca="false">T92-P92-D92</f>
        <v>-68089439.4129006</v>
      </c>
      <c r="AC92" s="50"/>
      <c r="AD92" s="9"/>
      <c r="AE92" s="9"/>
      <c r="AF92" s="9"/>
      <c r="AG92" s="9" t="n">
        <f aca="false">BF92/100*$AG$53</f>
        <v>7014925052.32454</v>
      </c>
      <c r="AH92" s="39" t="n">
        <f aca="false">(AG92-AG91)/AG91</f>
        <v>-0.00334232844025208</v>
      </c>
      <c r="AI92" s="39"/>
      <c r="AJ92" s="39" t="n">
        <f aca="false">AB92/AG92</f>
        <v>-0.00970636733892656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13560832</v>
      </c>
      <c r="AY92" s="39" t="n">
        <f aca="false">(AW92-AW91)/AW91</f>
        <v>0.000261704335470143</v>
      </c>
      <c r="AZ92" s="38" t="n">
        <f aca="false">workers_and_wage_central!B80</f>
        <v>7513.35043504607</v>
      </c>
      <c r="BA92" s="39" t="n">
        <f aca="false">(AZ92-AZ91)/AZ91</f>
        <v>-0.00360308983149247</v>
      </c>
      <c r="BB92" s="7"/>
      <c r="BC92" s="7"/>
      <c r="BD92" s="7"/>
      <c r="BE92" s="7"/>
      <c r="BF92" s="7" t="n">
        <f aca="false">BF91*(1+AY92)*(1+BA92)*(1-BE92)</f>
        <v>127.62378396198</v>
      </c>
      <c r="BG92" s="7"/>
      <c r="BH92" s="0" t="n">
        <f aca="false">BH91+1</f>
        <v>61</v>
      </c>
      <c r="BI92" s="39" t="n">
        <f aca="false">T99/AG99</f>
        <v>0.0134059058251015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128194960.093034</v>
      </c>
      <c r="E93" s="9"/>
      <c r="F93" s="67" t="n">
        <f aca="false">'Central pensions'!I93</f>
        <v>23300951.4694971</v>
      </c>
      <c r="G93" s="9" t="n">
        <f aca="false">'Central pensions'!K93</f>
        <v>3278336.11916375</v>
      </c>
      <c r="H93" s="9" t="n">
        <f aca="false">'Central pensions'!V93</f>
        <v>18036438.0621072</v>
      </c>
      <c r="I93" s="67" t="n">
        <f aca="false">'Central pensions'!M93</f>
        <v>101391.83873702</v>
      </c>
      <c r="J93" s="9" t="n">
        <f aca="false">'Central pensions'!W93</f>
        <v>557827.981302265</v>
      </c>
      <c r="K93" s="9"/>
      <c r="L93" s="67" t="n">
        <f aca="false">'Central pensions'!N93</f>
        <v>2657027.95092625</v>
      </c>
      <c r="M93" s="67"/>
      <c r="N93" s="67" t="n">
        <f aca="false">'Central pensions'!L93</f>
        <v>1082648.21632118</v>
      </c>
      <c r="O93" s="9"/>
      <c r="P93" s="9" t="n">
        <f aca="false">'Central pensions'!X93</f>
        <v>19743741.7216688</v>
      </c>
      <c r="Q93" s="67"/>
      <c r="R93" s="67" t="n">
        <f aca="false">'Central SIPA income'!G88</f>
        <v>24849975.7623163</v>
      </c>
      <c r="S93" s="67"/>
      <c r="T93" s="9" t="n">
        <f aca="false">'Central SIPA income'!J88</f>
        <v>95016036.1168608</v>
      </c>
      <c r="U93" s="9"/>
      <c r="V93" s="67" t="n">
        <f aca="false">'Central SIPA income'!F88</f>
        <v>151425.806049955</v>
      </c>
      <c r="W93" s="67"/>
      <c r="X93" s="67" t="n">
        <f aca="false">'Central SIPA income'!M88</f>
        <v>380337.967526196</v>
      </c>
      <c r="Y93" s="9"/>
      <c r="Z93" s="9" t="n">
        <f aca="false">R93+V93-N93-L93-F93</f>
        <v>-2039226.0683783</v>
      </c>
      <c r="AA93" s="9"/>
      <c r="AB93" s="9" t="n">
        <f aca="false">T93-P93-D93</f>
        <v>-52922665.6978424</v>
      </c>
      <c r="AC93" s="50"/>
      <c r="AD93" s="9"/>
      <c r="AE93" s="9"/>
      <c r="AF93" s="9"/>
      <c r="AG93" s="9" t="n">
        <f aca="false">BF93/100*$AG$53</f>
        <v>7067624156.0471</v>
      </c>
      <c r="AH93" s="39" t="n">
        <f aca="false">(AG93-AG92)/AG92</f>
        <v>0.00751242576784139</v>
      </c>
      <c r="AI93" s="39" t="n">
        <f aca="false">(AG93-AG89)/AG89</f>
        <v>0.0150115668239923</v>
      </c>
      <c r="AJ93" s="39" t="n">
        <f aca="false">AB93/AG93</f>
        <v>-0.00748804188357434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13600362</v>
      </c>
      <c r="AY93" s="39" t="n">
        <f aca="false">(AW93-AW92)/AW92</f>
        <v>0.00291501288416522</v>
      </c>
      <c r="AZ93" s="38" t="n">
        <f aca="false">workers_and_wage_central!B81</f>
        <v>7547.79201149662</v>
      </c>
      <c r="BA93" s="39" t="n">
        <f aca="false">(AZ93-AZ92)/AZ92</f>
        <v>0.00458405031793769</v>
      </c>
      <c r="BB93" s="7"/>
      <c r="BC93" s="7"/>
      <c r="BD93" s="7"/>
      <c r="BE93" s="7"/>
      <c r="BF93" s="7" t="n">
        <f aca="false">BF92*(1+AY93)*(1+BA93)*(1-BE93)</f>
        <v>128.582548165206</v>
      </c>
      <c r="BG93" s="73" t="e">
        <f aca="false">(BB93-BB89)/BB89</f>
        <v>#DIV/0!</v>
      </c>
      <c r="BH93" s="0" t="n">
        <f aca="false">BH92+1</f>
        <v>62</v>
      </c>
      <c r="BI93" s="39" t="n">
        <f aca="false">T100/AG100</f>
        <v>0.0115657791317231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128715444.768736</v>
      </c>
      <c r="E94" s="6"/>
      <c r="F94" s="8" t="n">
        <f aca="false">'Central pensions'!I94</f>
        <v>23395555.7204002</v>
      </c>
      <c r="G94" s="6" t="n">
        <f aca="false">'Central pensions'!K94</f>
        <v>3341143.61477865</v>
      </c>
      <c r="H94" s="6" t="n">
        <f aca="false">'Central pensions'!V94</f>
        <v>18381986.3717732</v>
      </c>
      <c r="I94" s="8" t="n">
        <f aca="false">'Central pensions'!M94</f>
        <v>103334.3386014</v>
      </c>
      <c r="J94" s="6" t="n">
        <f aca="false">'Central pensions'!W94</f>
        <v>568515.042425968</v>
      </c>
      <c r="K94" s="6"/>
      <c r="L94" s="8" t="n">
        <f aca="false">'Central pensions'!N94</f>
        <v>3228329.31654905</v>
      </c>
      <c r="M94" s="8"/>
      <c r="N94" s="8" t="n">
        <f aca="false">'Central pensions'!L94</f>
        <v>1086623.4193136</v>
      </c>
      <c r="O94" s="6"/>
      <c r="P94" s="6" t="n">
        <f aca="false">'Central pensions'!X94</f>
        <v>22730097.6177277</v>
      </c>
      <c r="Q94" s="8"/>
      <c r="R94" s="8" t="n">
        <f aca="false">'Central SIPA income'!G89</f>
        <v>21176631.453824</v>
      </c>
      <c r="S94" s="8"/>
      <c r="T94" s="6" t="n">
        <f aca="false">'Central SIPA income'!J89</f>
        <v>80970685.7783443</v>
      </c>
      <c r="U94" s="6"/>
      <c r="V94" s="8" t="n">
        <f aca="false">'Central SIPA income'!F89</f>
        <v>147354.196905757</v>
      </c>
      <c r="W94" s="8"/>
      <c r="X94" s="8" t="n">
        <f aca="false">'Central SIPA income'!M89</f>
        <v>370111.25923346</v>
      </c>
      <c r="Y94" s="6"/>
      <c r="Z94" s="6" t="n">
        <f aca="false">R94+V94-N94-L94-F94</f>
        <v>-6386522.80553307</v>
      </c>
      <c r="AA94" s="6"/>
      <c r="AB94" s="6" t="n">
        <f aca="false">T94-P94-D94</f>
        <v>-70474856.6081195</v>
      </c>
      <c r="AC94" s="50"/>
      <c r="AD94" s="6"/>
      <c r="AE94" s="6"/>
      <c r="AF94" s="6"/>
      <c r="AG94" s="6" t="n">
        <f aca="false">BF94/100*$AG$53</f>
        <v>7091137109.50367</v>
      </c>
      <c r="AH94" s="61" t="n">
        <f aca="false">(AG94-AG93)/AG93</f>
        <v>0.00332685396639999</v>
      </c>
      <c r="AI94" s="61"/>
      <c r="AJ94" s="61" t="n">
        <f aca="false">AB94/AG94</f>
        <v>-0.00993844224414556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0.00362315644261364</v>
      </c>
      <c r="AV94" s="5"/>
      <c r="AW94" s="65" t="n">
        <f aca="false">workers_and_wage_central!C82</f>
        <v>13592111</v>
      </c>
      <c r="AX94" s="5"/>
      <c r="AY94" s="61" t="n">
        <f aca="false">(AW94-AW93)/AW93</f>
        <v>-0.000606675028208808</v>
      </c>
      <c r="AZ94" s="66" t="n">
        <f aca="false">workers_and_wage_central!B82</f>
        <v>7577.4994930063</v>
      </c>
      <c r="BA94" s="61" t="n">
        <f aca="false">(AZ94-AZ93)/AZ93</f>
        <v>0.00393591681705465</v>
      </c>
      <c r="BB94" s="5"/>
      <c r="BC94" s="5"/>
      <c r="BD94" s="5"/>
      <c r="BE94" s="5"/>
      <c r="BF94" s="5" t="n">
        <f aca="false">BF93*(1+AY94)*(1+BA94)*(1-BE94)</f>
        <v>129.010323525579</v>
      </c>
      <c r="BG94" s="5"/>
      <c r="BH94" s="5" t="n">
        <f aca="false">BH93+1</f>
        <v>63</v>
      </c>
      <c r="BI94" s="61" t="n">
        <f aca="false">T101/AG101</f>
        <v>0.0135724044385077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128890922.926104</v>
      </c>
      <c r="E95" s="9"/>
      <c r="F95" s="67" t="n">
        <f aca="false">'Central pensions'!I95</f>
        <v>23427450.9526761</v>
      </c>
      <c r="G95" s="9" t="n">
        <f aca="false">'Central pensions'!K95</f>
        <v>3420439.64794285</v>
      </c>
      <c r="H95" s="9" t="n">
        <f aca="false">'Central pensions'!V95</f>
        <v>18818249.7501304</v>
      </c>
      <c r="I95" s="67" t="n">
        <f aca="false">'Central pensions'!M95</f>
        <v>105786.79323534</v>
      </c>
      <c r="J95" s="9" t="n">
        <f aca="false">'Central pensions'!W95</f>
        <v>582007.724230807</v>
      </c>
      <c r="K95" s="9"/>
      <c r="L95" s="67" t="n">
        <f aca="false">'Central pensions'!N95</f>
        <v>2707794.92060296</v>
      </c>
      <c r="M95" s="67"/>
      <c r="N95" s="67" t="n">
        <f aca="false">'Central pensions'!L95</f>
        <v>1089185.23348136</v>
      </c>
      <c r="O95" s="9"/>
      <c r="P95" s="9" t="n">
        <f aca="false">'Central pensions'!X95</f>
        <v>20043136.5083407</v>
      </c>
      <c r="Q95" s="67"/>
      <c r="R95" s="67" t="n">
        <f aca="false">'Central SIPA income'!G90</f>
        <v>24938628.1917197</v>
      </c>
      <c r="S95" s="67"/>
      <c r="T95" s="9" t="n">
        <f aca="false">'Central SIPA income'!J90</f>
        <v>95355006.3643413</v>
      </c>
      <c r="U95" s="9"/>
      <c r="V95" s="67" t="n">
        <f aca="false">'Central SIPA income'!F90</f>
        <v>154400.528426998</v>
      </c>
      <c r="W95" s="67"/>
      <c r="X95" s="67" t="n">
        <f aca="false">'Central SIPA income'!M90</f>
        <v>387809.612501069</v>
      </c>
      <c r="Y95" s="9"/>
      <c r="Z95" s="9" t="n">
        <f aca="false">R95+V95-N95-L95-F95</f>
        <v>-2131402.38661377</v>
      </c>
      <c r="AA95" s="9"/>
      <c r="AB95" s="9" t="n">
        <f aca="false">T95-P95-D95</f>
        <v>-53579053.0701031</v>
      </c>
      <c r="AC95" s="50"/>
      <c r="AD95" s="9"/>
      <c r="AE95" s="9"/>
      <c r="AF95" s="9"/>
      <c r="AG95" s="9" t="n">
        <f aca="false">BF95/100*$AG$53</f>
        <v>7122322673.78715</v>
      </c>
      <c r="AH95" s="39" t="n">
        <f aca="false">(AG95-AG94)/AG94</f>
        <v>0.00439782277537439</v>
      </c>
      <c r="AI95" s="39"/>
      <c r="AJ95" s="39" t="n">
        <f aca="false">AB95/AG95</f>
        <v>-0.00752269386323851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13691094</v>
      </c>
      <c r="AX95" s="7"/>
      <c r="AY95" s="39" t="n">
        <f aca="false">(AW95-AW94)/AW94</f>
        <v>0.00728238608410423</v>
      </c>
      <c r="AZ95" s="38" t="n">
        <f aca="false">workers_and_wage_central!B83</f>
        <v>7555.79974196189</v>
      </c>
      <c r="BA95" s="39" t="n">
        <f aca="false">(AZ95-AZ94)/AZ94</f>
        <v>-0.00286370867651508</v>
      </c>
      <c r="BB95" s="7"/>
      <c r="BC95" s="7"/>
      <c r="BD95" s="7"/>
      <c r="BE95" s="7"/>
      <c r="BF95" s="7" t="n">
        <f aca="false">BF94*(1+AY95)*(1+BA95)*(1-BE95)</f>
        <v>129.577688064638</v>
      </c>
      <c r="BG95" s="7"/>
      <c r="BH95" s="7" t="n">
        <f aca="false">BH94+1</f>
        <v>64</v>
      </c>
      <c r="BI95" s="39" t="n">
        <f aca="false">T102/AG102</f>
        <v>0.0115239310846833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129079579.887465</v>
      </c>
      <c r="E96" s="9"/>
      <c r="F96" s="67" t="n">
        <f aca="false">'Central pensions'!I96</f>
        <v>23461741.5885785</v>
      </c>
      <c r="G96" s="9" t="n">
        <f aca="false">'Central pensions'!K96</f>
        <v>3450624.84314158</v>
      </c>
      <c r="H96" s="9" t="n">
        <f aca="false">'Central pensions'!V96</f>
        <v>18984319.7880414</v>
      </c>
      <c r="I96" s="67" t="n">
        <f aca="false">'Central pensions'!M96</f>
        <v>106720.35597345</v>
      </c>
      <c r="J96" s="9" t="n">
        <f aca="false">'Central pensions'!W96</f>
        <v>587143.910970349</v>
      </c>
      <c r="K96" s="9"/>
      <c r="L96" s="67" t="n">
        <f aca="false">'Central pensions'!N96</f>
        <v>2616514.01118906</v>
      </c>
      <c r="M96" s="67"/>
      <c r="N96" s="67" t="n">
        <f aca="false">'Central pensions'!L96</f>
        <v>1091766.34792395</v>
      </c>
      <c r="O96" s="9"/>
      <c r="P96" s="9" t="n">
        <f aca="false">'Central pensions'!X96</f>
        <v>19583679.965572</v>
      </c>
      <c r="Q96" s="67"/>
      <c r="R96" s="67" t="n">
        <f aca="false">'Central SIPA income'!G91</f>
        <v>21462022.5436279</v>
      </c>
      <c r="S96" s="67"/>
      <c r="T96" s="9" t="n">
        <f aca="false">'Central SIPA income'!J91</f>
        <v>82061903.3455406</v>
      </c>
      <c r="U96" s="9"/>
      <c r="V96" s="67" t="n">
        <f aca="false">'Central SIPA income'!F91</f>
        <v>155038.410381261</v>
      </c>
      <c r="W96" s="67"/>
      <c r="X96" s="67" t="n">
        <f aca="false">'Central SIPA income'!M91</f>
        <v>389411.788063707</v>
      </c>
      <c r="Y96" s="9"/>
      <c r="Z96" s="9" t="n">
        <f aca="false">R96+V96-N96-L96-F96</f>
        <v>-5552960.99368235</v>
      </c>
      <c r="AA96" s="9"/>
      <c r="AB96" s="9" t="n">
        <f aca="false">T96-P96-D96</f>
        <v>-66601356.5074967</v>
      </c>
      <c r="AC96" s="50"/>
      <c r="AD96" s="9"/>
      <c r="AE96" s="9"/>
      <c r="AF96" s="9"/>
      <c r="AG96" s="9" t="n">
        <f aca="false">BF96/100*$AG$53</f>
        <v>7140640367.30316</v>
      </c>
      <c r="AH96" s="39" t="n">
        <f aca="false">(AG96-AG95)/AG95</f>
        <v>0.00257187077235802</v>
      </c>
      <c r="AI96" s="39"/>
      <c r="AJ96" s="39" t="n">
        <f aca="false">AB96/AG96</f>
        <v>-0.00932708455847501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13685310</v>
      </c>
      <c r="AY96" s="39" t="n">
        <f aca="false">(AW96-AW95)/AW95</f>
        <v>-0.000422464413727639</v>
      </c>
      <c r="AZ96" s="38" t="n">
        <f aca="false">workers_and_wage_central!B84</f>
        <v>7578.43390111504</v>
      </c>
      <c r="BA96" s="39" t="n">
        <f aca="false">(AZ96-AZ95)/AZ95</f>
        <v>0.00299560072078789</v>
      </c>
      <c r="BB96" s="7"/>
      <c r="BC96" s="7"/>
      <c r="BD96" s="7"/>
      <c r="BE96" s="7"/>
      <c r="BF96" s="7" t="n">
        <f aca="false">BF95*(1+AY96)*(1+BA96)*(1-BE96)</f>
        <v>129.910945133321</v>
      </c>
      <c r="BG96" s="7"/>
      <c r="BH96" s="0" t="n">
        <f aca="false">BH95+1</f>
        <v>65</v>
      </c>
      <c r="BI96" s="39" t="n">
        <f aca="false">T103/AG103</f>
        <v>0.0135633502621557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128879709.450714</v>
      </c>
      <c r="E97" s="9"/>
      <c r="F97" s="67" t="n">
        <f aca="false">'Central pensions'!I97</f>
        <v>23425412.7707876</v>
      </c>
      <c r="G97" s="9" t="n">
        <f aca="false">'Central pensions'!K97</f>
        <v>3491863.01788572</v>
      </c>
      <c r="H97" s="9" t="n">
        <f aca="false">'Central pensions'!V97</f>
        <v>19211200.0582551</v>
      </c>
      <c r="I97" s="67" t="n">
        <f aca="false">'Central pensions'!M97</f>
        <v>107995.76343976</v>
      </c>
      <c r="J97" s="9" t="n">
        <f aca="false">'Central pensions'!W97</f>
        <v>594160.826543947</v>
      </c>
      <c r="K97" s="9"/>
      <c r="L97" s="67" t="n">
        <f aca="false">'Central pensions'!N97</f>
        <v>2639515.74297079</v>
      </c>
      <c r="M97" s="67"/>
      <c r="N97" s="67" t="n">
        <f aca="false">'Central pensions'!L97</f>
        <v>1089969.34765654</v>
      </c>
      <c r="O97" s="9"/>
      <c r="P97" s="9" t="n">
        <f aca="false">'Central pensions'!X97</f>
        <v>19693149.4958626</v>
      </c>
      <c r="Q97" s="67"/>
      <c r="R97" s="67" t="n">
        <f aca="false">'Central SIPA income'!G92</f>
        <v>25293704.1109621</v>
      </c>
      <c r="S97" s="67"/>
      <c r="T97" s="9" t="n">
        <f aca="false">'Central SIPA income'!J92</f>
        <v>96712669.916598</v>
      </c>
      <c r="U97" s="9"/>
      <c r="V97" s="67" t="n">
        <f aca="false">'Central SIPA income'!F92</f>
        <v>155087.989104784</v>
      </c>
      <c r="W97" s="67"/>
      <c r="X97" s="67" t="n">
        <f aca="false">'Central SIPA income'!M92</f>
        <v>389536.315523255</v>
      </c>
      <c r="Y97" s="9"/>
      <c r="Z97" s="9" t="n">
        <f aca="false">R97+V97-N97-L97-F97</f>
        <v>-1706105.76134808</v>
      </c>
      <c r="AA97" s="9"/>
      <c r="AB97" s="9" t="n">
        <f aca="false">T97-P97-D97</f>
        <v>-51860189.0299783</v>
      </c>
      <c r="AC97" s="50"/>
      <c r="AD97" s="9"/>
      <c r="AE97" s="9"/>
      <c r="AF97" s="9"/>
      <c r="AG97" s="9" t="n">
        <f aca="false">BF97/100*$AG$53</f>
        <v>7170603053.08462</v>
      </c>
      <c r="AH97" s="39" t="n">
        <f aca="false">(AG97-AG96)/AG96</f>
        <v>0.00419607825632214</v>
      </c>
      <c r="AI97" s="39" t="n">
        <f aca="false">(AG97-AG93)/AG93</f>
        <v>0.0145705112161929</v>
      </c>
      <c r="AJ97" s="39" t="n">
        <f aca="false">AB97/AG97</f>
        <v>-0.00723233299152841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13716637</v>
      </c>
      <c r="AY97" s="39" t="n">
        <f aca="false">(AW97-AW96)/AW96</f>
        <v>0.00228909684910316</v>
      </c>
      <c r="AZ97" s="38" t="n">
        <f aca="false">workers_and_wage_central!B85</f>
        <v>7592.85282734171</v>
      </c>
      <c r="BA97" s="39" t="n">
        <f aca="false">(AZ97-AZ96)/AZ96</f>
        <v>0.00190262611178129</v>
      </c>
      <c r="BB97" s="7"/>
      <c r="BC97" s="7"/>
      <c r="BD97" s="7"/>
      <c r="BE97" s="7"/>
      <c r="BF97" s="7" t="n">
        <f aca="false">BF96*(1+AY97)*(1+BA97)*(1-BE97)</f>
        <v>130.456061625453</v>
      </c>
      <c r="BG97" s="73" t="e">
        <f aca="false">(BB97-BB93)/BB93</f>
        <v>#DIV/0!</v>
      </c>
      <c r="BH97" s="0" t="n">
        <f aca="false">BH96+1</f>
        <v>66</v>
      </c>
      <c r="BI97" s="39" t="n">
        <f aca="false">T104/AG104</f>
        <v>0.0116035090505402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129518580.562946</v>
      </c>
      <c r="E98" s="6"/>
      <c r="F98" s="8" t="n">
        <f aca="false">'Central pensions'!I98</f>
        <v>23541535.1578969</v>
      </c>
      <c r="G98" s="6" t="n">
        <f aca="false">'Central pensions'!K98</f>
        <v>3550157.26302672</v>
      </c>
      <c r="H98" s="6" t="n">
        <f aca="false">'Central pensions'!V98</f>
        <v>19531917.7954379</v>
      </c>
      <c r="I98" s="8" t="n">
        <f aca="false">'Central pensions'!M98</f>
        <v>109798.67823794</v>
      </c>
      <c r="J98" s="6" t="n">
        <f aca="false">'Central pensions'!W98</f>
        <v>604079.93181767</v>
      </c>
      <c r="K98" s="6"/>
      <c r="L98" s="8" t="n">
        <f aca="false">'Central pensions'!N98</f>
        <v>3208179.7458246</v>
      </c>
      <c r="M98" s="8"/>
      <c r="N98" s="8" t="n">
        <f aca="false">'Central pensions'!L98</f>
        <v>1095643.38207186</v>
      </c>
      <c r="O98" s="6"/>
      <c r="P98" s="6" t="n">
        <f aca="false">'Central pensions'!X98</f>
        <v>22675166.5732282</v>
      </c>
      <c r="Q98" s="8"/>
      <c r="R98" s="8" t="n">
        <f aca="false">'Central SIPA income'!G93</f>
        <v>21518661.910742</v>
      </c>
      <c r="S98" s="8"/>
      <c r="T98" s="6" t="n">
        <f aca="false">'Central SIPA income'!J93</f>
        <v>82278468.8747317</v>
      </c>
      <c r="U98" s="6"/>
      <c r="V98" s="8" t="n">
        <f aca="false">'Central SIPA income'!F93</f>
        <v>150412.186465089</v>
      </c>
      <c r="W98" s="8"/>
      <c r="X98" s="8" t="n">
        <f aca="false">'Central SIPA income'!M93</f>
        <v>377792.047363648</v>
      </c>
      <c r="Y98" s="6"/>
      <c r="Z98" s="6" t="n">
        <f aca="false">R98+V98-N98-L98-F98</f>
        <v>-6176284.18858622</v>
      </c>
      <c r="AA98" s="6"/>
      <c r="AB98" s="6" t="n">
        <f aca="false">T98-P98-D98</f>
        <v>-69915278.2614423</v>
      </c>
      <c r="AC98" s="50"/>
      <c r="AD98" s="6"/>
      <c r="AE98" s="6"/>
      <c r="AF98" s="6"/>
      <c r="AG98" s="6" t="n">
        <f aca="false">BF98/100*$AG$53</f>
        <v>7197433404.14143</v>
      </c>
      <c r="AH98" s="61" t="n">
        <f aca="false">(AG98-AG97)/AG97</f>
        <v>0.00374171472861879</v>
      </c>
      <c r="AI98" s="61"/>
      <c r="AJ98" s="61" t="n">
        <f aca="false">AB98/AG98</f>
        <v>-0.00971391805045571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0.0044167728760798</v>
      </c>
      <c r="AV98" s="5"/>
      <c r="AW98" s="65" t="n">
        <f aca="false">workers_and_wage_central!C86</f>
        <v>13723916</v>
      </c>
      <c r="AX98" s="5"/>
      <c r="AY98" s="61" t="n">
        <f aca="false">(AW98-AW97)/AW97</f>
        <v>0.000530669434497683</v>
      </c>
      <c r="AZ98" s="66" t="n">
        <f aca="false">workers_and_wage_central!B86</f>
        <v>7617.22089029571</v>
      </c>
      <c r="BA98" s="61" t="n">
        <f aca="false">(AZ98-AZ97)/AZ97</f>
        <v>0.00320934219431351</v>
      </c>
      <c r="BB98" s="5"/>
      <c r="BC98" s="5"/>
      <c r="BD98" s="5"/>
      <c r="BE98" s="5"/>
      <c r="BF98" s="5" t="n">
        <f aca="false">BF97*(1+AY98)*(1+BA98)*(1-BE98)</f>
        <v>130.944190992675</v>
      </c>
      <c r="BG98" s="5"/>
      <c r="BH98" s="5" t="n">
        <f aca="false">BH97+1</f>
        <v>67</v>
      </c>
      <c r="BI98" s="61" t="n">
        <f aca="false">T105/AG105</f>
        <v>0.0135866055665187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129696638.963468</v>
      </c>
      <c r="E99" s="9"/>
      <c r="F99" s="67" t="n">
        <f aca="false">'Central pensions'!I99</f>
        <v>23573899.3799092</v>
      </c>
      <c r="G99" s="9" t="n">
        <f aca="false">'Central pensions'!K99</f>
        <v>3642198.53083864</v>
      </c>
      <c r="H99" s="9" t="n">
        <f aca="false">'Central pensions'!V99</f>
        <v>20038301.6943747</v>
      </c>
      <c r="I99" s="67" t="n">
        <f aca="false">'Central pensions'!M99</f>
        <v>112645.31538677</v>
      </c>
      <c r="J99" s="9" t="n">
        <f aca="false">'Central pensions'!W99</f>
        <v>619741.289516787</v>
      </c>
      <c r="K99" s="9"/>
      <c r="L99" s="67" t="n">
        <f aca="false">'Central pensions'!N99</f>
        <v>2671137.89270212</v>
      </c>
      <c r="M99" s="67"/>
      <c r="N99" s="67" t="n">
        <f aca="false">'Central pensions'!L99</f>
        <v>1098311.71556293</v>
      </c>
      <c r="O99" s="9"/>
      <c r="P99" s="9" t="n">
        <f aca="false">'Central pensions'!X99</f>
        <v>19903134.2279683</v>
      </c>
      <c r="Q99" s="67"/>
      <c r="R99" s="67" t="n">
        <f aca="false">'Central SIPA income'!G94</f>
        <v>25235843.6221635</v>
      </c>
      <c r="S99" s="67"/>
      <c r="T99" s="9" t="n">
        <f aca="false">'Central SIPA income'!J94</f>
        <v>96491435.3228097</v>
      </c>
      <c r="U99" s="9"/>
      <c r="V99" s="67" t="n">
        <f aca="false">'Central SIPA income'!F94</f>
        <v>152753.090728192</v>
      </c>
      <c r="W99" s="67"/>
      <c r="X99" s="67" t="n">
        <f aca="false">'Central SIPA income'!M94</f>
        <v>383671.723971137</v>
      </c>
      <c r="Y99" s="9"/>
      <c r="Z99" s="9" t="n">
        <f aca="false">R99+V99-N99-L99-F99</f>
        <v>-1954752.27528255</v>
      </c>
      <c r="AA99" s="9"/>
      <c r="AB99" s="9" t="n">
        <f aca="false">T99-P99-D99</f>
        <v>-53108337.8686267</v>
      </c>
      <c r="AC99" s="50"/>
      <c r="AD99" s="9"/>
      <c r="AE99" s="9"/>
      <c r="AF99" s="9"/>
      <c r="AG99" s="9" t="n">
        <f aca="false">BF99/100*$AG$53</f>
        <v>7197681125.14541</v>
      </c>
      <c r="AH99" s="39" t="n">
        <f aca="false">(AG99-AG98)/AG98</f>
        <v>3.44179640260316E-005</v>
      </c>
      <c r="AI99" s="39"/>
      <c r="AJ99" s="39" t="n">
        <f aca="false">AB99/AG99</f>
        <v>-0.00737853441201924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13734423</v>
      </c>
      <c r="AX99" s="7"/>
      <c r="AY99" s="39" t="n">
        <f aca="false">(AW99-AW98)/AW98</f>
        <v>0.000765597807506254</v>
      </c>
      <c r="AZ99" s="38" t="n">
        <f aca="false">workers_and_wage_central!B87</f>
        <v>7611.65559269703</v>
      </c>
      <c r="BA99" s="39" t="n">
        <f aca="false">(AZ99-AZ98)/AZ98</f>
        <v>-0.000730620482040857</v>
      </c>
      <c r="BB99" s="7"/>
      <c r="BC99" s="7"/>
      <c r="BD99" s="7"/>
      <c r="BE99" s="7"/>
      <c r="BF99" s="7" t="n">
        <f aca="false">BF98*(1+AY99)*(1+BA99)*(1-BE99)</f>
        <v>130.94869782513</v>
      </c>
      <c r="BG99" s="7"/>
      <c r="BH99" s="7" t="n">
        <f aca="false">BH98+1</f>
        <v>68</v>
      </c>
      <c r="BI99" s="39" t="n">
        <f aca="false">T106/AG106</f>
        <v>0.0115170190174537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129699144.814339</v>
      </c>
      <c r="E100" s="9"/>
      <c r="F100" s="67" t="n">
        <f aca="false">'Central pensions'!I100</f>
        <v>23574354.8479673</v>
      </c>
      <c r="G100" s="9" t="n">
        <f aca="false">'Central pensions'!K100</f>
        <v>3682072.865851</v>
      </c>
      <c r="H100" s="9" t="n">
        <f aca="false">'Central pensions'!V100</f>
        <v>20257678.5207819</v>
      </c>
      <c r="I100" s="67" t="n">
        <f aca="false">'Central pensions'!M100</f>
        <v>113878.54224281</v>
      </c>
      <c r="J100" s="9" t="n">
        <f aca="false">'Central pensions'!W100</f>
        <v>626526.139817973</v>
      </c>
      <c r="K100" s="9"/>
      <c r="L100" s="67" t="n">
        <f aca="false">'Central pensions'!N100</f>
        <v>2554285.70406232</v>
      </c>
      <c r="M100" s="67"/>
      <c r="N100" s="67" t="n">
        <f aca="false">'Central pensions'!L100</f>
        <v>1099002.79718649</v>
      </c>
      <c r="O100" s="9"/>
      <c r="P100" s="9" t="n">
        <f aca="false">'Central pensions'!X100</f>
        <v>19300589.7928152</v>
      </c>
      <c r="Q100" s="67"/>
      <c r="R100" s="67" t="n">
        <f aca="false">'Central SIPA income'!G95</f>
        <v>21924590.3596415</v>
      </c>
      <c r="S100" s="67"/>
      <c r="T100" s="9" t="n">
        <f aca="false">'Central SIPA income'!J95</f>
        <v>83830571.4816076</v>
      </c>
      <c r="U100" s="9"/>
      <c r="V100" s="67" t="n">
        <f aca="false">'Central SIPA income'!F95</f>
        <v>149364.060149111</v>
      </c>
      <c r="W100" s="67"/>
      <c r="X100" s="67" t="n">
        <f aca="false">'Central SIPA income'!M95</f>
        <v>375159.456241113</v>
      </c>
      <c r="Y100" s="9"/>
      <c r="Z100" s="9" t="n">
        <f aca="false">R100+V100-N100-L100-F100</f>
        <v>-5153688.92942548</v>
      </c>
      <c r="AA100" s="9"/>
      <c r="AB100" s="9" t="n">
        <f aca="false">T100-P100-D100</f>
        <v>-65169163.1255468</v>
      </c>
      <c r="AC100" s="50"/>
      <c r="AD100" s="9"/>
      <c r="AE100" s="9"/>
      <c r="AF100" s="9"/>
      <c r="AG100" s="9" t="n">
        <f aca="false">BF100/100*$AG$53</f>
        <v>7248156006.34063</v>
      </c>
      <c r="AH100" s="39" t="n">
        <f aca="false">(AG100-AG99)/AG99</f>
        <v>0.00701265870460485</v>
      </c>
      <c r="AI100" s="39"/>
      <c r="AJ100" s="39" t="n">
        <f aca="false">AB100/AG100</f>
        <v>-0.00899113692759059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13742393</v>
      </c>
      <c r="AY100" s="39" t="n">
        <f aca="false">(AW100-AW99)/AW99</f>
        <v>0.000580293762613835</v>
      </c>
      <c r="AZ100" s="38" t="n">
        <f aca="false">workers_and_wage_central!B88</f>
        <v>7660.58814402768</v>
      </c>
      <c r="BA100" s="39" t="n">
        <f aca="false">(AZ100-AZ99)/AZ99</f>
        <v>0.00642863444552031</v>
      </c>
      <c r="BB100" s="7"/>
      <c r="BC100" s="7"/>
      <c r="BD100" s="7"/>
      <c r="BE100" s="7"/>
      <c r="BF100" s="7" t="n">
        <f aca="false">BF99*(1+AY100)*(1+BA100)*(1-BE100)</f>
        <v>131.86699635079</v>
      </c>
      <c r="BG100" s="7"/>
      <c r="BH100" s="0" t="n">
        <f aca="false">BH99+1</f>
        <v>69</v>
      </c>
      <c r="BI100" s="39" t="n">
        <f aca="false">T107/AG107</f>
        <v>0.0135164435813609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130036840.059177</v>
      </c>
      <c r="E101" s="9"/>
      <c r="F101" s="67" t="n">
        <f aca="false">'Central pensions'!I101</f>
        <v>23635734.9560912</v>
      </c>
      <c r="G101" s="9" t="n">
        <f aca="false">'Central pensions'!K101</f>
        <v>3744509.93375253</v>
      </c>
      <c r="H101" s="9" t="n">
        <f aca="false">'Central pensions'!V101</f>
        <v>20601188.8464628</v>
      </c>
      <c r="I101" s="67" t="n">
        <f aca="false">'Central pensions'!M101</f>
        <v>115809.58557998</v>
      </c>
      <c r="J101" s="9" t="n">
        <f aca="false">'Central pensions'!W101</f>
        <v>637150.170509188</v>
      </c>
      <c r="K101" s="9"/>
      <c r="L101" s="67" t="n">
        <f aca="false">'Central pensions'!N101</f>
        <v>2578705.86900927</v>
      </c>
      <c r="M101" s="67"/>
      <c r="N101" s="67" t="n">
        <f aca="false">'Central pensions'!L101</f>
        <v>1103057.57162272</v>
      </c>
      <c r="O101" s="9"/>
      <c r="P101" s="9" t="n">
        <f aca="false">'Central pensions'!X101</f>
        <v>19449614.3174098</v>
      </c>
      <c r="Q101" s="67"/>
      <c r="R101" s="67" t="n">
        <f aca="false">'Central SIPA income'!G96</f>
        <v>25905403.8456776</v>
      </c>
      <c r="S101" s="67"/>
      <c r="T101" s="9" t="n">
        <f aca="false">'Central SIPA income'!J96</f>
        <v>99051556.8693388</v>
      </c>
      <c r="U101" s="9"/>
      <c r="V101" s="67" t="n">
        <f aca="false">'Central SIPA income'!F96</f>
        <v>150791.362595146</v>
      </c>
      <c r="W101" s="67"/>
      <c r="X101" s="67" t="n">
        <f aca="false">'Central SIPA income'!M96</f>
        <v>378744.42848284</v>
      </c>
      <c r="Y101" s="9"/>
      <c r="Z101" s="9" t="n">
        <f aca="false">R101+V101-N101-L101-F101</f>
        <v>-1261303.18845042</v>
      </c>
      <c r="AA101" s="9"/>
      <c r="AB101" s="9" t="n">
        <f aca="false">T101-P101-D101</f>
        <v>-50434897.507248</v>
      </c>
      <c r="AC101" s="50"/>
      <c r="AD101" s="9"/>
      <c r="AE101" s="9"/>
      <c r="AF101" s="9"/>
      <c r="AG101" s="9" t="n">
        <f aca="false">BF101/100*$AG$53</f>
        <v>7298010998.5751</v>
      </c>
      <c r="AH101" s="39" t="n">
        <f aca="false">(AG101-AG100)/AG100</f>
        <v>0.00687830010706953</v>
      </c>
      <c r="AI101" s="39" t="n">
        <f aca="false">(AG101-AG97)/AG97</f>
        <v>0.0177680934988685</v>
      </c>
      <c r="AJ101" s="39" t="n">
        <f aca="false">AB101/AG101</f>
        <v>-0.00691077301981255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13772381</v>
      </c>
      <c r="AY101" s="39" t="n">
        <f aca="false">(AW101-AW100)/AW100</f>
        <v>0.00218215270077053</v>
      </c>
      <c r="AZ101" s="38" t="n">
        <f aca="false">workers_and_wage_central!B89</f>
        <v>7696.48506261314</v>
      </c>
      <c r="BA101" s="39" t="n">
        <f aca="false">(AZ101-AZ100)/AZ100</f>
        <v>0.00468592200893167</v>
      </c>
      <c r="BB101" s="7"/>
      <c r="BC101" s="7"/>
      <c r="BD101" s="7"/>
      <c r="BE101" s="7"/>
      <c r="BF101" s="7" t="n">
        <f aca="false">BF100*(1+AY101)*(1+BA101)*(1-BE101)</f>
        <v>132.774017125909</v>
      </c>
      <c r="BG101" s="73" t="e">
        <f aca="false">(BB101-BB97)/BB97</f>
        <v>#DIV/0!</v>
      </c>
      <c r="BH101" s="0" t="n">
        <f aca="false">BH100+1</f>
        <v>70</v>
      </c>
      <c r="BI101" s="39" t="n">
        <f aca="false">T108/AG108</f>
        <v>0.0115758799072483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130103703.961919</v>
      </c>
      <c r="E102" s="6"/>
      <c r="F102" s="8" t="n">
        <f aca="false">'Central pensions'!I102</f>
        <v>23647888.2618976</v>
      </c>
      <c r="G102" s="6" t="n">
        <f aca="false">'Central pensions'!K102</f>
        <v>3814359.19861999</v>
      </c>
      <c r="H102" s="6" t="n">
        <f aca="false">'Central pensions'!V102</f>
        <v>20985478.8928987</v>
      </c>
      <c r="I102" s="8" t="n">
        <f aca="false">'Central pensions'!M102</f>
        <v>117969.87212227</v>
      </c>
      <c r="J102" s="6" t="n">
        <f aca="false">'Central pensions'!W102</f>
        <v>649035.429677291</v>
      </c>
      <c r="K102" s="6"/>
      <c r="L102" s="8" t="n">
        <f aca="false">'Central pensions'!N102</f>
        <v>3120958.42648055</v>
      </c>
      <c r="M102" s="8"/>
      <c r="N102" s="8" t="n">
        <f aca="false">'Central pensions'!L102</f>
        <v>1103817.73600123</v>
      </c>
      <c r="O102" s="6"/>
      <c r="P102" s="6" t="n">
        <f aca="false">'Central pensions'!X102</f>
        <v>22267547.6160143</v>
      </c>
      <c r="Q102" s="8"/>
      <c r="R102" s="8" t="n">
        <f aca="false">'Central SIPA income'!G97</f>
        <v>22154904.0000652</v>
      </c>
      <c r="S102" s="8"/>
      <c r="T102" s="6" t="n">
        <f aca="false">'Central SIPA income'!J97</f>
        <v>84711195.6474424</v>
      </c>
      <c r="U102" s="6"/>
      <c r="V102" s="8" t="n">
        <f aca="false">'Central SIPA income'!F97</f>
        <v>151761.097406538</v>
      </c>
      <c r="W102" s="8"/>
      <c r="X102" s="8" t="n">
        <f aca="false">'Central SIPA income'!M97</f>
        <v>381180.122746752</v>
      </c>
      <c r="Y102" s="6"/>
      <c r="Z102" s="6" t="n">
        <f aca="false">R102+V102-N102-L102-F102</f>
        <v>-5565999.32690763</v>
      </c>
      <c r="AA102" s="6"/>
      <c r="AB102" s="6" t="n">
        <f aca="false">T102-P102-D102</f>
        <v>-67660055.930491</v>
      </c>
      <c r="AC102" s="50"/>
      <c r="AD102" s="6"/>
      <c r="AE102" s="6"/>
      <c r="AF102" s="6"/>
      <c r="AG102" s="6" t="n">
        <f aca="false">BF102/100*$AG$53</f>
        <v>7350893980.96401</v>
      </c>
      <c r="AH102" s="61" t="n">
        <f aca="false">(AG102-AG101)/AG101</f>
        <v>0.00724621851066495</v>
      </c>
      <c r="AI102" s="61"/>
      <c r="AJ102" s="61" t="n">
        <f aca="false">AB102/AG102</f>
        <v>-0.00920433026319037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0.00439787468006647</v>
      </c>
      <c r="AV102" s="5"/>
      <c r="AW102" s="65" t="n">
        <f aca="false">workers_and_wage_central!C90</f>
        <v>13805289</v>
      </c>
      <c r="AX102" s="5"/>
      <c r="AY102" s="61" t="n">
        <f aca="false">(AW102-AW101)/AW101</f>
        <v>0.00238941981056144</v>
      </c>
      <c r="AZ102" s="66" t="n">
        <f aca="false">workers_and_wage_central!B90</f>
        <v>7733.77623698979</v>
      </c>
      <c r="BA102" s="61" t="n">
        <f aca="false">(AZ102-AZ101)/AZ101</f>
        <v>0.00484522143202714</v>
      </c>
      <c r="BB102" s="5"/>
      <c r="BC102" s="5"/>
      <c r="BD102" s="5"/>
      <c r="BE102" s="5"/>
      <c r="BF102" s="5" t="n">
        <f aca="false">BF101*(1+AY102)*(1+BA102)*(1-BE102)</f>
        <v>133.736126666542</v>
      </c>
      <c r="BG102" s="5"/>
      <c r="BH102" s="5" t="n">
        <f aca="false">BH101+1</f>
        <v>71</v>
      </c>
      <c r="BI102" s="61" t="n">
        <f aca="false">T109/AG109</f>
        <v>0.0135891072189751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130780092.369562</v>
      </c>
      <c r="E103" s="9"/>
      <c r="F103" s="67" t="n">
        <f aca="false">'Central pensions'!I103</f>
        <v>23770829.8615485</v>
      </c>
      <c r="G103" s="9" t="n">
        <f aca="false">'Central pensions'!K103</f>
        <v>3906211.17366722</v>
      </c>
      <c r="H103" s="9" t="n">
        <f aca="false">'Central pensions'!V103</f>
        <v>21490821.3588945</v>
      </c>
      <c r="I103" s="67" t="n">
        <f aca="false">'Central pensions'!M103</f>
        <v>120810.65485569</v>
      </c>
      <c r="J103" s="9" t="n">
        <f aca="false">'Central pensions'!W103</f>
        <v>664664.578110156</v>
      </c>
      <c r="K103" s="9"/>
      <c r="L103" s="67" t="n">
        <f aca="false">'Central pensions'!N103</f>
        <v>2574338.4092827</v>
      </c>
      <c r="M103" s="67"/>
      <c r="N103" s="67" t="n">
        <f aca="false">'Central pensions'!L103</f>
        <v>1111251.27746991</v>
      </c>
      <c r="O103" s="9"/>
      <c r="P103" s="9" t="n">
        <f aca="false">'Central pensions'!X103</f>
        <v>19472030.9001638</v>
      </c>
      <c r="Q103" s="67"/>
      <c r="R103" s="67" t="n">
        <f aca="false">'Central SIPA income'!G98</f>
        <v>26217906.7794589</v>
      </c>
      <c r="S103" s="67"/>
      <c r="T103" s="9" t="n">
        <f aca="false">'Central SIPA income'!J98</f>
        <v>100246438.921812</v>
      </c>
      <c r="U103" s="9"/>
      <c r="V103" s="67" t="n">
        <f aca="false">'Central SIPA income'!F98</f>
        <v>156172.123329666</v>
      </c>
      <c r="W103" s="67"/>
      <c r="X103" s="67" t="n">
        <f aca="false">'Central SIPA income'!M98</f>
        <v>392259.348131588</v>
      </c>
      <c r="Y103" s="9"/>
      <c r="Z103" s="9" t="n">
        <f aca="false">R103+V103-N103-L103-F103</f>
        <v>-1082340.64551249</v>
      </c>
      <c r="AA103" s="9"/>
      <c r="AB103" s="9" t="n">
        <f aca="false">T103-P103-D103</f>
        <v>-50005684.3479135</v>
      </c>
      <c r="AC103" s="50"/>
      <c r="AD103" s="9"/>
      <c r="AE103" s="9"/>
      <c r="AF103" s="9"/>
      <c r="AG103" s="9" t="n">
        <f aca="false">BF103/100*$AG$53</f>
        <v>7390979144.84438</v>
      </c>
      <c r="AH103" s="39" t="n">
        <f aca="false">(AG103-AG102)/AG102</f>
        <v>0.00545310053228512</v>
      </c>
      <c r="AI103" s="39"/>
      <c r="AJ103" s="39" t="n">
        <f aca="false">AB103/AG103</f>
        <v>-0.00676577262199357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13809509</v>
      </c>
      <c r="AX103" s="7"/>
      <c r="AY103" s="39" t="n">
        <f aca="false">(AW103-AW102)/AW102</f>
        <v>0.000305679946287253</v>
      </c>
      <c r="AZ103" s="38" t="n">
        <f aca="false">workers_and_wage_central!B91</f>
        <v>7773.57307090552</v>
      </c>
      <c r="BA103" s="39" t="n">
        <f aca="false">(AZ103-AZ102)/AZ102</f>
        <v>0.00514584760357893</v>
      </c>
      <c r="BB103" s="7"/>
      <c r="BC103" s="7"/>
      <c r="BD103" s="7"/>
      <c r="BE103" s="7"/>
      <c r="BF103" s="7" t="n">
        <f aca="false">BF102*(1+AY103)*(1+BA103)*(1-BE103)</f>
        <v>134.465403210053</v>
      </c>
      <c r="BG103" s="7"/>
      <c r="BH103" s="7" t="n">
        <f aca="false">BH102+1</f>
        <v>72</v>
      </c>
      <c r="BI103" s="39" t="n">
        <f aca="false">T110/AG110</f>
        <v>0.0115833967961233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131280145.399857</v>
      </c>
      <c r="E104" s="9"/>
      <c r="F104" s="67" t="n">
        <f aca="false">'Central pensions'!I104</f>
        <v>23861720.4190448</v>
      </c>
      <c r="G104" s="9" t="n">
        <f aca="false">'Central pensions'!K104</f>
        <v>4006357.84640124</v>
      </c>
      <c r="H104" s="9" t="n">
        <f aca="false">'Central pensions'!V104</f>
        <v>22041798.8042317</v>
      </c>
      <c r="I104" s="67" t="n">
        <f aca="false">'Central pensions'!M104</f>
        <v>123907.97463096</v>
      </c>
      <c r="J104" s="9" t="n">
        <f aca="false">'Central pensions'!W104</f>
        <v>681705.117656614</v>
      </c>
      <c r="K104" s="9"/>
      <c r="L104" s="67" t="n">
        <f aca="false">'Central pensions'!N104</f>
        <v>2595766.67005235</v>
      </c>
      <c r="M104" s="67"/>
      <c r="N104" s="67" t="n">
        <f aca="false">'Central pensions'!L104</f>
        <v>1116637.34388474</v>
      </c>
      <c r="O104" s="9"/>
      <c r="P104" s="9" t="n">
        <f aca="false">'Central pensions'!X104</f>
        <v>19612854.795431</v>
      </c>
      <c r="Q104" s="67"/>
      <c r="R104" s="67" t="n">
        <f aca="false">'Central SIPA income'!G99</f>
        <v>22490606.9005902</v>
      </c>
      <c r="S104" s="67"/>
      <c r="T104" s="9" t="n">
        <f aca="false">'Central SIPA income'!J99</f>
        <v>85994784.7835406</v>
      </c>
      <c r="U104" s="9"/>
      <c r="V104" s="67" t="n">
        <f aca="false">'Central SIPA income'!F99</f>
        <v>158318.376763357</v>
      </c>
      <c r="W104" s="67"/>
      <c r="X104" s="67" t="n">
        <f aca="false">'Central SIPA income'!M99</f>
        <v>397650.117974985</v>
      </c>
      <c r="Y104" s="9"/>
      <c r="Z104" s="9" t="n">
        <f aca="false">R104+V104-N104-L104-F104</f>
        <v>-4925199.15562834</v>
      </c>
      <c r="AA104" s="9"/>
      <c r="AB104" s="9" t="n">
        <f aca="false">T104-P104-D104</f>
        <v>-64898215.4117471</v>
      </c>
      <c r="AC104" s="50"/>
      <c r="AD104" s="9"/>
      <c r="AE104" s="9"/>
      <c r="AF104" s="9"/>
      <c r="AG104" s="9" t="n">
        <f aca="false">BF104/100*$AG$53</f>
        <v>7411101625.29125</v>
      </c>
      <c r="AH104" s="39" t="n">
        <f aca="false">(AG104-AG103)/AG103</f>
        <v>0.00272257302483505</v>
      </c>
      <c r="AI104" s="39"/>
      <c r="AJ104" s="39" t="n">
        <f aca="false">AB104/AG104</f>
        <v>-0.00875689184861186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13860433</v>
      </c>
      <c r="AY104" s="39" t="n">
        <f aca="false">(AW104-AW103)/AW103</f>
        <v>0.00368760395463734</v>
      </c>
      <c r="AZ104" s="38" t="n">
        <f aca="false">workers_and_wage_central!B92</f>
        <v>7766.09889426037</v>
      </c>
      <c r="BA104" s="39" t="n">
        <f aca="false">(AZ104-AZ103)/AZ103</f>
        <v>-0.000961485352613935</v>
      </c>
      <c r="BB104" s="7"/>
      <c r="BC104" s="7"/>
      <c r="BD104" s="7"/>
      <c r="BE104" s="7"/>
      <c r="BF104" s="7" t="n">
        <f aca="false">BF103*(1+AY104)*(1+BA104)*(1-BE104)</f>
        <v>134.831495089606</v>
      </c>
      <c r="BG104" s="7"/>
      <c r="BH104" s="0" t="n">
        <f aca="false">BH103+1</f>
        <v>73</v>
      </c>
      <c r="BI104" s="39" t="n">
        <f aca="false">T111/AG111</f>
        <v>0.013655363218689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131726235.896914</v>
      </c>
      <c r="E105" s="9"/>
      <c r="F105" s="67" t="n">
        <f aca="false">'Central pensions'!I105</f>
        <v>23942802.6473585</v>
      </c>
      <c r="G105" s="9" t="n">
        <f aca="false">'Central pensions'!K105</f>
        <v>4107312.93955855</v>
      </c>
      <c r="H105" s="9" t="n">
        <f aca="false">'Central pensions'!V105</f>
        <v>22597223.9402151</v>
      </c>
      <c r="I105" s="67" t="n">
        <f aca="false">'Central pensions'!M105</f>
        <v>127030.29709975</v>
      </c>
      <c r="J105" s="9" t="n">
        <f aca="false">'Central pensions'!W105</f>
        <v>698883.214645838</v>
      </c>
      <c r="K105" s="9"/>
      <c r="L105" s="67" t="n">
        <f aca="false">'Central pensions'!N105</f>
        <v>2612282.31173778</v>
      </c>
      <c r="M105" s="67"/>
      <c r="N105" s="67" t="n">
        <f aca="false">'Central pensions'!L105</f>
        <v>1121704.39567015</v>
      </c>
      <c r="O105" s="9"/>
      <c r="P105" s="9" t="n">
        <f aca="false">'Central pensions'!X105</f>
        <v>19726431.9625501</v>
      </c>
      <c r="Q105" s="67"/>
      <c r="R105" s="67" t="n">
        <f aca="false">'Central SIPA income'!G100</f>
        <v>26391496.956754</v>
      </c>
      <c r="S105" s="67"/>
      <c r="T105" s="9" t="n">
        <f aca="false">'Central SIPA income'!J100</f>
        <v>100910176.010056</v>
      </c>
      <c r="U105" s="9"/>
      <c r="V105" s="67" t="n">
        <f aca="false">'Central SIPA income'!F100</f>
        <v>154481.213880546</v>
      </c>
      <c r="W105" s="67"/>
      <c r="X105" s="67" t="n">
        <f aca="false">'Central SIPA income'!M100</f>
        <v>388012.27109812</v>
      </c>
      <c r="Y105" s="9"/>
      <c r="Z105" s="9" t="n">
        <f aca="false">R105+V105-N105-L105-F105</f>
        <v>-1130811.18413191</v>
      </c>
      <c r="AA105" s="9"/>
      <c r="AB105" s="9" t="n">
        <f aca="false">T105-P105-D105</f>
        <v>-50542491.8494084</v>
      </c>
      <c r="AC105" s="50"/>
      <c r="AD105" s="9"/>
      <c r="AE105" s="9"/>
      <c r="AF105" s="9"/>
      <c r="AG105" s="9" t="n">
        <f aca="false">BF105/100*$AG$53</f>
        <v>7427180800.67969</v>
      </c>
      <c r="AH105" s="39" t="n">
        <f aca="false">(AG105-AG104)/AG104</f>
        <v>0.00216960665248078</v>
      </c>
      <c r="AI105" s="39" t="n">
        <f aca="false">(AG105-AG101)/AG101</f>
        <v>0.0176993158998818</v>
      </c>
      <c r="AJ105" s="39" t="n">
        <f aca="false">AB105/AG105</f>
        <v>-0.00680507088837572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13879251</v>
      </c>
      <c r="AY105" s="39" t="n">
        <f aca="false">(AW105-AW104)/AW104</f>
        <v>0.0013576776425383</v>
      </c>
      <c r="AZ105" s="38" t="n">
        <f aca="false">workers_and_wage_central!B93</f>
        <v>7772.39586598897</v>
      </c>
      <c r="BA105" s="39" t="n">
        <f aca="false">(AZ105-AZ104)/AZ104</f>
        <v>0.000810828166668643</v>
      </c>
      <c r="BB105" s="7"/>
      <c r="BC105" s="7"/>
      <c r="BD105" s="7"/>
      <c r="BE105" s="7"/>
      <c r="BF105" s="7" t="n">
        <f aca="false">BF104*(1+AY105)*(1+BA105)*(1-BE105)</f>
        <v>135.124026398316</v>
      </c>
      <c r="BG105" s="73" t="e">
        <f aca="false">(BB105-BB101)/BB101</f>
        <v>#DIV/0!</v>
      </c>
      <c r="BH105" s="0" t="n">
        <f aca="false">BH104+1</f>
        <v>74</v>
      </c>
      <c r="BI105" s="39" t="n">
        <f aca="false">T112/AG112</f>
        <v>0.0117239981369742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131943155.778706</v>
      </c>
      <c r="E106" s="6"/>
      <c r="F106" s="8" t="n">
        <f aca="false">'Central pensions'!I106</f>
        <v>23982230.4036037</v>
      </c>
      <c r="G106" s="6" t="n">
        <f aca="false">'Central pensions'!K106</f>
        <v>4180387.52133561</v>
      </c>
      <c r="H106" s="6" t="n">
        <f aca="false">'Central pensions'!V106</f>
        <v>22999258.7286652</v>
      </c>
      <c r="I106" s="8" t="n">
        <f aca="false">'Central pensions'!M106</f>
        <v>129290.33571141</v>
      </c>
      <c r="J106" s="6" t="n">
        <f aca="false">'Central pensions'!W106</f>
        <v>711317.280267995</v>
      </c>
      <c r="K106" s="6"/>
      <c r="L106" s="8" t="n">
        <f aca="false">'Central pensions'!N106</f>
        <v>3171933.85432382</v>
      </c>
      <c r="M106" s="8"/>
      <c r="N106" s="8" t="n">
        <f aca="false">'Central pensions'!L106</f>
        <v>1124300.71637469</v>
      </c>
      <c r="O106" s="6"/>
      <c r="P106" s="6" t="n">
        <f aca="false">'Central pensions'!X106</f>
        <v>22644750.6679785</v>
      </c>
      <c r="Q106" s="8"/>
      <c r="R106" s="8" t="n">
        <f aca="false">'Central SIPA income'!G101</f>
        <v>22460476.5184706</v>
      </c>
      <c r="S106" s="8"/>
      <c r="T106" s="6" t="n">
        <f aca="false">'Central SIPA income'!J101</f>
        <v>85879578.6560549</v>
      </c>
      <c r="U106" s="6"/>
      <c r="V106" s="8" t="n">
        <f aca="false">'Central SIPA income'!F101</f>
        <v>159146.626604462</v>
      </c>
      <c r="W106" s="8"/>
      <c r="X106" s="8" t="n">
        <f aca="false">'Central SIPA income'!M101</f>
        <v>399730.442784785</v>
      </c>
      <c r="Y106" s="6"/>
      <c r="Z106" s="6" t="n">
        <f aca="false">R106+V106-N106-L106-F106</f>
        <v>-5658841.82922716</v>
      </c>
      <c r="AA106" s="6"/>
      <c r="AB106" s="6" t="n">
        <f aca="false">T106-P106-D106</f>
        <v>-68708327.7906297</v>
      </c>
      <c r="AC106" s="50"/>
      <c r="AD106" s="6"/>
      <c r="AE106" s="6"/>
      <c r="AF106" s="6"/>
      <c r="AG106" s="6" t="n">
        <f aca="false">BF106/100*$AG$53</f>
        <v>7456754089.39646</v>
      </c>
      <c r="AH106" s="61" t="n">
        <f aca="false">(AG106-AG105)/AG105</f>
        <v>0.0039817650209977</v>
      </c>
      <c r="AI106" s="61"/>
      <c r="AJ106" s="61" t="n">
        <f aca="false">AB106/AG106</f>
        <v>-0.00921424080329177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0.00540687295572916</v>
      </c>
      <c r="AV106" s="5"/>
      <c r="AW106" s="65" t="n">
        <f aca="false">workers_and_wage_central!C94</f>
        <v>13930138</v>
      </c>
      <c r="AX106" s="5"/>
      <c r="AY106" s="61" t="n">
        <f aca="false">(AW106-AW105)/AW105</f>
        <v>0.0036664082233256</v>
      </c>
      <c r="AZ106" s="66" t="n">
        <f aca="false">workers_and_wage_central!B94</f>
        <v>7774.83799003582</v>
      </c>
      <c r="BA106" s="61" t="n">
        <f aca="false">(AZ106-AZ105)/AZ105</f>
        <v>0.000314204794629217</v>
      </c>
      <c r="BB106" s="5"/>
      <c r="BC106" s="5"/>
      <c r="BD106" s="5"/>
      <c r="BE106" s="5"/>
      <c r="BF106" s="5" t="n">
        <f aca="false">BF105*(1+AY106)*(1+BA106)*(1-BE106)</f>
        <v>135.662058520126</v>
      </c>
      <c r="BG106" s="5"/>
      <c r="BH106" s="5" t="n">
        <f aca="false">BH105+1</f>
        <v>75</v>
      </c>
      <c r="BI106" s="61" t="n">
        <f aca="false">T113/AG113</f>
        <v>0.0137378656661588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131711536.536183</v>
      </c>
      <c r="E107" s="9"/>
      <c r="F107" s="67" t="n">
        <f aca="false">'Central pensions'!I107</f>
        <v>23940130.864546</v>
      </c>
      <c r="G107" s="9" t="n">
        <f aca="false">'Central pensions'!K107</f>
        <v>4246740.09001557</v>
      </c>
      <c r="H107" s="9" t="n">
        <f aca="false">'Central pensions'!V107</f>
        <v>23364310.9843696</v>
      </c>
      <c r="I107" s="67" t="n">
        <f aca="false">'Central pensions'!M107</f>
        <v>131342.477010801</v>
      </c>
      <c r="J107" s="9" t="n">
        <f aca="false">'Central pensions'!W107</f>
        <v>722607.55621767</v>
      </c>
      <c r="K107" s="9"/>
      <c r="L107" s="67" t="n">
        <f aca="false">'Central pensions'!N107</f>
        <v>2584477.93642914</v>
      </c>
      <c r="M107" s="67"/>
      <c r="N107" s="67" t="n">
        <f aca="false">'Central pensions'!L107</f>
        <v>1122942.8327719</v>
      </c>
      <c r="O107" s="9"/>
      <c r="P107" s="9" t="n">
        <f aca="false">'Central pensions'!X107</f>
        <v>19588968.442433</v>
      </c>
      <c r="Q107" s="67"/>
      <c r="R107" s="67" t="n">
        <f aca="false">'Central SIPA income'!G102</f>
        <v>26561698.4425064</v>
      </c>
      <c r="S107" s="67"/>
      <c r="T107" s="9" t="n">
        <f aca="false">'Central SIPA income'!J102</f>
        <v>101560956.142482</v>
      </c>
      <c r="U107" s="9"/>
      <c r="V107" s="67" t="n">
        <f aca="false">'Central SIPA income'!F102</f>
        <v>161971.351435282</v>
      </c>
      <c r="W107" s="67"/>
      <c r="X107" s="67" t="n">
        <f aca="false">'Central SIPA income'!M102</f>
        <v>406825.337169039</v>
      </c>
      <c r="Y107" s="9"/>
      <c r="Z107" s="9" t="n">
        <f aca="false">R107+V107-N107-L107-F107</f>
        <v>-923881.839805387</v>
      </c>
      <c r="AA107" s="9"/>
      <c r="AB107" s="9" t="n">
        <f aca="false">T107-P107-D107</f>
        <v>-49739548.8361338</v>
      </c>
      <c r="AC107" s="50"/>
      <c r="AD107" s="9"/>
      <c r="AE107" s="9"/>
      <c r="AF107" s="9"/>
      <c r="AG107" s="9" t="n">
        <f aca="false">BF107/100*$AG$53</f>
        <v>7513881557.0195</v>
      </c>
      <c r="AH107" s="39" t="n">
        <f aca="false">(AG107-AG106)/AG106</f>
        <v>0.00766117092479555</v>
      </c>
      <c r="AI107" s="39"/>
      <c r="AJ107" s="39" t="n">
        <f aca="false">AB107/AG107</f>
        <v>-0.00661968763530308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13984192</v>
      </c>
      <c r="AX107" s="7"/>
      <c r="AY107" s="39" t="n">
        <f aca="false">(AW107-AW106)/AW106</f>
        <v>0.00388036356854469</v>
      </c>
      <c r="AZ107" s="38" t="n">
        <f aca="false">workers_and_wage_central!B95</f>
        <v>7804.1195316748</v>
      </c>
      <c r="BA107" s="39" t="n">
        <f aca="false">(AZ107-AZ106)/AZ106</f>
        <v>0.00376619315753029</v>
      </c>
      <c r="BB107" s="7"/>
      <c r="BC107" s="7"/>
      <c r="BD107" s="7"/>
      <c r="BE107" s="7"/>
      <c r="BF107" s="7" t="n">
        <f aca="false">BF106*(1+AY107)*(1+BA107)*(1-BE107)</f>
        <v>136.701388738458</v>
      </c>
      <c r="BG107" s="7"/>
      <c r="BH107" s="7" t="n">
        <f aca="false">BH106+1</f>
        <v>76</v>
      </c>
      <c r="BI107" s="39" t="n">
        <f aca="false">T114/AG114</f>
        <v>0.0116881796909741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131989315.970496</v>
      </c>
      <c r="E108" s="9"/>
      <c r="F108" s="67" t="n">
        <f aca="false">'Central pensions'!I108</f>
        <v>23990620.56487</v>
      </c>
      <c r="G108" s="9" t="n">
        <f aca="false">'Central pensions'!K108</f>
        <v>4355535.83010975</v>
      </c>
      <c r="H108" s="9" t="n">
        <f aca="false">'Central pensions'!V108</f>
        <v>23962873.0464349</v>
      </c>
      <c r="I108" s="67" t="n">
        <f aca="false">'Central pensions'!M108</f>
        <v>134707.29371474</v>
      </c>
      <c r="J108" s="9" t="n">
        <f aca="false">'Central pensions'!W108</f>
        <v>741119.784941317</v>
      </c>
      <c r="K108" s="9"/>
      <c r="L108" s="67" t="n">
        <f aca="false">'Central pensions'!N108</f>
        <v>2585631.45814467</v>
      </c>
      <c r="M108" s="67"/>
      <c r="N108" s="67" t="n">
        <f aca="false">'Central pensions'!L108</f>
        <v>1126092.41909556</v>
      </c>
      <c r="O108" s="9"/>
      <c r="P108" s="9" t="n">
        <f aca="false">'Central pensions'!X108</f>
        <v>19612282.1667731</v>
      </c>
      <c r="Q108" s="67"/>
      <c r="R108" s="67" t="n">
        <f aca="false">'Central SIPA income'!G103</f>
        <v>22802352.3191966</v>
      </c>
      <c r="S108" s="67"/>
      <c r="T108" s="9" t="n">
        <f aca="false">'Central SIPA income'!J103</f>
        <v>87186770.4110877</v>
      </c>
      <c r="U108" s="9"/>
      <c r="V108" s="67" t="n">
        <f aca="false">'Central SIPA income'!F103</f>
        <v>164175.832741281</v>
      </c>
      <c r="W108" s="67"/>
      <c r="X108" s="67" t="n">
        <f aca="false">'Central SIPA income'!M103</f>
        <v>412362.358640112</v>
      </c>
      <c r="Y108" s="9"/>
      <c r="Z108" s="9" t="n">
        <f aca="false">R108+V108-N108-L108-F108</f>
        <v>-4735816.2901724</v>
      </c>
      <c r="AA108" s="9"/>
      <c r="AB108" s="9" t="n">
        <f aca="false">T108-P108-D108</f>
        <v>-64414827.7261811</v>
      </c>
      <c r="AC108" s="50"/>
      <c r="AD108" s="9"/>
      <c r="AE108" s="9"/>
      <c r="AF108" s="9"/>
      <c r="AG108" s="9" t="n">
        <f aca="false">BF108/100*$AG$53</f>
        <v>7531761828.01409</v>
      </c>
      <c r="AH108" s="39" t="n">
        <f aca="false">(AG108-AG107)/AG107</f>
        <v>0.00237963173346579</v>
      </c>
      <c r="AI108" s="39"/>
      <c r="AJ108" s="39" t="n">
        <f aca="false">AB108/AG108</f>
        <v>-0.00855242494346977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13985268</v>
      </c>
      <c r="AY108" s="39" t="n">
        <f aca="false">(AW108-AW107)/AW107</f>
        <v>7.69440236518492E-005</v>
      </c>
      <c r="AZ108" s="38" t="n">
        <f aca="false">workers_and_wage_central!B96</f>
        <v>7822.08859919395</v>
      </c>
      <c r="BA108" s="39" t="n">
        <f aca="false">(AZ108-AZ107)/AZ107</f>
        <v>0.0023025105453881</v>
      </c>
      <c r="BB108" s="7"/>
      <c r="BC108" s="7"/>
      <c r="BD108" s="7"/>
      <c r="BE108" s="7"/>
      <c r="BF108" s="7" t="n">
        <f aca="false">BF107*(1+AY108)*(1+BA108)*(1-BE108)</f>
        <v>137.026687701109</v>
      </c>
      <c r="BG108" s="7"/>
      <c r="BH108" s="0" t="n">
        <f aca="false">BH107+1</f>
        <v>77</v>
      </c>
      <c r="BI108" s="39" t="n">
        <f aca="false">T115/AG115</f>
        <v>0.0137462161609185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132614499.59973</v>
      </c>
      <c r="E109" s="9"/>
      <c r="F109" s="67" t="n">
        <f aca="false">'Central pensions'!I109</f>
        <v>24104255.0899227</v>
      </c>
      <c r="G109" s="9" t="n">
        <f aca="false">'Central pensions'!K109</f>
        <v>4307346.4532551</v>
      </c>
      <c r="H109" s="9" t="n">
        <f aca="false">'Central pensions'!V109</f>
        <v>23697749.3131454</v>
      </c>
      <c r="I109" s="67" t="n">
        <f aca="false">'Central pensions'!M109</f>
        <v>133216.90061613</v>
      </c>
      <c r="J109" s="9" t="n">
        <f aca="false">'Central pensions'!W109</f>
        <v>732920.081849819</v>
      </c>
      <c r="K109" s="9"/>
      <c r="L109" s="67" t="n">
        <f aca="false">'Central pensions'!N109</f>
        <v>2589961.735035</v>
      </c>
      <c r="M109" s="67"/>
      <c r="N109" s="67" t="n">
        <f aca="false">'Central pensions'!L109</f>
        <v>1130731.44034337</v>
      </c>
      <c r="O109" s="9"/>
      <c r="P109" s="9" t="n">
        <f aca="false">'Central pensions'!X109</f>
        <v>19660274.5203152</v>
      </c>
      <c r="Q109" s="67"/>
      <c r="R109" s="67" t="n">
        <f aca="false">'Central SIPA income'!G104</f>
        <v>26971608.4016837</v>
      </c>
      <c r="S109" s="67"/>
      <c r="T109" s="9" t="n">
        <f aca="false">'Central SIPA income'!J104</f>
        <v>103128282.39899</v>
      </c>
      <c r="U109" s="9"/>
      <c r="V109" s="67" t="n">
        <f aca="false">'Central SIPA income'!F104</f>
        <v>170389.251844842</v>
      </c>
      <c r="W109" s="67"/>
      <c r="X109" s="67" t="n">
        <f aca="false">'Central SIPA income'!M104</f>
        <v>427968.676049822</v>
      </c>
      <c r="Y109" s="9"/>
      <c r="Z109" s="9" t="n">
        <f aca="false">R109+V109-N109-L109-F109</f>
        <v>-682950.611772515</v>
      </c>
      <c r="AA109" s="9"/>
      <c r="AB109" s="9" t="n">
        <f aca="false">T109-P109-D109</f>
        <v>-49146491.7210558</v>
      </c>
      <c r="AC109" s="50"/>
      <c r="AD109" s="9"/>
      <c r="AE109" s="9"/>
      <c r="AF109" s="9"/>
      <c r="AG109" s="9" t="n">
        <f aca="false">BF109/100*$AG$53</f>
        <v>7589040305.38423</v>
      </c>
      <c r="AH109" s="39" t="n">
        <f aca="false">(AG109-AG108)/AG108</f>
        <v>0.00760492414365759</v>
      </c>
      <c r="AI109" s="39" t="n">
        <f aca="false">(AG109-AG105)/AG105</f>
        <v>0.0217928591006865</v>
      </c>
      <c r="AJ109" s="39" t="n">
        <f aca="false">AB109/AG109</f>
        <v>-0.00647598243564309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14023638</v>
      </c>
      <c r="AY109" s="39" t="n">
        <f aca="false">(AW109-AW108)/AW108</f>
        <v>0.00274360133820818</v>
      </c>
      <c r="AZ109" s="38" t="n">
        <f aca="false">workers_and_wage_central!B97</f>
        <v>7860.01025498189</v>
      </c>
      <c r="BA109" s="39" t="n">
        <f aca="false">(AZ109-AZ108)/AZ108</f>
        <v>0.00484802176644326</v>
      </c>
      <c r="BB109" s="7"/>
      <c r="BC109" s="7"/>
      <c r="BD109" s="7"/>
      <c r="BE109" s="7"/>
      <c r="BF109" s="7" t="n">
        <f aca="false">BF108*(1+AY109)*(1+BA109)*(1-BE109)</f>
        <v>138.068765266732</v>
      </c>
      <c r="BG109" s="73" t="e">
        <f aca="false">(BB109-BB105)/BB105</f>
        <v>#DIV/0!</v>
      </c>
      <c r="BH109" s="0" t="n">
        <f aca="false">BH108+1</f>
        <v>78</v>
      </c>
      <c r="BI109" s="39" t="n">
        <f aca="false">T116/AG116</f>
        <v>0.0118013871953169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133180269.196279</v>
      </c>
      <c r="E110" s="6"/>
      <c r="F110" s="8" t="n">
        <f aca="false">'Central pensions'!I110</f>
        <v>24207090.4112374</v>
      </c>
      <c r="G110" s="6" t="n">
        <f aca="false">'Central pensions'!K110</f>
        <v>4404320.32523297</v>
      </c>
      <c r="H110" s="6" t="n">
        <f aca="false">'Central pensions'!V110</f>
        <v>24231270.9448498</v>
      </c>
      <c r="I110" s="8" t="n">
        <f aca="false">'Central pensions'!M110</f>
        <v>136216.09253297</v>
      </c>
      <c r="J110" s="6" t="n">
        <f aca="false">'Central pensions'!W110</f>
        <v>749420.750871596</v>
      </c>
      <c r="K110" s="6"/>
      <c r="L110" s="8" t="n">
        <f aca="false">'Central pensions'!N110</f>
        <v>3188867.33198859</v>
      </c>
      <c r="M110" s="8"/>
      <c r="N110" s="8" t="n">
        <f aca="false">'Central pensions'!L110</f>
        <v>1135722.84840633</v>
      </c>
      <c r="O110" s="6"/>
      <c r="P110" s="6" t="n">
        <f aca="false">'Central pensions'!X110</f>
        <v>22795459.7644437</v>
      </c>
      <c r="Q110" s="8"/>
      <c r="R110" s="8" t="n">
        <f aca="false">'Central SIPA income'!G105</f>
        <v>23193348.376614</v>
      </c>
      <c r="S110" s="8"/>
      <c r="T110" s="6" t="n">
        <f aca="false">'Central SIPA income'!J105</f>
        <v>88681777.7249162</v>
      </c>
      <c r="U110" s="6"/>
      <c r="V110" s="8" t="n">
        <f aca="false">'Central SIPA income'!F105</f>
        <v>163320.068539828</v>
      </c>
      <c r="W110" s="8"/>
      <c r="X110" s="8" t="n">
        <f aca="false">'Central SIPA income'!M105</f>
        <v>410212.925689727</v>
      </c>
      <c r="Y110" s="6"/>
      <c r="Z110" s="6" t="n">
        <f aca="false">R110+V110-N110-L110-F110</f>
        <v>-5175012.1464785</v>
      </c>
      <c r="AA110" s="6"/>
      <c r="AB110" s="6" t="n">
        <f aca="false">T110-P110-D110</f>
        <v>-67293951.2358063</v>
      </c>
      <c r="AC110" s="50"/>
      <c r="AD110" s="6"/>
      <c r="AE110" s="6"/>
      <c r="AF110" s="6"/>
      <c r="AG110" s="6" t="n">
        <f aca="false">BF110/100*$AG$53</f>
        <v>7655938865.41085</v>
      </c>
      <c r="AH110" s="61" t="n">
        <f aca="false">(AG110-AG109)/AG109</f>
        <v>0.00881515413472743</v>
      </c>
      <c r="AI110" s="61"/>
      <c r="AJ110" s="61" t="n">
        <f aca="false">AB110/AG110</f>
        <v>-0.0087897712375731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0.00488334146184261</v>
      </c>
      <c r="AV110" s="5"/>
      <c r="AW110" s="65" t="n">
        <f aca="false">workers_and_wage_central!C98</f>
        <v>14086071</v>
      </c>
      <c r="AX110" s="5"/>
      <c r="AY110" s="61" t="n">
        <f aca="false">(AW110-AW109)/AW109</f>
        <v>0.00445198314445938</v>
      </c>
      <c r="AZ110" s="66" t="n">
        <f aca="false">workers_and_wage_central!B98</f>
        <v>7894.15282157864</v>
      </c>
      <c r="BA110" s="61" t="n">
        <f aca="false">(AZ110-AZ109)/AZ109</f>
        <v>0.00434383232198831</v>
      </c>
      <c r="BB110" s="5"/>
      <c r="BC110" s="5"/>
      <c r="BD110" s="5"/>
      <c r="BE110" s="5"/>
      <c r="BF110" s="5" t="n">
        <f aca="false">BF109*(1+AY110)*(1+BA110)*(1-BE110)</f>
        <v>139.28586271375</v>
      </c>
      <c r="BG110" s="5"/>
      <c r="BH110" s="5" t="n">
        <f aca="false">BH109+1</f>
        <v>79</v>
      </c>
      <c r="BI110" s="61" t="n">
        <f aca="false">T117/AG117</f>
        <v>0.0137778187573255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133330967.799802</v>
      </c>
      <c r="E111" s="9"/>
      <c r="F111" s="67" t="n">
        <f aca="false">'Central pensions'!I111</f>
        <v>24234481.666281</v>
      </c>
      <c r="G111" s="9" t="n">
        <f aca="false">'Central pensions'!K111</f>
        <v>4485094.962985</v>
      </c>
      <c r="H111" s="9" t="n">
        <f aca="false">'Central pensions'!V111</f>
        <v>24675669.1693904</v>
      </c>
      <c r="I111" s="67" t="n">
        <f aca="false">'Central pensions'!M111</f>
        <v>138714.277205721</v>
      </c>
      <c r="J111" s="9" t="n">
        <f aca="false">'Central pensions'!W111</f>
        <v>763165.025857428</v>
      </c>
      <c r="K111" s="9"/>
      <c r="L111" s="67" t="n">
        <f aca="false">'Central pensions'!N111</f>
        <v>2636842.79625033</v>
      </c>
      <c r="M111" s="67"/>
      <c r="N111" s="67" t="n">
        <f aca="false">'Central pensions'!L111</f>
        <v>1137360.48190698</v>
      </c>
      <c r="O111" s="9"/>
      <c r="P111" s="9" t="n">
        <f aca="false">'Central pensions'!X111</f>
        <v>19940011.6006242</v>
      </c>
      <c r="Q111" s="67"/>
      <c r="R111" s="67" t="n">
        <f aca="false">'Central SIPA income'!G106</f>
        <v>27460954.5030579</v>
      </c>
      <c r="S111" s="67"/>
      <c r="T111" s="9" t="n">
        <f aca="false">'Central SIPA income'!J106</f>
        <v>104999339.630052</v>
      </c>
      <c r="U111" s="9"/>
      <c r="V111" s="67" t="n">
        <f aca="false">'Central SIPA income'!F106</f>
        <v>159438.393581245</v>
      </c>
      <c r="W111" s="67"/>
      <c r="X111" s="67" t="n">
        <f aca="false">'Central SIPA income'!M106</f>
        <v>400463.277311711</v>
      </c>
      <c r="Y111" s="9"/>
      <c r="Z111" s="9" t="n">
        <f aca="false">R111+V111-N111-L111-F111</f>
        <v>-388292.047799133</v>
      </c>
      <c r="AA111" s="9"/>
      <c r="AB111" s="9" t="n">
        <f aca="false">T111-P111-D111</f>
        <v>-48271639.7703735</v>
      </c>
      <c r="AC111" s="50"/>
      <c r="AD111" s="9"/>
      <c r="AE111" s="9"/>
      <c r="AF111" s="9"/>
      <c r="AG111" s="9" t="n">
        <f aca="false">BF111/100*$AG$53</f>
        <v>7689238136.5842</v>
      </c>
      <c r="AH111" s="39" t="n">
        <f aca="false">(AG111-AG110)/AG110</f>
        <v>0.00434946931509534</v>
      </c>
      <c r="AI111" s="39"/>
      <c r="AJ111" s="39" t="n">
        <f aca="false">AB111/AG111</f>
        <v>-0.00627781828484471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14059457</v>
      </c>
      <c r="AX111" s="7"/>
      <c r="AY111" s="39" t="n">
        <f aca="false">(AW111-AW110)/AW110</f>
        <v>-0.00188938420088895</v>
      </c>
      <c r="AZ111" s="38" t="n">
        <f aca="false">workers_and_wage_central!B99</f>
        <v>7943.49651385787</v>
      </c>
      <c r="BA111" s="39" t="n">
        <f aca="false">(AZ111-AZ110)/AZ110</f>
        <v>0.00625066342069652</v>
      </c>
      <c r="BB111" s="7"/>
      <c r="BC111" s="7"/>
      <c r="BD111" s="7"/>
      <c r="BE111" s="7"/>
      <c r="BF111" s="7" t="n">
        <f aca="false">BF110*(1+AY111)*(1+BA111)*(1-BE111)</f>
        <v>139.89168229965</v>
      </c>
      <c r="BG111" s="7"/>
      <c r="BH111" s="7" t="n">
        <f aca="false">BH110+1</f>
        <v>80</v>
      </c>
      <c r="BI111" s="39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133583792.303615</v>
      </c>
      <c r="E112" s="9"/>
      <c r="F112" s="67" t="n">
        <f aca="false">'Central pensions'!I112</f>
        <v>24280435.5125895</v>
      </c>
      <c r="G112" s="9" t="n">
        <f aca="false">'Central pensions'!K112</f>
        <v>4556094.96408276</v>
      </c>
      <c r="H112" s="9" t="n">
        <f aca="false">'Central pensions'!V112</f>
        <v>25066290.2270432</v>
      </c>
      <c r="I112" s="67" t="n">
        <f aca="false">'Central pensions'!M112</f>
        <v>140910.15352833</v>
      </c>
      <c r="J112" s="9" t="n">
        <f aca="false">'Central pensions'!W112</f>
        <v>775246.089496166</v>
      </c>
      <c r="K112" s="9"/>
      <c r="L112" s="67" t="n">
        <f aca="false">'Central pensions'!N112</f>
        <v>2611471.56191868</v>
      </c>
      <c r="M112" s="67"/>
      <c r="N112" s="67" t="n">
        <f aca="false">'Central pensions'!L112</f>
        <v>1140384.31204627</v>
      </c>
      <c r="O112" s="9"/>
      <c r="P112" s="9" t="n">
        <f aca="false">'Central pensions'!X112</f>
        <v>19824996.3663197</v>
      </c>
      <c r="Q112" s="67"/>
      <c r="R112" s="67" t="n">
        <f aca="false">'Central SIPA income'!G107</f>
        <v>23707721.11317</v>
      </c>
      <c r="S112" s="67"/>
      <c r="T112" s="9" t="n">
        <f aca="false">'Central SIPA income'!J107</f>
        <v>90648526.4646974</v>
      </c>
      <c r="U112" s="9"/>
      <c r="V112" s="67" t="n">
        <f aca="false">'Central SIPA income'!F107</f>
        <v>159471.936594487</v>
      </c>
      <c r="W112" s="67"/>
      <c r="X112" s="67" t="n">
        <f aca="false">'Central SIPA income'!M107</f>
        <v>400547.527690256</v>
      </c>
      <c r="Y112" s="9"/>
      <c r="Z112" s="9" t="n">
        <f aca="false">R112+V112-N112-L112-F112</f>
        <v>-4165098.33679004</v>
      </c>
      <c r="AA112" s="9"/>
      <c r="AB112" s="9" t="n">
        <f aca="false">T112-P112-D112</f>
        <v>-62760262.2052371</v>
      </c>
      <c r="AC112" s="50"/>
      <c r="AD112" s="9"/>
      <c r="AE112" s="9"/>
      <c r="AF112" s="9"/>
      <c r="AG112" s="9" t="n">
        <f aca="false">BF112/100*$AG$53</f>
        <v>7731878272.72141</v>
      </c>
      <c r="AH112" s="39" t="n">
        <f aca="false">(AG112-AG111)/AG111</f>
        <v>0.00554543055889175</v>
      </c>
      <c r="AI112" s="39"/>
      <c r="AJ112" s="39" t="n">
        <f aca="false">AB112/AG112</f>
        <v>-0.00811707841116168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14074428</v>
      </c>
      <c r="AY112" s="39" t="n">
        <f aca="false">(AW112-AW111)/AW111</f>
        <v>0.00106483486524408</v>
      </c>
      <c r="AZ112" s="38" t="n">
        <f aca="false">workers_and_wage_central!B100</f>
        <v>7979.05025127118</v>
      </c>
      <c r="BA112" s="39" t="n">
        <f aca="false">(AZ112-AZ111)/AZ111</f>
        <v>0.00447582967415981</v>
      </c>
      <c r="BB112" s="7"/>
      <c r="BC112" s="7"/>
      <c r="BD112" s="7"/>
      <c r="BE112" s="7"/>
      <c r="BF112" s="7" t="n">
        <f aca="false">BF111*(1+AY112)*(1+BA112)*(1-BE112)</f>
        <v>140.667441909609</v>
      </c>
      <c r="BG112" s="7"/>
      <c r="BH112" s="0" t="n">
        <f aca="false">BH111+1</f>
        <v>81</v>
      </c>
      <c r="BI112" s="39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133996771.00427</v>
      </c>
      <c r="E113" s="9"/>
      <c r="F113" s="67" t="n">
        <f aca="false">'Central pensions'!I113</f>
        <v>24355499.2799555</v>
      </c>
      <c r="G113" s="9" t="n">
        <f aca="false">'Central pensions'!K113</f>
        <v>4622838.85404087</v>
      </c>
      <c r="H113" s="9" t="n">
        <f aca="false">'Central pensions'!V113</f>
        <v>25433495.4169615</v>
      </c>
      <c r="I113" s="67" t="n">
        <f aca="false">'Central pensions'!M113</f>
        <v>142974.397547659</v>
      </c>
      <c r="J113" s="9" t="n">
        <f aca="false">'Central pensions'!W113</f>
        <v>786602.951040067</v>
      </c>
      <c r="K113" s="9"/>
      <c r="L113" s="67" t="n">
        <f aca="false">'Central pensions'!N113</f>
        <v>2584313.92105756</v>
      </c>
      <c r="M113" s="67"/>
      <c r="N113" s="67" t="n">
        <f aca="false">'Central pensions'!L113</f>
        <v>1144447.93806084</v>
      </c>
      <c r="O113" s="9"/>
      <c r="P113" s="9" t="n">
        <f aca="false">'Central pensions'!X113</f>
        <v>19706432.110158</v>
      </c>
      <c r="Q113" s="67"/>
      <c r="R113" s="67" t="n">
        <f aca="false">'Central SIPA income'!G108</f>
        <v>27802941.5733065</v>
      </c>
      <c r="S113" s="67"/>
      <c r="T113" s="9" t="n">
        <f aca="false">'Central SIPA income'!J108</f>
        <v>106306956.833749</v>
      </c>
      <c r="U113" s="9"/>
      <c r="V113" s="67" t="n">
        <f aca="false">'Central SIPA income'!F108</f>
        <v>164803.796053565</v>
      </c>
      <c r="W113" s="67"/>
      <c r="X113" s="67" t="n">
        <f aca="false">'Central SIPA income'!M108</f>
        <v>413939.621433723</v>
      </c>
      <c r="Y113" s="9"/>
      <c r="Z113" s="9" t="n">
        <f aca="false">R113+V113-N113-L113-F113</f>
        <v>-116515.769713856</v>
      </c>
      <c r="AA113" s="9"/>
      <c r="AB113" s="9" t="n">
        <f aca="false">T113-P113-D113</f>
        <v>-47396246.2806799</v>
      </c>
      <c r="AC113" s="50"/>
      <c r="AD113" s="9"/>
      <c r="AE113" s="9"/>
      <c r="AF113" s="9"/>
      <c r="AG113" s="9" t="n">
        <f aca="false">BF113/100*$AG$53</f>
        <v>7738244019.63839</v>
      </c>
      <c r="AH113" s="39" t="n">
        <f aca="false">(AG113-AG112)/AG112</f>
        <v>0.000823311838655902</v>
      </c>
      <c r="AI113" s="39" t="n">
        <f aca="false">(AG113-AG109)/AG109</f>
        <v>0.0196604192691272</v>
      </c>
      <c r="AJ113" s="39" t="n">
        <f aca="false">AB113/AG113</f>
        <v>-0.0061249356004277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14057307</v>
      </c>
      <c r="AY113" s="39" t="n">
        <f aca="false">(AW113-AW112)/AW112</f>
        <v>-0.00121646151445728</v>
      </c>
      <c r="AZ113" s="38" t="n">
        <f aca="false">workers_and_wage_central!B101</f>
        <v>7995.3455279338</v>
      </c>
      <c r="BA113" s="39" t="n">
        <f aca="false">(AZ113-AZ112)/AZ112</f>
        <v>0.00204225768098456</v>
      </c>
      <c r="BB113" s="7"/>
      <c r="BC113" s="7"/>
      <c r="BD113" s="7"/>
      <c r="BE113" s="7"/>
      <c r="BF113" s="7" t="n">
        <f aca="false">BF112*(1+AY113)*(1+BA113)*(1-BE113)</f>
        <v>140.783255079847</v>
      </c>
      <c r="BG113" s="73" t="e">
        <f aca="false">(BB113-BB109)/BB109</f>
        <v>#DIV/0!</v>
      </c>
      <c r="BH113" s="0" t="n">
        <f aca="false">BH112+1</f>
        <v>82</v>
      </c>
      <c r="BI113" s="39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134616148.975927</v>
      </c>
      <c r="E114" s="6"/>
      <c r="F114" s="8" t="n">
        <f aca="false">'Central pensions'!I114</f>
        <v>24468078.5580205</v>
      </c>
      <c r="G114" s="6" t="n">
        <f aca="false">'Central pensions'!K114</f>
        <v>4664124.84779098</v>
      </c>
      <c r="H114" s="6" t="n">
        <f aca="false">'Central pensions'!V114</f>
        <v>25660638.7732371</v>
      </c>
      <c r="I114" s="8" t="n">
        <f aca="false">'Central pensions'!M114</f>
        <v>144251.2839523</v>
      </c>
      <c r="J114" s="6" t="n">
        <f aca="false">'Central pensions'!W114</f>
        <v>793628.003296005</v>
      </c>
      <c r="K114" s="6"/>
      <c r="L114" s="8" t="n">
        <f aca="false">'Central pensions'!N114</f>
        <v>3095681.39944274</v>
      </c>
      <c r="M114" s="8"/>
      <c r="N114" s="8" t="n">
        <f aca="false">'Central pensions'!L114</f>
        <v>1150535.7755199</v>
      </c>
      <c r="O114" s="6"/>
      <c r="P114" s="6" t="n">
        <f aca="false">'Central pensions'!X114</f>
        <v>22393413.8719347</v>
      </c>
      <c r="Q114" s="8"/>
      <c r="R114" s="8" t="n">
        <f aca="false">'Central SIPA income'!G109</f>
        <v>23756192.6851968</v>
      </c>
      <c r="S114" s="8"/>
      <c r="T114" s="6" t="n">
        <f aca="false">'Central SIPA income'!J109</f>
        <v>90833861.7214555</v>
      </c>
      <c r="U114" s="6"/>
      <c r="V114" s="8" t="n">
        <f aca="false">'Central SIPA income'!F109</f>
        <v>160573.980227593</v>
      </c>
      <c r="W114" s="8"/>
      <c r="X114" s="8" t="n">
        <f aca="false">'Central SIPA income'!M109</f>
        <v>403315.543568622</v>
      </c>
      <c r="Y114" s="6"/>
      <c r="Z114" s="6" t="n">
        <f aca="false">R114+V114-N114-L114-F114</f>
        <v>-4797529.06755878</v>
      </c>
      <c r="AA114" s="6"/>
      <c r="AB114" s="6" t="n">
        <f aca="false">T114-P114-D114</f>
        <v>-66175701.1264062</v>
      </c>
      <c r="AC114" s="50"/>
      <c r="AD114" s="6"/>
      <c r="AE114" s="6"/>
      <c r="AF114" s="6"/>
      <c r="AG114" s="6" t="n">
        <f aca="false">BF114/100*$AG$53</f>
        <v>7771429266.40664</v>
      </c>
      <c r="AH114" s="61" t="n">
        <f aca="false">(AG114-AG113)/AG113</f>
        <v>0.00428847251185526</v>
      </c>
      <c r="AI114" s="61"/>
      <c r="AJ114" s="61" t="n">
        <f aca="false">AB114/AG114</f>
        <v>-0.0085152548981514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0.00322809752520432</v>
      </c>
      <c r="AV114" s="5"/>
      <c r="AW114" s="65" t="n">
        <f aca="false">workers_and_wage_central!C102</f>
        <v>14106796</v>
      </c>
      <c r="AX114" s="5"/>
      <c r="AY114" s="61" t="n">
        <f aca="false">(AW114-AW113)/AW113</f>
        <v>0.00352051783460374</v>
      </c>
      <c r="AZ114" s="66" t="n">
        <f aca="false">workers_and_wage_central!B102</f>
        <v>8001.46405056019</v>
      </c>
      <c r="BA114" s="61" t="n">
        <f aca="false">(AZ114-AZ113)/AZ113</f>
        <v>0.000765260563788399</v>
      </c>
      <c r="BB114" s="5"/>
      <c r="BC114" s="5"/>
      <c r="BD114" s="5"/>
      <c r="BE114" s="5"/>
      <c r="BF114" s="5" t="n">
        <f aca="false">BF113*(1+AY114)*(1+BA114)*(1-BE114)</f>
        <v>141.387000199386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134642296.939597</v>
      </c>
      <c r="E115" s="9"/>
      <c r="F115" s="67" t="n">
        <f aca="false">'Central pensions'!I115</f>
        <v>24472831.2599368</v>
      </c>
      <c r="G115" s="9" t="n">
        <f aca="false">'Central pensions'!K115</f>
        <v>4722092.2870484</v>
      </c>
      <c r="H115" s="9" t="n">
        <f aca="false">'Central pensions'!V115</f>
        <v>25979558.5208718</v>
      </c>
      <c r="I115" s="67" t="n">
        <f aca="false">'Central pensions'!M115</f>
        <v>146044.091352009</v>
      </c>
      <c r="J115" s="9" t="n">
        <f aca="false">'Central pensions'!W115</f>
        <v>803491.500645503</v>
      </c>
      <c r="K115" s="9"/>
      <c r="L115" s="67" t="n">
        <f aca="false">'Central pensions'!N115</f>
        <v>2455085.65944367</v>
      </c>
      <c r="M115" s="67"/>
      <c r="N115" s="67" t="n">
        <f aca="false">'Central pensions'!L115</f>
        <v>1151960.78954149</v>
      </c>
      <c r="O115" s="9"/>
      <c r="P115" s="9" t="n">
        <f aca="false">'Central pensions'!X115</f>
        <v>19077199.5385152</v>
      </c>
      <c r="Q115" s="67"/>
      <c r="R115" s="67" t="n">
        <f aca="false">'Central SIPA income'!G110</f>
        <v>28129246.9556099</v>
      </c>
      <c r="S115" s="67"/>
      <c r="T115" s="9" t="n">
        <f aca="false">'Central SIPA income'!J110</f>
        <v>107554613.744428</v>
      </c>
      <c r="U115" s="9"/>
      <c r="V115" s="67" t="n">
        <f aca="false">'Central SIPA income'!F110</f>
        <v>163272.853222952</v>
      </c>
      <c r="W115" s="67"/>
      <c r="X115" s="67" t="n">
        <f aca="false">'Central SIPA income'!M110</f>
        <v>410094.334426288</v>
      </c>
      <c r="Y115" s="9"/>
      <c r="Z115" s="9" t="n">
        <f aca="false">R115+V115-N115-L115-F115</f>
        <v>212642.099910922</v>
      </c>
      <c r="AA115" s="9"/>
      <c r="AB115" s="9" t="n">
        <f aca="false">T115-P115-D115</f>
        <v>-46164882.7336839</v>
      </c>
      <c r="AC115" s="50"/>
      <c r="AD115" s="9"/>
      <c r="AE115" s="9"/>
      <c r="AF115" s="9"/>
      <c r="AG115" s="9" t="n">
        <f aca="false">BF115/100*$AG$53</f>
        <v>7824306884.55299</v>
      </c>
      <c r="AH115" s="39" t="n">
        <f aca="false">(AG115-AG114)/AG114</f>
        <v>0.0068041046677121</v>
      </c>
      <c r="AI115" s="39"/>
      <c r="AJ115" s="39" t="n">
        <f aca="false">AB115/AG115</f>
        <v>-0.00590018814635506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14128651</v>
      </c>
      <c r="AX115" s="7"/>
      <c r="AY115" s="39" t="n">
        <f aca="false">(AW115-AW114)/AW114</f>
        <v>0.00154925328189335</v>
      </c>
      <c r="AZ115" s="38" t="n">
        <f aca="false">workers_and_wage_central!B103</f>
        <v>8043.44551509315</v>
      </c>
      <c r="BA115" s="39" t="n">
        <f aca="false">(AZ115-AZ114)/AZ114</f>
        <v>0.00524672288317294</v>
      </c>
      <c r="BB115" s="7"/>
      <c r="BC115" s="7"/>
      <c r="BD115" s="7"/>
      <c r="BE115" s="7"/>
      <c r="BF115" s="7" t="n">
        <f aca="false">BF114*(1+AY115)*(1+BA115)*(1-BE115)</f>
        <v>142.349012147397</v>
      </c>
      <c r="BG115" s="7"/>
      <c r="BH115" s="7" t="n">
        <f aca="false">BH114+1</f>
        <v>84</v>
      </c>
      <c r="BI115" s="39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135408399.235646</v>
      </c>
      <c r="E116" s="9"/>
      <c r="F116" s="67" t="n">
        <f aca="false">'Central pensions'!I116</f>
        <v>24612079.420769</v>
      </c>
      <c r="G116" s="9" t="n">
        <f aca="false">'Central pensions'!K116</f>
        <v>4744707.15775258</v>
      </c>
      <c r="H116" s="9" t="n">
        <f aca="false">'Central pensions'!V116</f>
        <v>26103978.8670206</v>
      </c>
      <c r="I116" s="67" t="n">
        <f aca="false">'Central pensions'!M116</f>
        <v>146743.52034286</v>
      </c>
      <c r="J116" s="9" t="n">
        <f aca="false">'Central pensions'!W116</f>
        <v>807339.552588251</v>
      </c>
      <c r="K116" s="9"/>
      <c r="L116" s="67" t="n">
        <f aca="false">'Central pensions'!N116</f>
        <v>2471730.65948174</v>
      </c>
      <c r="M116" s="67"/>
      <c r="N116" s="67" t="n">
        <f aca="false">'Central pensions'!L116</f>
        <v>1159292.00870084</v>
      </c>
      <c r="O116" s="9"/>
      <c r="P116" s="9" t="n">
        <f aca="false">'Central pensions'!X116</f>
        <v>19203904.7275952</v>
      </c>
      <c r="Q116" s="67"/>
      <c r="R116" s="67" t="n">
        <f aca="false">'Central SIPA income'!G111</f>
        <v>24171972.4197034</v>
      </c>
      <c r="S116" s="67"/>
      <c r="T116" s="9" t="n">
        <f aca="false">'Central SIPA income'!J111</f>
        <v>92423631.5726778</v>
      </c>
      <c r="U116" s="9"/>
      <c r="V116" s="67" t="n">
        <f aca="false">'Central SIPA income'!F111</f>
        <v>161153.075821607</v>
      </c>
      <c r="W116" s="67"/>
      <c r="X116" s="67" t="n">
        <f aca="false">'Central SIPA income'!M111</f>
        <v>404770.064742893</v>
      </c>
      <c r="Y116" s="9"/>
      <c r="Z116" s="9" t="n">
        <f aca="false">R116+V116-N116-L116-F116</f>
        <v>-3909976.59342661</v>
      </c>
      <c r="AA116" s="9"/>
      <c r="AB116" s="9" t="n">
        <f aca="false">T116-P116-D116</f>
        <v>-62188672.3905632</v>
      </c>
      <c r="AC116" s="50"/>
      <c r="AD116" s="9"/>
      <c r="AE116" s="9"/>
      <c r="AF116" s="9"/>
      <c r="AG116" s="9" t="n">
        <f aca="false">BF116/100*$AG$53</f>
        <v>7831590476.86819</v>
      </c>
      <c r="AH116" s="39" t="n">
        <f aca="false">(AG116-AG115)/AG115</f>
        <v>0.000930892975271389</v>
      </c>
      <c r="AI116" s="39"/>
      <c r="AJ116" s="39" t="n">
        <f aca="false">AB116/AG116</f>
        <v>-0.00794074620911896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14075744</v>
      </c>
      <c r="AY116" s="39" t="n">
        <f aca="false">(AW116-AW115)/AW115</f>
        <v>-0.0037446604067154</v>
      </c>
      <c r="AZ116" s="38" t="n">
        <f aca="false">workers_and_wage_central!B104</f>
        <v>8081.19443084428</v>
      </c>
      <c r="BA116" s="39" t="n">
        <f aca="false">(AZ116-AZ115)/AZ115</f>
        <v>0.00469312755091035</v>
      </c>
      <c r="BB116" s="7"/>
      <c r="BC116" s="7"/>
      <c r="BD116" s="7"/>
      <c r="BE116" s="7"/>
      <c r="BF116" s="7" t="n">
        <f aca="false">BF115*(1+AY116)*(1+BA116)*(1-BE116)</f>
        <v>142.481523842842</v>
      </c>
      <c r="BG116" s="7"/>
      <c r="BH116" s="0" t="n">
        <f aca="false">BH115+1</f>
        <v>85</v>
      </c>
      <c r="BI116" s="39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136777283.606292</v>
      </c>
      <c r="E117" s="9"/>
      <c r="F117" s="67" t="n">
        <f aca="false">'Central pensions'!I117</f>
        <v>24860890.3589263</v>
      </c>
      <c r="G117" s="9" t="n">
        <f aca="false">'Central pensions'!K117</f>
        <v>4843414.27468956</v>
      </c>
      <c r="H117" s="9" t="n">
        <f aca="false">'Central pensions'!V117</f>
        <v>26647036.3011001</v>
      </c>
      <c r="I117" s="67" t="n">
        <f aca="false">'Central pensions'!M117</f>
        <v>149796.3177739</v>
      </c>
      <c r="J117" s="9" t="n">
        <f aca="false">'Central pensions'!W117</f>
        <v>824135.14333297</v>
      </c>
      <c r="K117" s="9"/>
      <c r="L117" s="67" t="n">
        <f aca="false">'Central pensions'!N117</f>
        <v>2479233.73582244</v>
      </c>
      <c r="M117" s="67"/>
      <c r="N117" s="67" t="n">
        <f aca="false">'Central pensions'!L117</f>
        <v>1172102.6415505</v>
      </c>
      <c r="O117" s="9"/>
      <c r="P117" s="9" t="n">
        <f aca="false">'Central pensions'!X117</f>
        <v>19313318.5485863</v>
      </c>
      <c r="Q117" s="67"/>
      <c r="R117" s="67" t="n">
        <f aca="false">'Central SIPA income'!G112</f>
        <v>28245247.1705161</v>
      </c>
      <c r="S117" s="67"/>
      <c r="T117" s="9" t="n">
        <f aca="false">'Central SIPA income'!J112</f>
        <v>107998150.620058</v>
      </c>
      <c r="U117" s="9"/>
      <c r="V117" s="67" t="n">
        <f aca="false">'Central SIPA income'!F112</f>
        <v>169530.315716133</v>
      </c>
      <c r="W117" s="67"/>
      <c r="X117" s="67" t="n">
        <f aca="false">'Central SIPA income'!M112</f>
        <v>425811.276132663</v>
      </c>
      <c r="Y117" s="9"/>
      <c r="Z117" s="9" t="n">
        <f aca="false">R117+V117-N117-L117-F117</f>
        <v>-97449.2500670403</v>
      </c>
      <c r="AA117" s="9"/>
      <c r="AB117" s="9" t="n">
        <f aca="false">T117-P117-D117</f>
        <v>-48092451.5348211</v>
      </c>
      <c r="AC117" s="50"/>
      <c r="AD117" s="9"/>
      <c r="AE117" s="9"/>
      <c r="AF117" s="9"/>
      <c r="AG117" s="9" t="n">
        <f aca="false">BF117/100*$AG$53</f>
        <v>7838552133.85181</v>
      </c>
      <c r="AH117" s="39" t="n">
        <f aca="false">(AG117-AG116)/AG116</f>
        <v>0.000888919945978513</v>
      </c>
      <c r="AI117" s="39" t="n">
        <f aca="false">(AG117-AG113)/AG113</f>
        <v>0.012962645525116</v>
      </c>
      <c r="AJ117" s="39" t="n">
        <f aca="false">AB117/AG117</f>
        <v>-0.00613537432852268</v>
      </c>
      <c r="AK117" s="73"/>
      <c r="AL117" s="81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14084377</v>
      </c>
      <c r="AY117" s="39" t="n">
        <f aca="false">(AW117-AW116)/AW116</f>
        <v>0.000613324595843744</v>
      </c>
      <c r="AZ117" s="38" t="n">
        <f aca="false">workers_and_wage_central!B105</f>
        <v>8083.42020533072</v>
      </c>
      <c r="BA117" s="39" t="n">
        <f aca="false">(AZ117-AZ116)/AZ116</f>
        <v>0.000275426424334592</v>
      </c>
      <c r="BB117" s="7"/>
      <c r="BC117" s="7"/>
      <c r="BD117" s="7"/>
      <c r="BE117" s="7"/>
      <c r="BF117" s="7" t="n">
        <f aca="false">BF116*(1+AY117)*(1+BA117)*(1-BE117)</f>
        <v>142.608178511319</v>
      </c>
      <c r="BG117" s="73" t="e">
        <f aca="false">(BB117-BB113)/BB113</f>
        <v>#DIV/0!</v>
      </c>
      <c r="BH117" s="0" t="n">
        <f aca="false">BH116+1</f>
        <v>86</v>
      </c>
      <c r="BI117" s="39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1" t="n">
        <f aca="false">AVERAGE(AI29:AI117)</f>
        <v>0.0213337156428515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1"/>
    </row>
    <row r="121" customFormat="false" ht="12.8" hidden="false" customHeight="false" outlineLevel="0" collapsed="false">
      <c r="AK121" s="73"/>
      <c r="BF121" s="31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104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31"/>
      <c r="AI130" s="31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31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4972208293.2784</v>
      </c>
      <c r="AH135" s="31"/>
      <c r="AI135" s="31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5679661013.81294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5261704462.58878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5287041758.04225</v>
      </c>
      <c r="AJ138" s="31" t="n">
        <f aca="false">(AG138-AG134)/AG134</f>
        <v>0.045326848264047</v>
      </c>
      <c r="AK138" s="31" t="n">
        <f aca="false">AVERAGE(AJ138:AJ230)</f>
        <v>0.0188745005883395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5160359434.5937</v>
      </c>
      <c r="AH139" s="31"/>
      <c r="AI139" s="31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5453601637.88744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5081850101.88732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4960933964.98063</v>
      </c>
      <c r="AJ142" s="31" t="n">
        <f aca="false">(AG142-AG138)/AG138</f>
        <v>-0.0616805782866314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4855658150.41326</v>
      </c>
      <c r="AH143" s="31"/>
      <c r="AI143" s="31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5473914129.94675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4989339116.60385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4906517833.56213</v>
      </c>
      <c r="AJ146" s="31" t="n">
        <f aca="false">(AG146-AG142)/AG142</f>
        <v>-0.0109689287949877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4592447932.43736</v>
      </c>
      <c r="AH147" s="31"/>
      <c r="AI147" s="31"/>
      <c r="AK147" s="0" t="n">
        <f aca="false">100*AK144*AL144*AU144*AV144</f>
        <v>100.596883177987</v>
      </c>
      <c r="AL147" s="31" t="n">
        <f aca="false">(AK147-100)/100</f>
        <v>0.00596883177987451</v>
      </c>
      <c r="AM147" s="31"/>
      <c r="AN147" s="31"/>
      <c r="AO147" s="31"/>
      <c r="AP147" s="31"/>
      <c r="AQ147" s="31"/>
      <c r="AR147" s="31"/>
      <c r="AS147" s="31"/>
      <c r="AT147" s="31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4305412222.71334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4254757137.80492</v>
      </c>
      <c r="AH149" s="31" t="n">
        <f aca="false">AVERAGE(AJ138:AJ158)</f>
        <v>0.0044167486363354</v>
      </c>
      <c r="AI149" s="31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4570606424.8835</v>
      </c>
      <c r="AJ150" s="31" t="n">
        <f aca="false">(AG150-AG146)/AG146</f>
        <v>-0.0684622822281176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4549709618.02388</v>
      </c>
      <c r="AH151" s="31"/>
      <c r="AI151" s="31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5260625875.71462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4910610290.71305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4924337786.28798</v>
      </c>
      <c r="AJ154" s="31" t="n">
        <f aca="false">(AG154-AG150)/AG150</f>
        <v>0.0773926539547735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4810204931.47405</v>
      </c>
      <c r="AH155" s="31"/>
      <c r="AI155" s="31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5551103673.21321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5144754762.74662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5145404993.80068</v>
      </c>
      <c r="AJ158" s="31" t="n">
        <f aca="false">(AG158-AG154)/AG154</f>
        <v>0.0448927789089285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5024226156.91977</v>
      </c>
      <c r="AH159" s="31"/>
      <c r="AI159" s="31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5777224878.94163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5342126859.21334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5330019463.69023</v>
      </c>
      <c r="AJ162" s="31" t="n">
        <f aca="false">(AG162-AG158)/AG158</f>
        <v>0.0358794827835657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5199198453.89296</v>
      </c>
      <c r="AH163" s="31"/>
      <c r="AI163" s="31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5949468934.79935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5511795093.09097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5496565635.77078</v>
      </c>
      <c r="AJ166" s="31" t="n">
        <f aca="false">(AG166-AG162)/AG162</f>
        <v>0.0312468224956986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5559469197.19228</v>
      </c>
      <c r="AH167" s="31"/>
      <c r="AI167" s="31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5628048284.93529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5667939581.00566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5742901291.90824</v>
      </c>
      <c r="AJ170" s="31" t="n">
        <f aca="false">(AG170-AG166)/AG166</f>
        <v>0.0448162857429274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5797851987.55469</v>
      </c>
      <c r="AH171" s="31"/>
      <c r="AI171" s="31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5840854176.553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5861349063.13381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5891744840.72913</v>
      </c>
      <c r="AJ174" s="31" t="n">
        <f aca="false">(AG174-AG170)/AG170</f>
        <v>0.0259178316421035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5895713585.85929</v>
      </c>
      <c r="AH175" s="31"/>
      <c r="AI175" s="31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5932111825.19869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6009785378.09791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6049206503.26715</v>
      </c>
      <c r="AJ178" s="31" t="n">
        <f aca="false">(AG178-AG174)/AG174</f>
        <v>0.0267258115880198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6105584068.18591</v>
      </c>
      <c r="AH179" s="31"/>
      <c r="AI179" s="31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6107034212.28912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6164593688.6187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6205319194.52724</v>
      </c>
      <c r="AJ182" s="31" t="n">
        <f aca="false">(AG182-AG178)/AG178</f>
        <v>0.025807135394664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6229811170.15878</v>
      </c>
      <c r="AH183" s="31"/>
      <c r="AI183" s="31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6282662812.76362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6319040466.35493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6359041029.58733</v>
      </c>
      <c r="AJ186" s="31" t="n">
        <f aca="false">(AG186-AG182)/AG182</f>
        <v>0.024772591101463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6428074787.21459</v>
      </c>
      <c r="AH187" s="31"/>
      <c r="AI187" s="31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6442984003.89784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6483726091.85778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6519075222.12039</v>
      </c>
      <c r="AJ190" s="31" t="n">
        <f aca="false">(AG190-AG186)/AG186</f>
        <v>0.0251664035172051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6534695959.84183</v>
      </c>
      <c r="AH191" s="31"/>
      <c r="AI191" s="31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6578965568.03016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6607520583.64318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6641773596.2523</v>
      </c>
      <c r="AJ194" s="31" t="n">
        <f aca="false">(AG194-AG190)/AG190</f>
        <v>0.0188214386168729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6647231333.56633</v>
      </c>
      <c r="AH195" s="31"/>
      <c r="AI195" s="31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6693061176.15429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6716976952.61133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6748453414.02162</v>
      </c>
      <c r="AJ198" s="31" t="n">
        <f aca="false">(AG198-AG194)/AG194</f>
        <v>0.0160619473433288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6812747184.30744</v>
      </c>
      <c r="AH199" s="31"/>
      <c r="AI199" s="31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6837942989.06158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6897678693.68855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6963097157.76141</v>
      </c>
      <c r="AJ202" s="31" t="n">
        <f aca="false">(AG202-AG198)/AG198</f>
        <v>0.0318063607424214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6970884198.90481</v>
      </c>
      <c r="AH203" s="31"/>
      <c r="AI203" s="31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7038449863.47853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7014925052.32454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7067624156.0471</v>
      </c>
      <c r="AJ206" s="31" t="n">
        <f aca="false">(AG206-AG202)/AG202</f>
        <v>0.0150115668239923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7091137109.50367</v>
      </c>
      <c r="AH207" s="31"/>
      <c r="AI207" s="31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7122322673.78715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7140640367.30316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7170603053.08462</v>
      </c>
      <c r="AJ210" s="31" t="n">
        <f aca="false">(AG210-AG206)/AG206</f>
        <v>0.0145705112161929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7197433404.14143</v>
      </c>
      <c r="AH211" s="31"/>
      <c r="AI211" s="31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7197681125.14541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7248156006.34063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7298010998.5751</v>
      </c>
      <c r="AJ214" s="31" t="n">
        <f aca="false">(AG214-AG210)/AG210</f>
        <v>0.0177680934988685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7350893980.96401</v>
      </c>
      <c r="AH215" s="31"/>
      <c r="AI215" s="31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7390979144.84438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7411101625.29125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7427180800.67969</v>
      </c>
      <c r="AJ218" s="31" t="n">
        <f aca="false">(AG218-AG214)/AG214</f>
        <v>0.0176993158998818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7456754089.39646</v>
      </c>
      <c r="AH219" s="31"/>
      <c r="AI219" s="31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7513881557.0195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7531761828.01409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7589040305.38423</v>
      </c>
      <c r="AJ222" s="31" t="n">
        <f aca="false">(AG222-AG218)/AG218</f>
        <v>0.0217928591006865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7655938865.41085</v>
      </c>
      <c r="AH223" s="31"/>
      <c r="AI223" s="31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7689238136.5842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7731878272.72141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7738244019.63839</v>
      </c>
      <c r="AJ226" s="31" t="n">
        <f aca="false">(AG226-AG222)/AG222</f>
        <v>0.0196604192691272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7771429266.40664</v>
      </c>
      <c r="AH227" s="31"/>
      <c r="AI227" s="31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7824306884.55299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7831590476.86819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7838552133.85181</v>
      </c>
      <c r="AJ230" s="31" t="n">
        <f aca="false">(AG230-AG226)/AG226</f>
        <v>0.012962645525116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7773437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f aca="false">'[1]Pessimist projection'!L274</f>
        <v>34.2274371921193</v>
      </c>
      <c r="E4" s="22"/>
      <c r="F4" s="21" t="n">
        <f aca="false">'[1]Pessimist projection'!C274</f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f aca="false">'[1]Pessimist projection'!L277</f>
        <v>36.0654421469069</v>
      </c>
      <c r="E5" s="25" t="n">
        <f aca="false">(D7/D6)^(1/3)-1</f>
        <v>0.0200745496556629</v>
      </c>
      <c r="F5" s="24" t="n">
        <f aca="false">'[1]Pessimist projection'!C277</f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f aca="false">'[1]Pessimist projection'!L280</f>
        <v>37.9112181792914</v>
      </c>
      <c r="E6" s="22" t="n">
        <f aca="false">(D8/D7)^(1/3)-1</f>
        <v>0.0217205625419925</v>
      </c>
      <c r="F6" s="21" t="n">
        <f aca="false">'[1]Pessimist projection'!C280</f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f aca="false">'[1]Pessimist projection'!L283</f>
        <v>40.2405100148553</v>
      </c>
      <c r="E7" s="25" t="n">
        <f aca="false">(D9/D8)^(1/3)-1</f>
        <v>0.0284809714113086</v>
      </c>
      <c r="F7" s="24" t="n">
        <f aca="false">'[1]Pessimist projection'!C283</f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3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f aca="false">'[1]Pessimist projection'!L286</f>
        <v>42.9200162644461</v>
      </c>
      <c r="E8" s="22" t="n">
        <f aca="false">(D10/D9)^(1/3)-1</f>
        <v>0.0449818647633</v>
      </c>
      <c r="F8" s="21" t="n">
        <f aca="false">'[1]Pessimist projection'!C286</f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43.5623454638579</v>
      </c>
      <c r="L8" s="13" t="n">
        <f aca="false">100*F8*100/D8/($F$16*100/$D$16)</f>
        <v>113.308327170347</v>
      </c>
    </row>
    <row r="9" customFormat="false" ht="13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f aca="false">'[1]Pessimist projection'!L289</f>
        <v>46.6926648443865</v>
      </c>
      <c r="E9" s="25" t="n">
        <f aca="false">(D9/D8)^(1/3)-1</f>
        <v>0.0284809714113086</v>
      </c>
      <c r="F9" s="24" t="n">
        <f aca="false">'[1]Pessimist projection'!C289</f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3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f aca="false">'[1]Pessimist projection'!L292</f>
        <v>53.2813133314609</v>
      </c>
      <c r="E10" s="22" t="n">
        <f aca="false">(D10/D9)^(1/3)-1</f>
        <v>0.0449818647633</v>
      </c>
      <c r="F10" s="21" t="n">
        <f aca="false">'[1]Pessimist projection'!C292</f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3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f aca="false">'[1]Pessimist projection'!L295</f>
        <v>59.4133384581601</v>
      </c>
      <c r="E11" s="25" t="n">
        <f aca="false">(D11/D10)^(1/3)-1</f>
        <v>0.036978323830404</v>
      </c>
      <c r="F11" s="24" t="n">
        <f aca="false">'[1]Pessimist projection'!C295</f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3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f aca="false">'[1]Pessimist projection'!L298</f>
        <v>66.4111454665113</v>
      </c>
      <c r="E12" s="22" t="n">
        <f aca="false">(D12/D11)^(1/3)-1</f>
        <v>0.0378127572782896</v>
      </c>
      <c r="F12" s="21" t="n">
        <f aca="false">'[1]Pessimist projection'!C298</f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3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f aca="false">'[1]Pessimist projection'!L301</f>
        <v>72.7247107047078</v>
      </c>
      <c r="E13" s="25" t="n">
        <f aca="false">(D13/D12)^(1/3)-1</f>
        <v>0.0307349693063796</v>
      </c>
      <c r="F13" s="24" t="n">
        <f aca="false">'[1]Pessimist projection'!C301</f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3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f aca="false">'[1]Pessimist projection'!L304</f>
        <v>81.8091971509489</v>
      </c>
      <c r="E14" s="22" t="n">
        <f aca="false">(D14/D13)^(1/3)-1</f>
        <v>0.0400160528698508</v>
      </c>
      <c r="F14" s="21" t="n">
        <f aca="false">'[1]Pessimist projection'!C304</f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3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f aca="false">'[1]Pessimist projection'!L307</f>
        <v>91.396965668282</v>
      </c>
      <c r="E15" s="25" t="n">
        <f aca="false">(D15/D14)^(1/3)-1</f>
        <v>0.0376316630457978</v>
      </c>
      <c r="F15" s="24" t="n">
        <f aca="false">'[1]Pessimist projection'!C307</f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3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f aca="false">'[1]Pessimist projection'!L310</f>
        <v>98.5254944549653</v>
      </c>
      <c r="E16" s="22" t="n">
        <f aca="false">(D16/D15)^(1/3)-1</f>
        <v>0.0253503448429659</v>
      </c>
      <c r="F16" s="21" t="n">
        <f aca="false">'[1]Pessimist projection'!C310</f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3.8" hidden="false" customHeight="false" outlineLevel="0" collapsed="false">
      <c r="A17" s="27" t="s">
        <v>16</v>
      </c>
      <c r="B17" s="27" t="n">
        <f aca="false">127.133978794661*0.97</f>
        <v>123.319959430821</v>
      </c>
      <c r="C17" s="28" t="n">
        <f aca="false">(B17/B16)^(1/3)-1</f>
        <v>-0.0172114229270843</v>
      </c>
      <c r="D17" s="27" t="n">
        <f aca="false">'[1]Pessimist projection'!L313</f>
        <v>103.878219185017</v>
      </c>
      <c r="E17" s="28" t="n">
        <f aca="false">(D17/D16)^(1/3)-1</f>
        <v>0.0177910422073568</v>
      </c>
      <c r="F17" s="27" t="n">
        <f aca="false">'[1]Pessimist projection'!C313</f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94.9249331863461</v>
      </c>
      <c r="K17" s="13" t="n">
        <f aca="false">D17*100/$D$16</f>
        <v>105.432832141227</v>
      </c>
      <c r="L17" s="13" t="n">
        <f aca="false">100*F17*100/D17/($F$16*100/$D$16)</f>
        <v>95.1557074390027</v>
      </c>
    </row>
    <row r="18" customFormat="false" ht="13.8" hidden="false" customHeight="false" outlineLevel="0" collapsed="false">
      <c r="A18" s="29" t="s">
        <v>18</v>
      </c>
      <c r="B18" s="29" t="n">
        <f aca="false">127.668404336245*0.97</f>
        <v>123.838352206158</v>
      </c>
      <c r="C18" s="30" t="n">
        <f aca="false">(B18/B17)^(1/3)-1</f>
        <v>0.00139925467157553</v>
      </c>
      <c r="D18" s="29" t="n">
        <f aca="false">'[1]Pessimist projection'!L316</f>
        <v>114.614825728601</v>
      </c>
      <c r="E18" s="30" t="n">
        <f aca="false">(D18/D17)^(1/3)-1</f>
        <v>0.0333293560952252</v>
      </c>
      <c r="F18" s="29" t="n">
        <f aca="false">'[1]Pessimist projection'!C316</f>
        <v>57918.0549747375</v>
      </c>
      <c r="G18" s="30" t="n">
        <f aca="false">(F18/F17)^(1/3)-1</f>
        <v>0.00499999999999989</v>
      </c>
      <c r="H18" s="31" t="n">
        <f aca="false">(F18*100/D18)/(F16*100/D16)-1</f>
        <v>-0.12457947453439</v>
      </c>
      <c r="I18" s="29" t="s">
        <v>34</v>
      </c>
      <c r="J18" s="13" t="n">
        <f aca="false">B18*100/$B$16</f>
        <v>95.3239634794975</v>
      </c>
      <c r="K18" s="13" t="n">
        <f aca="false">D18*100/$D$16</f>
        <v>116.330119795532</v>
      </c>
      <c r="L18" s="13" t="n">
        <f aca="false">100*F18*100/D18/($F$16*100/$D$16)</f>
        <v>87.5420525465609</v>
      </c>
    </row>
    <row r="19" customFormat="false" ht="13.8" hidden="false" customHeight="false" outlineLevel="0" collapsed="false">
      <c r="A19" s="27" t="s">
        <v>22</v>
      </c>
      <c r="B19" s="27" t="n">
        <f aca="false">132.250584565807*0.98</f>
        <v>129.605572874491</v>
      </c>
      <c r="C19" s="28" t="n">
        <f aca="false">(B19/B18)^(1/3)-1</f>
        <v>0.0152885859496283</v>
      </c>
      <c r="D19" s="27" t="n">
        <f aca="false">'[1]Pessimist projection'!L319</f>
        <v>128.2299428326</v>
      </c>
      <c r="E19" s="28" t="n">
        <f aca="false">(D19/D18)^(1/3)-1</f>
        <v>0.0381247616544038</v>
      </c>
      <c r="F19" s="27" t="n">
        <f aca="false">'[1]Pessimist projection'!C319</f>
        <v>65285.3539364786</v>
      </c>
      <c r="G19" s="28" t="n">
        <f aca="false">(F19/F18)^(1/3)-1</f>
        <v>0.0407200735585396</v>
      </c>
      <c r="I19" s="27" t="s">
        <v>35</v>
      </c>
      <c r="J19" s="13" t="n">
        <f aca="false">B19*100/$B$16</f>
        <v>99.7632532679405</v>
      </c>
      <c r="K19" s="13" t="n">
        <f aca="false">D19*100/$D$16</f>
        <v>130.148997010324</v>
      </c>
      <c r="L19" s="13" t="n">
        <f aca="false">100*F19*100/D19/($F$16*100/$D$16)</f>
        <v>88.2002607219899</v>
      </c>
    </row>
    <row r="20" customFormat="false" ht="13.8" hidden="false" customHeight="false" outlineLevel="0" collapsed="false">
      <c r="A20" s="29" t="s">
        <v>36</v>
      </c>
      <c r="B20" s="29" t="n">
        <f aca="false">130.409002619386*0.96</f>
        <v>125.192642514611</v>
      </c>
      <c r="C20" s="30" t="n">
        <f aca="false">(B20/B19)^(1/3)-1</f>
        <v>-0.0114809492376907</v>
      </c>
      <c r="D20" s="29" t="n">
        <f aca="false">'[1]Pessimist projection'!L322</f>
        <v>140.443844887405</v>
      </c>
      <c r="E20" s="30" t="n">
        <f aca="false">(D20/D19)^(1/3)-1</f>
        <v>0.0307921138341734</v>
      </c>
      <c r="F20" s="29" t="n">
        <f aca="false">'[1]Pessimist projection'!C322</f>
        <v>72581.7123791775</v>
      </c>
      <c r="G20" s="30" t="n">
        <f aca="false">(F20/F19)^(1/3)-1</f>
        <v>0.0359460744033444</v>
      </c>
      <c r="I20" s="29" t="s">
        <v>36</v>
      </c>
      <c r="J20" s="13" t="n">
        <f aca="false">B20*100/$B$16</f>
        <v>96.3664217939355</v>
      </c>
      <c r="K20" s="13" t="n">
        <f aca="false">D20*100/$D$16</f>
        <v>142.545688975558</v>
      </c>
      <c r="L20" s="13" t="n">
        <f aca="false">100*F20*100/D20/($F$16*100/$D$16)</f>
        <v>89.5298906774065</v>
      </c>
    </row>
    <row r="21" customFormat="false" ht="13.8" hidden="false" customHeight="false" outlineLevel="0" collapsed="false">
      <c r="A21" s="27" t="s">
        <v>16</v>
      </c>
      <c r="B21" s="27" t="n">
        <f aca="false">150.143764890891*0.96</f>
        <v>144.138014295255</v>
      </c>
      <c r="C21" s="28" t="n">
        <f aca="false">(B21/B20)^(1/3)-1</f>
        <v>0.0480932148025608</v>
      </c>
      <c r="D21" s="27" t="n">
        <f aca="false">'[1]Pessimist projection'!L325</f>
        <v>152.65774694221</v>
      </c>
      <c r="E21" s="28" t="n">
        <f aca="false">(D21/D20)^(1/3)-1</f>
        <v>0.0281868519131971</v>
      </c>
      <c r="F21" s="27" t="n">
        <f aca="false">'[1]Pessimist projection'!C325</f>
        <v>80083.2211430559</v>
      </c>
      <c r="G21" s="28" t="n">
        <f aca="false">(F21/F20)^(1/3)-1</f>
        <v>0.033327786172763</v>
      </c>
      <c r="I21" s="27" t="s">
        <v>37</v>
      </c>
      <c r="J21" s="13" t="n">
        <f aca="false">B21*100/$B$16</f>
        <v>110.949528687326</v>
      </c>
      <c r="K21" s="13" t="n">
        <f aca="false">D21*100/$D$16</f>
        <v>154.942380940791</v>
      </c>
      <c r="L21" s="13" t="n">
        <f aca="false">100*F21*100/D21/($F$16*100/$D$16)</f>
        <v>90.8795649706047</v>
      </c>
    </row>
    <row r="22" customFormat="false" ht="13.8" hidden="false" customHeight="false" outlineLevel="0" collapsed="false">
      <c r="A22" s="29" t="s">
        <v>18</v>
      </c>
      <c r="B22" s="29" t="n">
        <f aca="false">139.831457199861*0.97</f>
        <v>135.636513483865</v>
      </c>
      <c r="C22" s="30" t="n">
        <f aca="false">(B22/B21)^(1/3)-1</f>
        <v>-0.020060280718572</v>
      </c>
      <c r="D22" s="29" t="n">
        <f aca="false">'[1]Pessimist projection'!L328</f>
        <v>164.871648997015</v>
      </c>
      <c r="E22" s="30" t="n">
        <f aca="false">(D22/D21)^(1/3)-1</f>
        <v>0.0259882279085075</v>
      </c>
      <c r="F22" s="29" t="n">
        <f aca="false">'[1]Pessimist projection'!C328</f>
        <v>87140.8537057608</v>
      </c>
      <c r="G22" s="30" t="n">
        <f aca="false">(F22/F21)^(1/3)-1</f>
        <v>0.0285531984782788</v>
      </c>
      <c r="I22" s="29" t="s">
        <v>38</v>
      </c>
      <c r="J22" s="13" t="n">
        <f aca="false">B22*100/$B$16</f>
        <v>104.405540185954</v>
      </c>
      <c r="K22" s="13" t="n">
        <f aca="false">D22*100/$D$16</f>
        <v>167.339072906024</v>
      </c>
      <c r="L22" s="13" t="n">
        <f aca="false">100*F22*100/D22/($F$16*100/$D$16)</f>
        <v>91.5628671197206</v>
      </c>
    </row>
    <row r="23" customFormat="false" ht="13.8" hidden="false" customHeight="false" outlineLevel="0" collapsed="false">
      <c r="A23" s="27" t="s">
        <v>22</v>
      </c>
      <c r="B23" s="27" t="n">
        <f aca="false">140.082516426909*0.97</f>
        <v>135.880040934102</v>
      </c>
      <c r="C23" s="28" t="n">
        <f aca="false">(B23/B22)^(1/3)-1</f>
        <v>0.000598122739331242</v>
      </c>
      <c r="D23" s="27" t="n">
        <f aca="false">'[1]Pessimist projection'!L331</f>
        <v>177.08555105182</v>
      </c>
      <c r="E23" s="28" t="n">
        <f aca="false">(D23/D22)^(1/3)-1</f>
        <v>0.0241078973627511</v>
      </c>
      <c r="F23" s="27" t="n">
        <f aca="false">'[1]Pessimist projection'!C331</f>
        <v>94300.0883871125</v>
      </c>
      <c r="G23" s="28" t="n">
        <f aca="false">(F23/F22)^(1/3)-1</f>
        <v>0.0266681671061579</v>
      </c>
      <c r="I23" s="27" t="s">
        <v>39</v>
      </c>
      <c r="J23" s="13" t="n">
        <f aca="false">B23*100/$B$16</f>
        <v>104.592994244887</v>
      </c>
      <c r="K23" s="13" t="n">
        <f aca="false">D23*100/$D$16</f>
        <v>179.735764871257</v>
      </c>
      <c r="L23" s="13" t="n">
        <f aca="false">100*F23*100/D23/($F$16*100/$D$16)</f>
        <v>92.2513068575468</v>
      </c>
    </row>
    <row r="24" customFormat="false" ht="13.8" hidden="false" customHeight="false" outlineLevel="0" collapsed="false">
      <c r="A24" s="29" t="s">
        <v>40</v>
      </c>
      <c r="B24" s="29" t="n">
        <f aca="false">136.767343888597*0.96</f>
        <v>131.296650133053</v>
      </c>
      <c r="C24" s="30" t="n">
        <f aca="false">(B24/B23)^(1/3)-1</f>
        <v>-0.0113725634350372</v>
      </c>
      <c r="D24" s="29" t="n">
        <f aca="false">'[1]Pessimist projection'!L334</f>
        <v>191.16385236044</v>
      </c>
      <c r="E24" s="30" t="n">
        <f aca="false">(D24/D23)^(1/3)-1</f>
        <v>0.0258272124597458</v>
      </c>
      <c r="F24" s="29" t="n">
        <f aca="false">'[1]Pessimist projection'!C334</f>
        <v>102102.641742763</v>
      </c>
      <c r="G24" s="30" t="n">
        <f aca="false">(F24/F23)^(1/3)-1</f>
        <v>0.0268530396722058</v>
      </c>
      <c r="I24" s="29" t="s">
        <v>40</v>
      </c>
      <c r="J24" s="13" t="n">
        <f aca="false">B24*100/$B$16</f>
        <v>101.06495168337</v>
      </c>
      <c r="K24" s="13" t="n">
        <f aca="false">D24*100/$D$16</f>
        <v>194.024758178523</v>
      </c>
      <c r="L24" s="13" t="n">
        <f aca="false">100*F24*100/D24/($F$16*100/$D$16)</f>
        <v>92.5283376242914</v>
      </c>
    </row>
    <row r="25" customFormat="false" ht="13.8" hidden="false" customHeight="false" outlineLevel="0" collapsed="false">
      <c r="A25" s="27" t="s">
        <v>16</v>
      </c>
      <c r="B25" s="27" t="n">
        <f aca="false">157.833130989485*0.96</f>
        <v>151.519805749906</v>
      </c>
      <c r="C25" s="28" t="n">
        <f aca="false">(B25/B24)^(1/3)-1</f>
        <v>0.0489108707036015</v>
      </c>
      <c r="D25" s="27" t="n">
        <f aca="false">'[1]Pessimist projection'!L337</f>
        <v>205.24215366906</v>
      </c>
      <c r="E25" s="28" t="n">
        <f aca="false">(D25/D24)^(1/3)-1</f>
        <v>0.0239692850799014</v>
      </c>
      <c r="F25" s="27" t="n">
        <f aca="false">'[1]Pessimist projection'!C337</f>
        <v>109951.20684986</v>
      </c>
      <c r="G25" s="28" t="n">
        <f aca="false">(F25/F24)^(1/3)-1</f>
        <v>0.0249932543649798</v>
      </c>
      <c r="I25" s="27" t="s">
        <v>41</v>
      </c>
      <c r="J25" s="13" t="n">
        <f aca="false">B25*100/$B$16</f>
        <v>116.631626409887</v>
      </c>
      <c r="K25" s="13" t="n">
        <f aca="false">D25*100/$D$16</f>
        <v>208.313751485788</v>
      </c>
      <c r="L25" s="13" t="n">
        <f aca="false">100*F25*100/D25/($F$16*100/$D$16)</f>
        <v>92.8062003147051</v>
      </c>
    </row>
    <row r="26" customFormat="false" ht="13.8" hidden="false" customHeight="false" outlineLevel="0" collapsed="false">
      <c r="A26" s="29" t="s">
        <v>18</v>
      </c>
      <c r="B26" s="29" t="n">
        <f aca="false">146.279514882008*0.955</f>
        <v>139.696936712318</v>
      </c>
      <c r="C26" s="30" t="n">
        <f aca="false">(B26/B25)^(1/3)-1</f>
        <v>-0.0267169516140283</v>
      </c>
      <c r="D26" s="29" t="n">
        <f aca="false">'[1]Pessimist projection'!L340</f>
        <v>219.320454977679</v>
      </c>
      <c r="E26" s="30" t="n">
        <f aca="false">(D26/D25)^(1/3)-1</f>
        <v>0.0223608059111404</v>
      </c>
      <c r="F26" s="29" t="n">
        <f aca="false">'[1]Pessimist projection'!C340</f>
        <v>117845.989691532</v>
      </c>
      <c r="G26" s="30" t="n">
        <f aca="false">(F26/F25)^(1/3)-1</f>
        <v>0.0233831667170519</v>
      </c>
      <c r="I26" s="29" t="s">
        <v>42</v>
      </c>
      <c r="J26" s="13" t="n">
        <f aca="false">B26*100/$B$16</f>
        <v>107.531031026594</v>
      </c>
      <c r="K26" s="13" t="n">
        <f aca="false">D26*100/$D$16</f>
        <v>222.602744793052</v>
      </c>
      <c r="L26" s="13" t="n">
        <f aca="false">100*F26*100/D26/($F$16*100/$D$16)</f>
        <v>93.0848974270564</v>
      </c>
    </row>
    <row r="27" customFormat="false" ht="13.8" hidden="false" customHeight="false" outlineLevel="0" collapsed="false">
      <c r="A27" s="27" t="s">
        <v>22</v>
      </c>
      <c r="B27" s="27" t="n">
        <f aca="false">146.298002737608*0.95</f>
        <v>138.983102600728</v>
      </c>
      <c r="C27" s="28" t="n">
        <f aca="false">(B27/B26)^(1/3)-1</f>
        <v>-0.00170620167707902</v>
      </c>
      <c r="D27" s="27" t="n">
        <f aca="false">'[1]Pessimist projection'!L343</f>
        <v>233.398756286299</v>
      </c>
      <c r="E27" s="28" t="n">
        <f aca="false">(D27/D26)^(1/3)-1</f>
        <v>0.0209546851408799</v>
      </c>
      <c r="F27" s="27" t="n">
        <f aca="false">'[1]Pessimist projection'!C343</f>
        <v>125787.197073108</v>
      </c>
      <c r="G27" s="28" t="n">
        <f aca="false">(F27/F26)^(1/3)-1</f>
        <v>0.0219756398260214</v>
      </c>
      <c r="I27" s="27" t="s">
        <v>43</v>
      </c>
      <c r="J27" s="13" t="n">
        <f aca="false">B27*100/$B$16</f>
        <v>106.981560724613</v>
      </c>
      <c r="K27" s="13" t="n">
        <f aca="false">D27*100/$D$16</f>
        <v>236.891738100317</v>
      </c>
      <c r="L27" s="13" t="n">
        <f aca="false">100*F27*100/D27/($F$16*100/$D$16)</f>
        <v>93.364431467115</v>
      </c>
    </row>
    <row r="28" customFormat="false" ht="13.8" hidden="false" customHeight="false" outlineLevel="0" collapsed="false">
      <c r="A28" s="29" t="s">
        <v>44</v>
      </c>
      <c r="B28" s="29" t="n">
        <v>142.852555424694</v>
      </c>
      <c r="C28" s="30" t="n">
        <f aca="false">(B28/B27)^(1/3)-1</f>
        <v>0.00919557376350988</v>
      </c>
      <c r="D28" s="29" t="n">
        <f aca="false">'[1]Pessimist projection'!L346</f>
        <v>247.402681663477</v>
      </c>
      <c r="E28" s="30" t="n">
        <f aca="false">(D28/D27)^(1/3)-1</f>
        <v>0.0196128224222165</v>
      </c>
      <c r="F28" s="29" t="n">
        <f aca="false">'[1]Pessimist projection'!C346</f>
        <v>134258.315787701</v>
      </c>
      <c r="G28" s="30" t="n">
        <f aca="false">(F28/F27)^(1/3)-1</f>
        <v>0.0219624018789695</v>
      </c>
      <c r="I28" s="29" t="s">
        <v>44</v>
      </c>
      <c r="J28" s="13" t="n">
        <f aca="false">B28*100/$B$16</f>
        <v>109.960053034195</v>
      </c>
      <c r="K28" s="13" t="n">
        <f aca="false">D28*100/$D$16</f>
        <v>251.105242386336</v>
      </c>
      <c r="L28" s="13" t="n">
        <f aca="false">100*F28*100/D28/($F$16*100/$D$16)</f>
        <v>94.0113624582873</v>
      </c>
    </row>
    <row r="29" customFormat="false" ht="13.8" hidden="false" customHeight="false" outlineLevel="0" collapsed="false">
      <c r="A29" s="27" t="s">
        <v>16</v>
      </c>
      <c r="B29" s="27" t="n">
        <v>164.262378213862</v>
      </c>
      <c r="C29" s="28" t="n">
        <f aca="false">(B29/B28)^(1/3)-1</f>
        <v>0.0476511584273251</v>
      </c>
      <c r="D29" s="27" t="n">
        <f aca="false">'[1]Pessimist projection'!L349</f>
        <v>261.406607040655</v>
      </c>
      <c r="E29" s="28" t="n">
        <f aca="false">(D29/D28)^(1/3)-1</f>
        <v>0.0185227152235479</v>
      </c>
      <c r="F29" s="27" t="n">
        <f aca="false">'[1]Pessimist projection'!C349</f>
        <v>142834.025470997</v>
      </c>
      <c r="G29" s="28" t="n">
        <f aca="false">(F29/F28)^(1/3)-1</f>
        <v>0.0208536683649567</v>
      </c>
      <c r="I29" s="27" t="s">
        <v>45</v>
      </c>
      <c r="J29" s="13" t="n">
        <f aca="false">B29*100/$B$16</f>
        <v>126.440158989252</v>
      </c>
      <c r="K29" s="13" t="n">
        <f aca="false">D29*100/$D$16</f>
        <v>265.318746672355</v>
      </c>
      <c r="L29" s="13" t="n">
        <f aca="false">100*F29*100/D29/($F$16*100/$D$16)</f>
        <v>94.6582934494598</v>
      </c>
    </row>
    <row r="30" customFormat="false" ht="13.8" hidden="false" customHeight="false" outlineLevel="0" collapsed="false">
      <c r="A30" s="29" t="s">
        <v>18</v>
      </c>
      <c r="B30" s="29" t="n">
        <v>151.891345932044</v>
      </c>
      <c r="C30" s="30" t="n">
        <f aca="false">(B30/B29)^(1/3)-1</f>
        <v>-0.0257622028686855</v>
      </c>
      <c r="D30" s="29" t="n">
        <f aca="false">'[1]Pessimist projection'!L352</f>
        <v>275.410532417833</v>
      </c>
      <c r="E30" s="30" t="n">
        <f aca="false">(D30/D29)^(1/3)-1</f>
        <v>0.0175474295502847</v>
      </c>
      <c r="F30" s="29" t="n">
        <f aca="false">'[1]Pessimist projection'!C352</f>
        <v>151514.326122996</v>
      </c>
      <c r="G30" s="30" t="n">
        <f aca="false">(F30/F29)^(1/3)-1</f>
        <v>0.0198602713833291</v>
      </c>
      <c r="I30" s="29" t="s">
        <v>46</v>
      </c>
      <c r="J30" s="13" t="n">
        <f aca="false">B30*100/$B$16</f>
        <v>116.917617640571</v>
      </c>
      <c r="K30" s="13" t="n">
        <f aca="false">D30*100/$D$16</f>
        <v>279.532250958375</v>
      </c>
      <c r="L30" s="13" t="n">
        <f aca="false">100*F30*100/D30/($F$16*100/$D$16)</f>
        <v>95.3052244406326</v>
      </c>
    </row>
    <row r="31" customFormat="false" ht="13.8" hidden="false" customHeight="false" outlineLevel="0" collapsed="false">
      <c r="A31" s="27" t="s">
        <v>22</v>
      </c>
      <c r="B31" s="27" t="n">
        <v>151.547099408102</v>
      </c>
      <c r="C31" s="28" t="n">
        <f aca="false">(B31/B30)^(1/3)-1</f>
        <v>-0.000756038066846321</v>
      </c>
      <c r="D31" s="27" t="n">
        <f aca="false">'[1]Pessimist projection'!L355</f>
        <v>289.414457795011</v>
      </c>
      <c r="E31" s="28" t="n">
        <f aca="false">(D31/D30)^(1/3)-1</f>
        <v>0.016669728629223</v>
      </c>
      <c r="F31" s="27" t="n">
        <f aca="false">'[1]Pessimist projection'!C355</f>
        <v>160299.217743698</v>
      </c>
      <c r="G31" s="28" t="n">
        <f aca="false">(F31/F30)^(1/3)-1</f>
        <v>0.018964924783762</v>
      </c>
      <c r="I31" s="27" t="s">
        <v>47</v>
      </c>
      <c r="J31" s="13" t="n">
        <f aca="false">B31*100/$B$16</f>
        <v>116.652635569253</v>
      </c>
      <c r="K31" s="13" t="n">
        <f aca="false">D31*100/$D$16</f>
        <v>293.745755244394</v>
      </c>
      <c r="L31" s="13" t="n">
        <f aca="false">100*F31*100/D31/($F$16*100/$D$16)</f>
        <v>95.9521554318055</v>
      </c>
    </row>
    <row r="32" customFormat="false" ht="13.8" hidden="false" customHeight="false" outlineLevel="0" collapsed="false">
      <c r="A32" s="29" t="s">
        <v>48</v>
      </c>
      <c r="B32" s="29" t="n">
        <v>147.827498624001</v>
      </c>
      <c r="C32" s="30" t="n">
        <f aca="false">(B32/B31)^(1/3)-1</f>
        <v>-0.0082492597933288</v>
      </c>
      <c r="D32" s="29" t="n">
        <f aca="false">'[1]Pessimist projection'!L358</f>
        <v>302.438108395786</v>
      </c>
      <c r="E32" s="30" t="n">
        <f aca="false">(D32/D31)^(1/3)-1</f>
        <v>0.014780461630687</v>
      </c>
      <c r="F32" s="29" t="n">
        <f aca="false">'[1]Pessimist projection'!C358</f>
        <v>168642.090685872</v>
      </c>
      <c r="G32" s="30" t="n">
        <f aca="false">(F32/F31)^(1/3)-1</f>
        <v>0.0170559812060145</v>
      </c>
      <c r="I32" s="29" t="s">
        <v>48</v>
      </c>
      <c r="J32" s="13" t="n">
        <f aca="false">B32*100/$B$16</f>
        <v>113.789491131481</v>
      </c>
      <c r="K32" s="13" t="n">
        <f aca="false">D32*100/$D$16</f>
        <v>306.964314230391</v>
      </c>
      <c r="L32" s="13" t="n">
        <f aca="false">100*F32*100/D32/($F$16*100/$D$16)</f>
        <v>96.5990864229783</v>
      </c>
    </row>
    <row r="33" customFormat="false" ht="13.8" hidden="false" customHeight="false" outlineLevel="0" collapsed="false">
      <c r="A33" s="27" t="s">
        <v>16</v>
      </c>
      <c r="B33" s="27" t="n">
        <v>169.159750021478</v>
      </c>
      <c r="C33" s="28" t="n">
        <f aca="false">(B33/B32)^(1/3)-1</f>
        <v>0.0459572521667524</v>
      </c>
      <c r="D33" s="27" t="n">
        <f aca="false">'[1]Pessimist projection'!L361</f>
        <v>315.461758996562</v>
      </c>
      <c r="E33" s="28" t="n">
        <f aca="false">(D33/D32)^(1/3)-1</f>
        <v>0.0141528197318075</v>
      </c>
      <c r="F33" s="27" t="n">
        <f aca="false">'[1]Pessimist projection'!C361</f>
        <v>177082.23322894</v>
      </c>
      <c r="G33" s="28" t="n">
        <f aca="false">(F33/F32)^(1/3)-1</f>
        <v>0.0164117358281699</v>
      </c>
      <c r="I33" s="27" t="s">
        <v>49</v>
      </c>
      <c r="J33" s="13" t="n">
        <f aca="false">B33*100/$B$16</f>
        <v>130.209886888712</v>
      </c>
      <c r="K33" s="13" t="n">
        <f aca="false">D33*100/$D$16</f>
        <v>320.182873216389</v>
      </c>
      <c r="L33" s="13" t="n">
        <f aca="false">100*F33*100/D33/($F$16*100/$D$16)</f>
        <v>97.246017414151</v>
      </c>
    </row>
    <row r="34" customFormat="false" ht="13.8" hidden="false" customHeight="false" outlineLevel="0" collapsed="false">
      <c r="A34" s="29" t="s">
        <v>18</v>
      </c>
      <c r="B34" s="29" t="n">
        <v>156.715480042812</v>
      </c>
      <c r="C34" s="30" t="n">
        <f aca="false">(B34/B33)^(1/3)-1</f>
        <v>-0.0251488966870168</v>
      </c>
      <c r="D34" s="29" t="n">
        <f aca="false">'[1]Pessimist projection'!L364</f>
        <v>328.485409597337</v>
      </c>
      <c r="E34" s="30" t="n">
        <f aca="false">(D34/D33)^(1/3)-1</f>
        <v>0.0135763173835879</v>
      </c>
      <c r="F34" s="29" t="n">
        <f aca="false">'[1]Pessimist projection'!C364</f>
        <v>185619.645372901</v>
      </c>
      <c r="G34" s="30" t="n">
        <f aca="false">(F34/F33)^(1/3)-1</f>
        <v>0.0158189635759645</v>
      </c>
      <c r="I34" s="29" t="s">
        <v>50</v>
      </c>
      <c r="J34" s="13" t="n">
        <f aca="false">B34*100/$B$16</f>
        <v>120.630971182529</v>
      </c>
      <c r="K34" s="13" t="n">
        <f aca="false">D34*100/$D$16</f>
        <v>333.401432202386</v>
      </c>
      <c r="L34" s="13" t="n">
        <f aca="false">100*F34*100/D34/($F$16*100/$D$16)</f>
        <v>97.8929484053237</v>
      </c>
    </row>
    <row r="35" customFormat="false" ht="13.8" hidden="false" customHeight="false" outlineLevel="0" collapsed="false">
      <c r="A35" s="27" t="s">
        <v>22</v>
      </c>
      <c r="B35" s="27" t="n">
        <v>156.282464723045</v>
      </c>
      <c r="C35" s="28" t="n">
        <f aca="false">(B35/B34)^(1/3)-1</f>
        <v>-0.000921871810216746</v>
      </c>
      <c r="D35" s="27" t="n">
        <f aca="false">'[1]Pessimist projection'!L367</f>
        <v>341.509060198113</v>
      </c>
      <c r="E35" s="28" t="n">
        <f aca="false">(D35/D34)^(1/3)-1</f>
        <v>0.0130449483962689</v>
      </c>
      <c r="F35" s="27" t="n">
        <f aca="false">'[1]Pessimist projection'!C367</f>
        <v>194254.327117756</v>
      </c>
      <c r="G35" s="28" t="n">
        <f aca="false">(F35/F34)^(1/3)-1</f>
        <v>0.0152716384590512</v>
      </c>
      <c r="I35" s="27" t="s">
        <v>51</v>
      </c>
      <c r="J35" s="13" t="n">
        <f aca="false">B35*100/$B$16</f>
        <v>120.297659766541</v>
      </c>
      <c r="K35" s="13" t="n">
        <f aca="false">D35*100/$D$16</f>
        <v>346.619991188385</v>
      </c>
      <c r="L35" s="13" t="n">
        <f aca="false">100*F35*100/D35/($F$16*100/$D$16)</f>
        <v>98.5398793964964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82" t="s">
        <v>54</v>
      </c>
      <c r="C41" s="82"/>
      <c r="D41" s="82"/>
    </row>
    <row r="42" customFormat="false" ht="51.75" hidden="false" customHeight="true" outlineLevel="0" collapsed="false">
      <c r="A42" s="32" t="s">
        <v>52</v>
      </c>
      <c r="B42" s="34" t="s">
        <v>105</v>
      </c>
      <c r="C42" s="34" t="s">
        <v>106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-0.112045120508403</v>
      </c>
      <c r="C43" s="37" t="n">
        <f aca="false">D43*1.2</f>
        <v>-0.112816119878236</v>
      </c>
      <c r="D43" s="37" t="n">
        <v>-0.0940134332318634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0.0674397835625984</v>
      </c>
      <c r="C44" s="39" t="n">
        <f aca="false">D44*0.8</f>
        <v>0.0673168085554725</v>
      </c>
      <c r="D44" s="39" t="n">
        <v>0.0841460106943406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0.038179514545879</v>
      </c>
      <c r="C45" s="37" t="n">
        <f aca="false">D45*0.8</f>
        <v>0.038127152817611</v>
      </c>
      <c r="D45" s="37" t="n">
        <v>0.0476589410220138</v>
      </c>
    </row>
    <row r="49" customFormat="false" ht="13.8" hidden="false" customHeight="false" outlineLevel="0" collapsed="false">
      <c r="E49" s="30"/>
    </row>
    <row r="50" customFormat="false" ht="13.8" hidden="false" customHeight="false" outlineLevel="0" collapsed="false">
      <c r="E50" s="30"/>
    </row>
    <row r="51" customFormat="false" ht="13.8" hidden="false" customHeight="false" outlineLevel="0" collapsed="false">
      <c r="E51" s="30"/>
    </row>
    <row r="52" customFormat="false" ht="13.8" hidden="false" customHeight="false" outlineLevel="0" collapsed="false">
      <c r="E52" s="30"/>
    </row>
    <row r="53" customFormat="false" ht="13.8" hidden="false" customHeight="false" outlineLevel="0" collapsed="false">
      <c r="E53" s="30"/>
    </row>
    <row r="54" customFormat="false" ht="13.8" hidden="false" customHeight="false" outlineLevel="0" collapsed="false">
      <c r="E54" s="30"/>
    </row>
    <row r="55" customFormat="false" ht="13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true" showOutlineSymbols="true" defaultGridColor="true" view="normal" topLeftCell="X21" colorId="64" zoomScale="65" zoomScaleNormal="65" zoomScalePageLayoutView="100" workbookViewId="0">
      <selection pane="topLeft" activeCell="AL63" activeCellId="0" sqref="AL63"/>
    </sheetView>
  </sheetViews>
  <sheetFormatPr defaultColWidth="9.0039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/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2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-0.0328674520568732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0.0139858096813864</v>
      </c>
      <c r="BM4" s="51" t="n">
        <f aca="false">SUM(D14:D17)/AVERAGE(AG14:AG17)</f>
        <v>0.0796893569690467</v>
      </c>
      <c r="BN4" s="51" t="n">
        <f aca="false">(SUM(H14:H17)+SUM(J14:J17))/AVERAGE(AG14:AG17)</f>
        <v>0</v>
      </c>
      <c r="BO4" s="52" t="n">
        <f aca="false">AL4-BN4</f>
        <v>-0.0328674520568732</v>
      </c>
      <c r="BP4" s="31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-0.0327691279382023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0.0613981988851851</v>
      </c>
      <c r="BL5" s="51" t="n">
        <f aca="false">SUM(P18:P21)/AVERAGE(AG18:AG21)</f>
        <v>0.0153260729788297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1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-0.0365104009407957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0.0632114979056286</v>
      </c>
      <c r="BL6" s="51" t="n">
        <f aca="false">SUM(P22:P25)/AVERAGE(AG22:AG25)</f>
        <v>0.0188667520745888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-0.0370532229927496</v>
      </c>
      <c r="BP6" s="31" t="n">
        <f aca="false">BN6+BM6</f>
        <v>0.0813979688237895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-0.0361371398082894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-0.0256535187698723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0.0139500372433035</v>
      </c>
      <c r="BJ7" s="2" t="n">
        <f aca="false">BJ6+1</f>
        <v>2018</v>
      </c>
      <c r="BK7" s="51" t="n">
        <f aca="false">SUM(T26:T29)/AVERAGE(AG26:AG29)</f>
        <v>0.0590159622103877</v>
      </c>
      <c r="BL7" s="51" t="n">
        <f aca="false">SUM(P26:P29)/AVERAGE(AG26:AG29)</f>
        <v>0.0175879285849099</v>
      </c>
      <c r="BM7" s="51" t="n">
        <f aca="false">SUM(D26:D29)/AVERAGE(AG26:AG29)</f>
        <v>0.0775651734337671</v>
      </c>
      <c r="BN7" s="51" t="n">
        <f aca="false">(SUM(H26:H29)+SUM(J26:J29))/AVERAGE(AG26:AG29)</f>
        <v>0.000951174085141824</v>
      </c>
      <c r="BO7" s="52" t="n">
        <f aca="false">AL7-BN7</f>
        <v>-0.0370883138934312</v>
      </c>
      <c r="BP7" s="31" t="n">
        <f aca="false">BN7+BM7</f>
        <v>0.078516347518909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-0.0380464305446672</v>
      </c>
      <c r="AM8" s="4" t="n">
        <f aca="false">'Central scenario'!AM7</f>
        <v>20644316.2443057</v>
      </c>
      <c r="AN8" s="52" t="n">
        <f aca="false">AM8/AVERAGE(AG30:AG33)</f>
        <v>0.00408284363392347</v>
      </c>
      <c r="AO8" s="52" t="n">
        <f aca="false">AVERAGE(AG30:AG33)/AVERAGE(AG26:AG29)-1</f>
        <v>-0.0208801486349116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0.0146066801931316</v>
      </c>
      <c r="BJ8" s="2" t="n">
        <f aca="false">BJ7+1</f>
        <v>2019</v>
      </c>
      <c r="BK8" s="51" t="n">
        <f aca="false">SUM(T30:T33)/AVERAGE(AG30:AG33)</f>
        <v>0.0513846305068366</v>
      </c>
      <c r="BL8" s="51" t="n">
        <f aca="false">SUM(P30:P33)/AVERAGE(AG30:AG33)</f>
        <v>0.0166593318314747</v>
      </c>
      <c r="BM8" s="51" t="n">
        <f aca="false">SUM(D30:D33)/AVERAGE(AG30:AG33)</f>
        <v>0.0727717292200292</v>
      </c>
      <c r="BN8" s="51" t="n">
        <f aca="false">(SUM(H30:H33)+SUM(J30:J33))/AVERAGE(AG30:AG33)</f>
        <v>0.000865165034521149</v>
      </c>
      <c r="BO8" s="52" t="n">
        <f aca="false">AL8-BN8</f>
        <v>-0.0389115955791884</v>
      </c>
      <c r="BP8" s="31" t="n">
        <f aca="false">BN8+BM8</f>
        <v>0.0736368942545504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-0.0558959021648407</v>
      </c>
      <c r="AM9" s="4" t="n">
        <f aca="false">'Central scenario'!AM8</f>
        <v>19740259.6575456</v>
      </c>
      <c r="AN9" s="52" t="n">
        <f aca="false">AM9/AVERAGE(AG34:AG37)</f>
        <v>0.00440849623744528</v>
      </c>
      <c r="AO9" s="52" t="n">
        <f aca="false">AVERAGE(AG34:AG37)/AVERAGE(AG30:AG33)-1</f>
        <v>-0.114426462264863</v>
      </c>
      <c r="AP9" s="55" t="n">
        <f aca="false">'Central scenario'!AP9</f>
        <v>-1066093.41188291</v>
      </c>
      <c r="AQ9" s="4" t="n">
        <f aca="false">AQ8*(1+AO9)</f>
        <v>369496122.497832</v>
      </c>
      <c r="AR9" s="4" t="n">
        <f aca="false">((((((AQ8*((1+AO9)^(6/12)))*((1+AO9)^(1/12))+AP9)*((1+AO9)^(1/12))-AM9/12)*((1+AO9)^(1/12))-AM9/12)*((1+AO9)^(1/12))-AM9/12)*((1+AO9)^(1/12))-AM9/12)*((1+AO9)^(1/12))-AM9/12</f>
        <v>360421640.193855</v>
      </c>
      <c r="AS9" s="53" t="n">
        <f aca="false">AQ9/AG37</f>
        <v>0.0806482672957329</v>
      </c>
      <c r="AT9" s="53" t="n">
        <f aca="false">AR9/AG37</f>
        <v>0.0786676205991606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0.0146909918106802</v>
      </c>
      <c r="BJ9" s="2" t="n">
        <f aca="false">BJ8+1</f>
        <v>2020</v>
      </c>
      <c r="BK9" s="51" t="n">
        <f aca="false">SUM(T34:T37)/AVERAGE(AG34:AG37)</f>
        <v>0.0509239117300614</v>
      </c>
      <c r="BL9" s="51" t="n">
        <f aca="false">SUM(P34:P37)/AVERAGE(AG34:AG37)</f>
        <v>0.0191298998454208</v>
      </c>
      <c r="BM9" s="51" t="n">
        <f aca="false">SUM(D34:D37)/AVERAGE(AG34:AG37)</f>
        <v>0.0876899140494814</v>
      </c>
      <c r="BN9" s="51" t="n">
        <f aca="false">(SUM(H34:H37)+SUM(J34:J37))/AVERAGE(AG34:AG37)</f>
        <v>0.00137520310797087</v>
      </c>
      <c r="BO9" s="52" t="n">
        <f aca="false">AL9-BN9</f>
        <v>-0.0572711052728116</v>
      </c>
      <c r="BP9" s="31" t="n">
        <f aca="false">BN9+BM9</f>
        <v>0.0890651171574523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-0.0517222691929106</v>
      </c>
      <c r="AM10" s="4" t="n">
        <f aca="false">'Central scenario'!AM9</f>
        <v>18862810.403066</v>
      </c>
      <c r="AN10" s="52" t="n">
        <f aca="false">AM10/AVERAGE(AG38:AG41)</f>
        <v>0.00394639568933626</v>
      </c>
      <c r="AO10" s="52" t="n">
        <f aca="false">AVERAGE(AG38:AG41)/AVERAGE(AG34:AG37)-1</f>
        <v>0.0674397835625984</v>
      </c>
      <c r="AP10" s="52"/>
      <c r="AQ10" s="4" t="n">
        <f aca="false">AQ9*(1+AO10)</f>
        <v>394414861.026305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365289409.511251</v>
      </c>
      <c r="AS10" s="53" t="n">
        <f aca="false">AQ10/AG41</f>
        <v>0.0821119627061017</v>
      </c>
      <c r="AT10" s="53" t="n">
        <f aca="false">AR10/AG41</f>
        <v>0.0760484285320104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0.0175896394888492</v>
      </c>
      <c r="BJ10" s="2" t="n">
        <f aca="false">BJ9+1</f>
        <v>2021</v>
      </c>
      <c r="BK10" s="51" t="n">
        <f aca="false">SUM(T38:T41)/AVERAGE(AG38:AG41)</f>
        <v>0.0448917970676905</v>
      </c>
      <c r="BL10" s="51" t="n">
        <f aca="false">SUM(P38:P41)/AVERAGE(AG38:AG41)</f>
        <v>0.0168948781880994</v>
      </c>
      <c r="BM10" s="51" t="n">
        <f aca="false">SUM(D38:D41)/AVERAGE(AG38:AG41)</f>
        <v>0.0797191880725017</v>
      </c>
      <c r="BN10" s="51" t="n">
        <f aca="false">(SUM(H38:H41)+SUM(J38:J41))/AVERAGE(AG38:AG41)</f>
        <v>0.00161743671676597</v>
      </c>
      <c r="BO10" s="52" t="n">
        <f aca="false">AL10-BN10</f>
        <v>-0.0533397059096766</v>
      </c>
      <c r="BP10" s="31" t="n">
        <f aca="false">BN10+BM10</f>
        <v>0.0813366247892676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-0.0550624889869786</v>
      </c>
      <c r="AM11" s="4" t="n">
        <f aca="false">'Central scenario'!AM10</f>
        <v>17835539.214349</v>
      </c>
      <c r="AN11" s="52" t="n">
        <f aca="false">AM11/AVERAGE(AG42:AG45)</f>
        <v>0.00359424781324063</v>
      </c>
      <c r="AO11" s="52" t="n">
        <f aca="false">AVERAGE(AG42:AG45)/AVERAGE(AG38:AG41)-1</f>
        <v>0.038179514545879</v>
      </c>
      <c r="AP11" s="52"/>
      <c r="AQ11" s="4" t="n">
        <f aca="false">AQ10*(1+AO11)</f>
        <v>409473428.94997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361090450.901145</v>
      </c>
      <c r="AS11" s="53" t="n">
        <f aca="false">AQ11/AG45</f>
        <v>0.0833436573857504</v>
      </c>
      <c r="AT11" s="53" t="n">
        <f aca="false">AR11/AG45</f>
        <v>0.0734958527158746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0.014872835347451</v>
      </c>
      <c r="BJ11" s="2" t="n">
        <f aca="false">BJ10+1</f>
        <v>2022</v>
      </c>
      <c r="BK11" s="51" t="n">
        <f aca="false">SUM(T42:T45)/AVERAGE(AG42:AG45)</f>
        <v>0.0422723149034283</v>
      </c>
      <c r="BL11" s="51" t="n">
        <f aca="false">SUM(P42:P45)/AVERAGE(AG42:AG45)</f>
        <v>0.0169286723997492</v>
      </c>
      <c r="BM11" s="51" t="n">
        <f aca="false">SUM(D42:D45)/AVERAGE(AG42:AG45)</f>
        <v>0.0804061314906578</v>
      </c>
      <c r="BN11" s="51" t="n">
        <f aca="false">(SUM(H42:H45)+SUM(J42:J45))/AVERAGE(AG42:AG45)</f>
        <v>0.00197688545930876</v>
      </c>
      <c r="BO11" s="52" t="n">
        <f aca="false">AL11-BN11</f>
        <v>-0.0570393744462874</v>
      </c>
      <c r="BP11" s="31" t="n">
        <f aca="false">BN11+BM11</f>
        <v>0.0823830169499665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-0.0523630247227208</v>
      </c>
      <c r="AM12" s="4" t="n">
        <f aca="false">'Central scenario'!AM11</f>
        <v>16827143.6015023</v>
      </c>
      <c r="AN12" s="52" t="n">
        <f aca="false">AM12/AVERAGE(AG46:AG49)</f>
        <v>0.00311857063467571</v>
      </c>
      <c r="AO12" s="52" t="n">
        <f aca="false">AVERAGE(AG46:AG49)/AVERAGE(AG42:AG45)-1</f>
        <v>0.087368103278318</v>
      </c>
      <c r="AP12" s="52"/>
      <c r="AQ12" s="4" t="n">
        <f aca="false">AQ11*(1+AO12)</f>
        <v>445248345.780198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375147463.029203</v>
      </c>
      <c r="AS12" s="53" t="n">
        <f aca="false">AQ12/AG49</f>
        <v>0.0831119588235137</v>
      </c>
      <c r="AT12" s="53" t="n">
        <f aca="false">AR12/AG49</f>
        <v>0.0700266284996389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0.0151159457859463</v>
      </c>
      <c r="BJ12" s="2" t="n">
        <f aca="false">BJ11+1</f>
        <v>2023</v>
      </c>
      <c r="BK12" s="51" t="n">
        <f aca="false">SUM(T46:T49)/AVERAGE(AG46:AG49)</f>
        <v>0.0397429954906723</v>
      </c>
      <c r="BL12" s="51" t="n">
        <f aca="false">SUM(P46:P49)/AVERAGE(AG46:AG49)</f>
        <v>0.0155929052840822</v>
      </c>
      <c r="BM12" s="51" t="n">
        <f aca="false">SUM(D46:D49)/AVERAGE(AG46:AG49)</f>
        <v>0.0765131149293109</v>
      </c>
      <c r="BN12" s="51" t="n">
        <f aca="false">(SUM(H46:H49)+SUM(J46:J49))/AVERAGE(AG46:AG49)</f>
        <v>0.00210480590075091</v>
      </c>
      <c r="BO12" s="52" t="n">
        <f aca="false">AL12-BN12</f>
        <v>-0.0544678306234717</v>
      </c>
      <c r="BP12" s="31" t="n">
        <f aca="false">BN12+BM12</f>
        <v>0.0786179208300618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-0.0533393645949194</v>
      </c>
      <c r="AM13" s="13" t="n">
        <f aca="false">'Central scenario'!AM12</f>
        <v>15842663.6881786</v>
      </c>
      <c r="AN13" s="59" t="n">
        <f aca="false">AM13/AVERAGE(AG50:AG53)</f>
        <v>0.00284555303236403</v>
      </c>
      <c r="AO13" s="59" t="n">
        <f aca="false">'GDP evolution by scenario'!G49</f>
        <v>0.031826561119259</v>
      </c>
      <c r="AP13" s="59"/>
      <c r="AQ13" s="13" t="n">
        <f aca="false">AQ12*(1+AO13)</f>
        <v>459419069.47042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371014660.601623</v>
      </c>
      <c r="AS13" s="60" t="n">
        <f aca="false">AQ13/AG53</f>
        <v>0.083158682082736</v>
      </c>
      <c r="AT13" s="60" t="n">
        <f aca="false">AR13/AG53</f>
        <v>0.0671567469860784</v>
      </c>
      <c r="BI13" s="31" t="n">
        <f aca="false">T20/AG20</f>
        <v>0.0144380163498973</v>
      </c>
      <c r="BJ13" s="0" t="n">
        <f aca="false">BJ12+1</f>
        <v>2024</v>
      </c>
      <c r="BK13" s="31" t="n">
        <f aca="false">SUM(T50:T53)/AVERAGE(AG50:AG53)</f>
        <v>0.0393384399662294</v>
      </c>
      <c r="BL13" s="31" t="n">
        <f aca="false">SUM(P50:P53)/AVERAGE(AG50:AG53)</f>
        <v>0.0155450069535768</v>
      </c>
      <c r="BM13" s="31" t="n">
        <f aca="false">SUM(D50:D53)/AVERAGE(AG50:AG53)</f>
        <v>0.077132797607572</v>
      </c>
      <c r="BN13" s="31" t="n">
        <f aca="false">(SUM(H50:H53)+SUM(J50:J53))/AVERAGE(AG50:AG53)</f>
        <v>0.00239314920311218</v>
      </c>
      <c r="BO13" s="59" t="n">
        <f aca="false">AL13-BN13</f>
        <v>-0.0557325137980316</v>
      </c>
      <c r="BP13" s="31" t="n">
        <f aca="false">BN13+BM13</f>
        <v>0.0795259468106842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3" t="n">
        <f aca="false">'Low pensions'!Q14</f>
        <v>93656358.855066</v>
      </c>
      <c r="E14" s="6"/>
      <c r="F14" s="8" t="n">
        <f aca="false">'Low pensions'!I14</f>
        <v>17023151.8533019</v>
      </c>
      <c r="G14" s="83" t="n">
        <f aca="false">'Low pensions'!K14</f>
        <v>0</v>
      </c>
      <c r="H14" s="83" t="n">
        <f aca="false">'Low pensions'!V14</f>
        <v>0</v>
      </c>
      <c r="I14" s="83" t="n">
        <f aca="false">'Low pensions'!M14</f>
        <v>0</v>
      </c>
      <c r="J14" s="83" t="n">
        <f aca="false">'Low pensions'!W14</f>
        <v>0</v>
      </c>
      <c r="K14" s="6"/>
      <c r="L14" s="83" t="n">
        <f aca="false">'Low pensions'!N14</f>
        <v>2735454.99361358</v>
      </c>
      <c r="M14" s="8"/>
      <c r="N14" s="83" t="n">
        <f aca="false">'Low pensions'!L14</f>
        <v>691939.443819597</v>
      </c>
      <c r="O14" s="6"/>
      <c r="P14" s="83" t="n">
        <f aca="false">'Low pensions'!X14</f>
        <v>18001135.6304208</v>
      </c>
      <c r="Q14" s="8"/>
      <c r="R14" s="83" t="n">
        <f aca="false">'Low SIPA income'!G9</f>
        <v>17909219.7770895</v>
      </c>
      <c r="S14" s="8"/>
      <c r="T14" s="83" t="n">
        <f aca="false">'Low SIPA income'!J9</f>
        <v>68477454.0402253</v>
      </c>
      <c r="U14" s="6"/>
      <c r="V14" s="83" t="n">
        <f aca="false">'Low SIPA income'!F9</f>
        <v>135449.214417351</v>
      </c>
      <c r="W14" s="8"/>
      <c r="X14" s="83" t="n">
        <f aca="false">'Low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50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-0.0087965182237194</v>
      </c>
      <c r="AK14" s="62" t="n">
        <f aca="false">AK13+1</f>
        <v>2025</v>
      </c>
      <c r="AL14" s="63" t="n">
        <f aca="false">SUM(AB54:AB57)/AVERAGE(AG54:AG57)</f>
        <v>-0.052912482795275</v>
      </c>
      <c r="AM14" s="6" t="n">
        <f aca="false">'Central scenario'!AM13</f>
        <v>14900507.1403892</v>
      </c>
      <c r="AN14" s="63" t="n">
        <f aca="false">AM14/AVERAGE(AG54:AG57)</f>
        <v>0.00263358182522046</v>
      </c>
      <c r="AO14" s="63" t="n">
        <f aca="false">'GDP evolution by scenario'!G53</f>
        <v>0.0199182956823416</v>
      </c>
      <c r="AP14" s="63"/>
      <c r="AQ14" s="6" t="n">
        <f aca="false">AQ13*(1+AO14)</f>
        <v>468569914.338239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363368587.58397</v>
      </c>
      <c r="AS14" s="64" t="n">
        <f aca="false">AQ14/AG57</f>
        <v>0.0816739721121188</v>
      </c>
      <c r="AT14" s="64" t="n">
        <f aca="false">AR14/AG57</f>
        <v>0.0633368788319819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0.0169850745786388</v>
      </c>
      <c r="BJ14" s="5" t="n">
        <f aca="false">BJ13+1</f>
        <v>2025</v>
      </c>
      <c r="BK14" s="61" t="n">
        <f aca="false">SUM(T54:T57)/AVERAGE(AG54:AG57)</f>
        <v>0.0402370564618266</v>
      </c>
      <c r="BL14" s="61" t="n">
        <f aca="false">SUM(P54:P57)/AVERAGE(AG54:AG57)</f>
        <v>0.0154667406009485</v>
      </c>
      <c r="BM14" s="61" t="n">
        <f aca="false">SUM(D54:D57)/AVERAGE(AG54:AG57)</f>
        <v>0.077682798656153</v>
      </c>
      <c r="BN14" s="61" t="n">
        <f aca="false">(SUM(H54:H57)+SUM(J54:J57))/AVERAGE(AG54:AG57)</f>
        <v>0.00328070381743448</v>
      </c>
      <c r="BO14" s="63" t="n">
        <f aca="false">AL14-BN14</f>
        <v>-0.0561931866127094</v>
      </c>
      <c r="BP14" s="31" t="n">
        <f aca="false">BN14+BM14</f>
        <v>0.0809635024735875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4" t="n">
        <f aca="false">'Low pensions'!Q15</f>
        <v>107958694.759278</v>
      </c>
      <c r="E15" s="9"/>
      <c r="F15" s="67" t="n">
        <f aca="false">'Low pensions'!I15</f>
        <v>19622770.7038608</v>
      </c>
      <c r="G15" s="84" t="n">
        <f aca="false">'Low pensions'!K15</f>
        <v>0</v>
      </c>
      <c r="H15" s="84" t="n">
        <f aca="false">'Low pensions'!V15</f>
        <v>0</v>
      </c>
      <c r="I15" s="84" t="n">
        <f aca="false">'Low pensions'!M15</f>
        <v>0</v>
      </c>
      <c r="J15" s="84" t="n">
        <f aca="false">'Low pensions'!W15</f>
        <v>0</v>
      </c>
      <c r="K15" s="9"/>
      <c r="L15" s="84" t="n">
        <f aca="false">'Low pensions'!N15</f>
        <v>2478245.90902603</v>
      </c>
      <c r="M15" s="67"/>
      <c r="N15" s="84" t="n">
        <f aca="false">'Low pensions'!L15</f>
        <v>799976.431236599</v>
      </c>
      <c r="O15" s="9"/>
      <c r="P15" s="84" t="n">
        <f aca="false">'Low pensions'!X15</f>
        <v>17260864.0964791</v>
      </c>
      <c r="Q15" s="67"/>
      <c r="R15" s="84" t="n">
        <f aca="false">'Low SIPA income'!G10</f>
        <v>22054908.218739</v>
      </c>
      <c r="S15" s="67"/>
      <c r="T15" s="84" t="n">
        <f aca="false">'Low SIPA income'!J10</f>
        <v>84328853.1107371</v>
      </c>
      <c r="U15" s="9"/>
      <c r="V15" s="84" t="n">
        <f aca="false">'Low SIPA income'!F10</f>
        <v>151084.142402353</v>
      </c>
      <c r="W15" s="67"/>
      <c r="X15" s="84" t="n">
        <f aca="false">'Low SIPA income'!M10</f>
        <v>379479.806947783</v>
      </c>
      <c r="Y15" s="9"/>
      <c r="Z15" s="9" t="n">
        <f aca="false">R15+V15-N15-L15-F15</f>
        <v>-695000.682982121</v>
      </c>
      <c r="AA15" s="9"/>
      <c r="AB15" s="9" t="n">
        <f aca="false">T15-P15-D15</f>
        <v>-40890705.7450204</v>
      </c>
      <c r="AC15" s="50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-0.00708271771352853</v>
      </c>
      <c r="AK15" s="68" t="n">
        <f aca="false">AK14+1</f>
        <v>2026</v>
      </c>
      <c r="AL15" s="69" t="n">
        <f aca="false">SUM(AB58:AB61)/AVERAGE(AG58:AG61)</f>
        <v>-0.0506416965629547</v>
      </c>
      <c r="AM15" s="9" t="n">
        <f aca="false">'Central scenario'!AM14</f>
        <v>13946867.9480024</v>
      </c>
      <c r="AN15" s="69" t="n">
        <f aca="false">AM15/AVERAGE(AG58:AG61)</f>
        <v>0.00235842699435249</v>
      </c>
      <c r="AO15" s="69" t="n">
        <f aca="false">'GDP evolution by scenario'!G57</f>
        <v>0.0351105907988294</v>
      </c>
      <c r="AP15" s="69"/>
      <c r="AQ15" s="9" t="n">
        <f aca="false">AQ14*(1+AO15)</f>
        <v>485021680.861211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361956765.854533</v>
      </c>
      <c r="AS15" s="70" t="n">
        <f aca="false">AQ15/AG61</f>
        <v>0.0806538166599188</v>
      </c>
      <c r="AT15" s="70" t="n">
        <f aca="false">AR15/AG61</f>
        <v>0.0601894632425767</v>
      </c>
      <c r="AU15" s="7"/>
      <c r="AV15" s="7"/>
      <c r="AW15" s="71" t="n">
        <f aca="false">workers_and_wage_low!C3</f>
        <v>11021763</v>
      </c>
      <c r="AX15" s="7"/>
      <c r="AY15" s="39" t="n">
        <f aca="false">(AW15-AW14)/AW14</f>
        <v>0.00983700612713592</v>
      </c>
      <c r="AZ15" s="38" t="n">
        <f aca="false">workers_and_wage_low!B3</f>
        <v>6778.90225184158</v>
      </c>
      <c r="BA15" s="39" t="n">
        <f aca="false">(AZ15-AZ14)/AZ14</f>
        <v>0.0567615243741836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0.014942438673609</v>
      </c>
      <c r="BJ15" s="7" t="n">
        <f aca="false">BJ14+1</f>
        <v>2026</v>
      </c>
      <c r="BK15" s="39" t="n">
        <f aca="false">SUM(T58:T61)/AVERAGE(AG58:AG61)</f>
        <v>0.040396114177082</v>
      </c>
      <c r="BL15" s="39" t="n">
        <f aca="false">SUM(P58:P61)/AVERAGE(AG58:AG61)</f>
        <v>0.0148754114295393</v>
      </c>
      <c r="BM15" s="39" t="n">
        <f aca="false">SUM(D58:D61)/AVERAGE(AG58:AG61)</f>
        <v>0.0761623993104974</v>
      </c>
      <c r="BN15" s="39" t="n">
        <f aca="false">(SUM(H58:H61)+SUM(J58:J61))/AVERAGE(AG58:AG61)</f>
        <v>0.00442699143933588</v>
      </c>
      <c r="BO15" s="69" t="n">
        <f aca="false">AL15-BN15</f>
        <v>-0.0550686880022906</v>
      </c>
      <c r="BP15" s="31" t="n">
        <f aca="false">BN15+BM15</f>
        <v>0.0805893907498333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4" t="n">
        <f aca="false">'Low pensions'!Q16</f>
        <v>104676876.044301</v>
      </c>
      <c r="E16" s="9"/>
      <c r="F16" s="67" t="n">
        <f aca="false">'Low pensions'!I16</f>
        <v>19026261.3047871</v>
      </c>
      <c r="G16" s="84" t="n">
        <f aca="false">'Low pensions'!K16</f>
        <v>0</v>
      </c>
      <c r="H16" s="84" t="n">
        <f aca="false">'Low pensions'!V16</f>
        <v>0</v>
      </c>
      <c r="I16" s="84" t="n">
        <f aca="false">'Low pensions'!M16</f>
        <v>0</v>
      </c>
      <c r="J16" s="84" t="n">
        <f aca="false">'Low pensions'!W16</f>
        <v>0</v>
      </c>
      <c r="K16" s="9"/>
      <c r="L16" s="84" t="n">
        <f aca="false">'Low pensions'!N16</f>
        <v>2919136.76234831</v>
      </c>
      <c r="M16" s="67"/>
      <c r="N16" s="84" t="n">
        <f aca="false">'Low pensions'!L16</f>
        <v>777485.531692199</v>
      </c>
      <c r="O16" s="9"/>
      <c r="P16" s="84" t="n">
        <f aca="false">'Low pensions'!X16</f>
        <v>19424910.5368703</v>
      </c>
      <c r="Q16" s="67"/>
      <c r="R16" s="84" t="n">
        <f aca="false">'Low SIPA income'!G11</f>
        <v>20136935.0845649</v>
      </c>
      <c r="S16" s="67"/>
      <c r="T16" s="84" t="n">
        <f aca="false">'Low SIPA income'!J11</f>
        <v>76995316.5982303</v>
      </c>
      <c r="U16" s="9"/>
      <c r="V16" s="84" t="n">
        <f aca="false">'Low SIPA income'!F11</f>
        <v>149343.027816335</v>
      </c>
      <c r="W16" s="67"/>
      <c r="X16" s="84" t="n">
        <f aca="false">'Low SIPA income'!M11</f>
        <v>375106.62908497</v>
      </c>
      <c r="Y16" s="9"/>
      <c r="Z16" s="9" t="n">
        <f aca="false">R16+V16-N16-L16-F16</f>
        <v>-2436605.48644641</v>
      </c>
      <c r="AA16" s="9"/>
      <c r="AB16" s="9" t="n">
        <f aca="false">T16-P16-D16</f>
        <v>-47106469.982941</v>
      </c>
      <c r="AC16" s="50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-0.00898808908547752</v>
      </c>
      <c r="AK16" s="68" t="n">
        <f aca="false">AK15+1</f>
        <v>2027</v>
      </c>
      <c r="AL16" s="69" t="n">
        <f aca="false">SUM(AB62:AB65)/AVERAGE(AG62:AG65)</f>
        <v>-0.0484191804113517</v>
      </c>
      <c r="AM16" s="9" t="n">
        <f aca="false">'Central scenario'!AM15</f>
        <v>13032040.9288315</v>
      </c>
      <c r="AN16" s="69" t="n">
        <f aca="false">AM16/AVERAGE(AG62:AG65)</f>
        <v>0.00211823947185982</v>
      </c>
      <c r="AO16" s="69" t="n">
        <f aca="false">'GDP evolution by scenario'!G61</f>
        <v>0.021161997922948</v>
      </c>
      <c r="AP16" s="69"/>
      <c r="AQ16" s="9" t="n">
        <f aca="false">AQ15*(1+AO16)</f>
        <v>495285708.664181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356458530.167193</v>
      </c>
      <c r="AS16" s="70" t="n">
        <f aca="false">AQ16/AG65</f>
        <v>0.0791665920772456</v>
      </c>
      <c r="AT16" s="70" t="n">
        <f aca="false">AR16/AG65</f>
        <v>0.0569764209960972</v>
      </c>
      <c r="AU16" s="7"/>
      <c r="AV16" s="7"/>
      <c r="AW16" s="71" t="n">
        <f aca="false">workers_and_wage_low!C4</f>
        <v>11059493</v>
      </c>
      <c r="AX16" s="7"/>
      <c r="AY16" s="39" t="n">
        <f aca="false">(AW16-AW15)/AW15</f>
        <v>0.00342322730038742</v>
      </c>
      <c r="AZ16" s="38" t="n">
        <f aca="false">workers_and_wage_low!B4</f>
        <v>7092.02100217064</v>
      </c>
      <c r="BA16" s="39" t="n">
        <f aca="false">(AZ16-AZ15)/AZ15</f>
        <v>0.0461901851799082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0.0156547658302901</v>
      </c>
      <c r="BJ16" s="7" t="n">
        <f aca="false">BJ15+1</f>
        <v>2027</v>
      </c>
      <c r="BK16" s="39" t="n">
        <f aca="false">SUM(T62:T65)/AVERAGE(AG62:AG65)</f>
        <v>0.0405271081753364</v>
      </c>
      <c r="BL16" s="39" t="n">
        <f aca="false">SUM(P62:P65)/AVERAGE(AG62:AG65)</f>
        <v>0.0142539158841624</v>
      </c>
      <c r="BM16" s="39" t="n">
        <f aca="false">SUM(D62:D65)/AVERAGE(AG62:AG65)</f>
        <v>0.0746923727025257</v>
      </c>
      <c r="BN16" s="39" t="n">
        <f aca="false">(SUM(H62:H65)+SUM(J62:J65))/AVERAGE(AG62:AG65)</f>
        <v>0.00512068588616236</v>
      </c>
      <c r="BO16" s="69" t="n">
        <f aca="false">AL16-BN16</f>
        <v>-0.0535398662975141</v>
      </c>
      <c r="BP16" s="31" t="n">
        <f aca="false">BN16+BM16</f>
        <v>0.0798130585886881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4" t="n">
        <f aca="false">'Low pensions'!Q17</f>
        <v>113223147.986281</v>
      </c>
      <c r="E17" s="9"/>
      <c r="F17" s="67" t="n">
        <f aca="false">'Low pensions'!I17</f>
        <v>20579647.3943859</v>
      </c>
      <c r="G17" s="84" t="n">
        <f aca="false">'Low pensions'!K17</f>
        <v>0</v>
      </c>
      <c r="H17" s="84" t="n">
        <f aca="false">'Low pensions'!V17</f>
        <v>0</v>
      </c>
      <c r="I17" s="84" t="n">
        <f aca="false">'Low pensions'!M17</f>
        <v>0</v>
      </c>
      <c r="J17" s="84" t="n">
        <f aca="false">'Low pensions'!W17</f>
        <v>0</v>
      </c>
      <c r="K17" s="9"/>
      <c r="L17" s="84" t="n">
        <f aca="false">'Low pensions'!N17</f>
        <v>2757062.56989139</v>
      </c>
      <c r="M17" s="67"/>
      <c r="N17" s="84" t="n">
        <f aca="false">'Low pensions'!L17</f>
        <v>842157.0006628</v>
      </c>
      <c r="O17" s="9"/>
      <c r="P17" s="84" t="n">
        <f aca="false">'Low pensions'!X17</f>
        <v>18939710.1228511</v>
      </c>
      <c r="Q17" s="67"/>
      <c r="R17" s="84" t="n">
        <f aca="false">'Low SIPA income'!G12</f>
        <v>23620050.0418994</v>
      </c>
      <c r="S17" s="67"/>
      <c r="T17" s="84" t="n">
        <f aca="false">'Low SIPA income'!J12</f>
        <v>90313308.5250934</v>
      </c>
      <c r="U17" s="9"/>
      <c r="V17" s="84" t="n">
        <f aca="false">'Low SIPA income'!F12</f>
        <v>146563.952510206</v>
      </c>
      <c r="W17" s="67"/>
      <c r="X17" s="84" t="n">
        <f aca="false">'Low SIPA income'!M12</f>
        <v>368126.393145617</v>
      </c>
      <c r="Y17" s="9"/>
      <c r="Z17" s="9" t="n">
        <f aca="false">R17+V17-N17-L17-F17</f>
        <v>-412252.970530532</v>
      </c>
      <c r="AA17" s="9"/>
      <c r="AB17" s="9" t="n">
        <f aca="false">T17-P17-D17</f>
        <v>-41849549.5840384</v>
      </c>
      <c r="AC17" s="50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-0.00815071999880756</v>
      </c>
      <c r="AK17" s="68" t="n">
        <f aca="false">AK16+1</f>
        <v>2028</v>
      </c>
      <c r="AL17" s="69" t="n">
        <f aca="false">SUM(AB66:AB69)/AVERAGE(AG66:AG69)</f>
        <v>-0.047556319458337</v>
      </c>
      <c r="AM17" s="9" t="n">
        <f aca="false">'Central scenario'!AM16</f>
        <v>12139889.4651339</v>
      </c>
      <c r="AN17" s="69" t="n">
        <f aca="false">AM17/AVERAGE(AG66:AG69)</f>
        <v>0.00193064062482811</v>
      </c>
      <c r="AO17" s="69" t="n">
        <f aca="false">'GDP evolution by scenario'!G65</f>
        <v>0.0291254319351537</v>
      </c>
      <c r="AP17" s="69"/>
      <c r="AQ17" s="9" t="n">
        <f aca="false">AQ16*(1+AO17)</f>
        <v>509711118.860334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354539432.111859</v>
      </c>
      <c r="AS17" s="70" t="n">
        <f aca="false">AQ17/AG69</f>
        <v>0.0807703808851774</v>
      </c>
      <c r="AT17" s="70" t="n">
        <f aca="false">AR17/AG69</f>
        <v>0.0561814014073647</v>
      </c>
      <c r="AU17" s="7"/>
      <c r="AV17" s="7"/>
      <c r="AW17" s="71" t="n">
        <f aca="false">workers_and_wage_low!C5</f>
        <v>11048388</v>
      </c>
      <c r="AX17" s="7"/>
      <c r="AY17" s="39" t="n">
        <f aca="false">(AW17-AW16)/AW16</f>
        <v>-0.00100411474558553</v>
      </c>
      <c r="AZ17" s="38" t="n">
        <f aca="false">workers_and_wage_low!B5</f>
        <v>7113.98164433727</v>
      </c>
      <c r="BA17" s="39" t="n">
        <f aca="false">(AZ17-AZ16)/AZ16</f>
        <v>0.00309652807851371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0.0149620491778037</v>
      </c>
      <c r="BJ17" s="7" t="n">
        <f aca="false">BJ16+1</f>
        <v>2028</v>
      </c>
      <c r="BK17" s="39" t="n">
        <f aca="false">SUM(T66:T69)/AVERAGE(AG66:AG69)</f>
        <v>0.0405410751954251</v>
      </c>
      <c r="BL17" s="39" t="n">
        <f aca="false">SUM(P66:P69)/AVERAGE(AG66:AG69)</f>
        <v>0.0139344839772353</v>
      </c>
      <c r="BM17" s="39" t="n">
        <f aca="false">SUM(D66:D69)/AVERAGE(AG66:AG69)</f>
        <v>0.0741629106765268</v>
      </c>
      <c r="BN17" s="39" t="n">
        <f aca="false">(SUM(H66:H69)+SUM(J66:J69))/AVERAGE(AG66:AG69)</f>
        <v>0.00599897671939807</v>
      </c>
      <c r="BO17" s="69" t="n">
        <f aca="false">AL17-BN17</f>
        <v>-0.053555296177735</v>
      </c>
      <c r="BP17" s="31" t="n">
        <f aca="false">BN17+BM17</f>
        <v>0.0801618873959248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3" t="n">
        <f aca="false">'Low pensions'!Q18</f>
        <v>99367076.7664316</v>
      </c>
      <c r="E18" s="6"/>
      <c r="F18" s="8" t="n">
        <f aca="false">'Low pensions'!I18</f>
        <v>18061142.4327455</v>
      </c>
      <c r="G18" s="83" t="n">
        <f aca="false">'Low pensions'!K18</f>
        <v>0</v>
      </c>
      <c r="H18" s="83" t="n">
        <f aca="false">'Low pensions'!V18</f>
        <v>0</v>
      </c>
      <c r="I18" s="83" t="n">
        <f aca="false">'Low pensions'!M18</f>
        <v>0</v>
      </c>
      <c r="J18" s="83" t="n">
        <f aca="false">'Low pensions'!W18</f>
        <v>0</v>
      </c>
      <c r="K18" s="6"/>
      <c r="L18" s="83" t="n">
        <f aca="false">'Low pensions'!N18</f>
        <v>2795658.97722293</v>
      </c>
      <c r="M18" s="8"/>
      <c r="N18" s="83" t="n">
        <f aca="false">'Low pensions'!L18</f>
        <v>737510.400040299</v>
      </c>
      <c r="O18" s="6"/>
      <c r="P18" s="83" t="n">
        <f aca="false">'Low pensions'!X18</f>
        <v>18564252.3430879</v>
      </c>
      <c r="Q18" s="8"/>
      <c r="R18" s="83" t="n">
        <f aca="false">'Low SIPA income'!G13</f>
        <v>19233054.6593063</v>
      </c>
      <c r="S18" s="8"/>
      <c r="T18" s="83" t="n">
        <f aca="false">'Low SIPA income'!J13</f>
        <v>73539251.4514011</v>
      </c>
      <c r="U18" s="6"/>
      <c r="V18" s="83" t="n">
        <f aca="false">'Low SIPA income'!F13</f>
        <v>140377.525227439</v>
      </c>
      <c r="W18" s="8"/>
      <c r="X18" s="83" t="n">
        <f aca="false">'Low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50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-0.00897800900484787</v>
      </c>
      <c r="AK18" s="62" t="n">
        <f aca="false">AK17+1</f>
        <v>2029</v>
      </c>
      <c r="AL18" s="63" t="n">
        <f aca="false">SUM(AB70:AB73)/AVERAGE(AG70:AG73)</f>
        <v>-0.0466118051691217</v>
      </c>
      <c r="AM18" s="6" t="n">
        <f aca="false">'Central scenario'!AM17</f>
        <v>11273018.6820578</v>
      </c>
      <c r="AN18" s="63" t="n">
        <f aca="false">AM18/AVERAGE(AG70:AG73)</f>
        <v>0.00176658182640466</v>
      </c>
      <c r="AO18" s="63" t="n">
        <f aca="false">'GDP evolution by scenario'!G69</f>
        <v>0.024733999570536</v>
      </c>
      <c r="AP18" s="63"/>
      <c r="AQ18" s="6" t="n">
        <f aca="false">AQ17*(1+AO18)</f>
        <v>522318313.455323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351908359.724841</v>
      </c>
      <c r="AS18" s="64" t="n">
        <f aca="false">AQ18/AG73</f>
        <v>0.0815200568808277</v>
      </c>
      <c r="AT18" s="64" t="n">
        <f aca="false">AR18/AG73</f>
        <v>0.0549235758398535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0.017607976005834</v>
      </c>
      <c r="BJ18" s="5" t="n">
        <f aca="false">BJ17+1</f>
        <v>2029</v>
      </c>
      <c r="BK18" s="61" t="n">
        <f aca="false">SUM(T70:T73)/AVERAGE(AG70:AG73)</f>
        <v>0.0408063042168822</v>
      </c>
      <c r="BL18" s="61" t="n">
        <f aca="false">SUM(P70:P73)/AVERAGE(AG70:AG73)</f>
        <v>0.0139791057385246</v>
      </c>
      <c r="BM18" s="61" t="n">
        <f aca="false">SUM(D70:D73)/AVERAGE(AG70:AG73)</f>
        <v>0.0734390036474792</v>
      </c>
      <c r="BN18" s="61" t="n">
        <f aca="false">(SUM(H70:H73)+SUM(J70:J73))/AVERAGE(AG70:AG73)</f>
        <v>0.00681541896999611</v>
      </c>
      <c r="BO18" s="63" t="n">
        <f aca="false">AL18-BN18</f>
        <v>-0.0534272241391178</v>
      </c>
      <c r="BP18" s="31" t="n">
        <f aca="false">BN18+BM18</f>
        <v>0.0802544226174753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4" t="n">
        <f aca="false">'Low pensions'!Q19</f>
        <v>102439962.15979</v>
      </c>
      <c r="E19" s="9"/>
      <c r="F19" s="67" t="n">
        <f aca="false">'Low pensions'!I19</f>
        <v>18619675.7274242</v>
      </c>
      <c r="G19" s="84" t="n">
        <f aca="false">'Low pensions'!K19</f>
        <v>0</v>
      </c>
      <c r="H19" s="84" t="n">
        <f aca="false">'Low pensions'!V19</f>
        <v>0</v>
      </c>
      <c r="I19" s="84" t="n">
        <f aca="false">'Low pensions'!M19</f>
        <v>0</v>
      </c>
      <c r="J19" s="84" t="n">
        <f aca="false">'Low pensions'!W19</f>
        <v>0</v>
      </c>
      <c r="K19" s="9"/>
      <c r="L19" s="84" t="n">
        <f aca="false">'Low pensions'!N19</f>
        <v>2828183.68633319</v>
      </c>
      <c r="M19" s="67"/>
      <c r="N19" s="84" t="n">
        <f aca="false">'Low pensions'!L19</f>
        <v>762298.459394898</v>
      </c>
      <c r="O19" s="9"/>
      <c r="P19" s="84" t="n">
        <f aca="false">'Low pensions'!X19</f>
        <v>18869399.8021861</v>
      </c>
      <c r="Q19" s="67"/>
      <c r="R19" s="84" t="n">
        <f aca="false">'Low SIPA income'!G14</f>
        <v>21943117.5095874</v>
      </c>
      <c r="S19" s="67"/>
      <c r="T19" s="84" t="n">
        <f aca="false">'Low SIPA income'!J14</f>
        <v>83901411.6452054</v>
      </c>
      <c r="U19" s="9"/>
      <c r="V19" s="84" t="n">
        <f aca="false">'Low SIPA income'!F14</f>
        <v>141764.810127232</v>
      </c>
      <c r="W19" s="67"/>
      <c r="X19" s="84" t="n">
        <f aca="false">'Low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50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-0.00673953557948259</v>
      </c>
      <c r="AK19" s="68" t="n">
        <f aca="false">AK18+1</f>
        <v>2030</v>
      </c>
      <c r="AL19" s="69" t="n">
        <f aca="false">SUM(AB74:AB77)/AVERAGE(AG74:AG77)</f>
        <v>-0.0450233917717058</v>
      </c>
      <c r="AM19" s="9" t="n">
        <f aca="false">'Central scenario'!AM18</f>
        <v>10452476.7322336</v>
      </c>
      <c r="AN19" s="69" t="n">
        <f aca="false">AM19/AVERAGE(AG74:AG77)</f>
        <v>0.00160921938183329</v>
      </c>
      <c r="AO19" s="69" t="n">
        <f aca="false">'GDP evolution by scenario'!G73</f>
        <v>0.0271254290838978</v>
      </c>
      <c r="AP19" s="69"/>
      <c r="AQ19" s="9" t="n">
        <f aca="false">AQ18*(1+AO19)</f>
        <v>536486421.826176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350872225.917464</v>
      </c>
      <c r="AS19" s="70" t="n">
        <f aca="false">AQ19/AG77</f>
        <v>0.0822206086416687</v>
      </c>
      <c r="AT19" s="70" t="n">
        <f aca="false">AR19/AG77</f>
        <v>0.0537738268793281</v>
      </c>
      <c r="AU19" s="7"/>
      <c r="AV19" s="7"/>
      <c r="AW19" s="71" t="n">
        <f aca="false">workers_and_wage_low!C7</f>
        <v>11128156</v>
      </c>
      <c r="AX19" s="7"/>
      <c r="AY19" s="39" t="n">
        <f aca="false">(AW19-AW18)/AW18</f>
        <v>0.0057534472647062</v>
      </c>
      <c r="AZ19" s="38" t="n">
        <f aca="false">workers_and_wage_low!B7</f>
        <v>6521.17321865806</v>
      </c>
      <c r="BA19" s="39" t="n">
        <f aca="false">(AZ19-AZ18)/AZ18</f>
        <v>-0.0274955654189871</v>
      </c>
      <c r="BB19" s="38" t="n">
        <f aca="false">'Central scenario'!BB19</f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0.0144384137516407</v>
      </c>
      <c r="BJ19" s="7" t="n">
        <f aca="false">BJ18+1</f>
        <v>2030</v>
      </c>
      <c r="BK19" s="39" t="n">
        <f aca="false">SUM(T74:T77)/AVERAGE(AG74:AG77)</f>
        <v>0.0410704320212832</v>
      </c>
      <c r="BL19" s="39" t="n">
        <f aca="false">SUM(P74:P77)/AVERAGE(AG74:AG77)</f>
        <v>0.0135909739639345</v>
      </c>
      <c r="BM19" s="39" t="n">
        <f aca="false">SUM(D74:D77)/AVERAGE(AG74:AG77)</f>
        <v>0.0725028498290545</v>
      </c>
      <c r="BN19" s="39" t="n">
        <f aca="false">(SUM(H74:H77)+SUM(J74:J77))/AVERAGE(AG74:AG77)</f>
        <v>0.00737105254365768</v>
      </c>
      <c r="BO19" s="69" t="n">
        <f aca="false">AL19-BN19</f>
        <v>-0.0523944443153635</v>
      </c>
      <c r="BP19" s="31" t="n">
        <f aca="false">BN19+BM19</f>
        <v>0.0798739023727122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4" t="n">
        <f aca="false">'Low pensions'!Q20</f>
        <v>97784354.1565613</v>
      </c>
      <c r="E20" s="9"/>
      <c r="F20" s="67" t="n">
        <f aca="false">'Low pensions'!I20</f>
        <v>17773463.8633579</v>
      </c>
      <c r="G20" s="84" t="n">
        <f aca="false">'Low pensions'!K20</f>
        <v>0</v>
      </c>
      <c r="H20" s="84" t="n">
        <f aca="false">'Low pensions'!V20</f>
        <v>0</v>
      </c>
      <c r="I20" s="84" t="n">
        <f aca="false">'Low pensions'!M20</f>
        <v>0</v>
      </c>
      <c r="J20" s="84" t="n">
        <f aca="false">'Low pensions'!W20</f>
        <v>0</v>
      </c>
      <c r="K20" s="9"/>
      <c r="L20" s="84" t="n">
        <f aca="false">'Low pensions'!N20</f>
        <v>2477813.00409058</v>
      </c>
      <c r="M20" s="67"/>
      <c r="N20" s="84" t="n">
        <f aca="false">'Low pensions'!L20</f>
        <v>730249.346840899</v>
      </c>
      <c r="O20" s="9"/>
      <c r="P20" s="84" t="n">
        <f aca="false">'Low pensions'!X20</f>
        <v>16874999.9051819</v>
      </c>
      <c r="Q20" s="67"/>
      <c r="R20" s="84" t="n">
        <f aca="false">'Low SIPA income'!G15</f>
        <v>19131719.0897982</v>
      </c>
      <c r="S20" s="67"/>
      <c r="T20" s="84" t="n">
        <f aca="false">'Low SIPA income'!J15</f>
        <v>73151786.118461</v>
      </c>
      <c r="U20" s="9"/>
      <c r="V20" s="84" t="n">
        <f aca="false">'Low SIPA income'!F15</f>
        <v>144189.0349691</v>
      </c>
      <c r="W20" s="67"/>
      <c r="X20" s="84" t="n">
        <f aca="false">'Low SIPA income'!M15</f>
        <v>362161.284990085</v>
      </c>
      <c r="Y20" s="9"/>
      <c r="Z20" s="9" t="n">
        <f aca="false">R20+V20-N20-L20-F20</f>
        <v>-1705618.08952205</v>
      </c>
      <c r="AA20" s="9"/>
      <c r="AB20" s="9" t="n">
        <f aca="false">T20-P20-D20</f>
        <v>-41507567.9432822</v>
      </c>
      <c r="AC20" s="50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-0.0081923761046532</v>
      </c>
      <c r="AK20" s="68" t="n">
        <f aca="false">AK19+1</f>
        <v>2031</v>
      </c>
      <c r="AL20" s="69" t="n">
        <f aca="false">SUM(AB78:AB81)/AVERAGE(AG78:AG81)</f>
        <v>-0.0452512641744778</v>
      </c>
      <c r="AM20" s="9" t="n">
        <f aca="false">'Central scenario'!AM19</f>
        <v>9649081.86791266</v>
      </c>
      <c r="AN20" s="69" t="n">
        <f aca="false">AM20/AVERAGE(AG78:AG81)</f>
        <v>0.00147970345808242</v>
      </c>
      <c r="AO20" s="69" t="n">
        <f aca="false">'GDP evolution by scenario'!G77</f>
        <v>0.0189030782685824</v>
      </c>
      <c r="AP20" s="69"/>
      <c r="AQ20" s="9" t="n">
        <f aca="false">AQ19*(1+AO20)</f>
        <v>546627666.647988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347772393.075414</v>
      </c>
      <c r="AS20" s="70" t="n">
        <f aca="false">AQ20/AG81</f>
        <v>0.0837629488285807</v>
      </c>
      <c r="AT20" s="70" t="n">
        <f aca="false">AR20/AG81</f>
        <v>0.0532911942489147</v>
      </c>
      <c r="AU20" s="7"/>
      <c r="AV20" s="7"/>
      <c r="AW20" s="71" t="n">
        <f aca="false">workers_and_wage_low!C8</f>
        <v>11235296</v>
      </c>
      <c r="AX20" s="7"/>
      <c r="AY20" s="39" t="n">
        <f aca="false">(AW20-AW19)/AW19</f>
        <v>0.00962783052286471</v>
      </c>
      <c r="AZ20" s="38" t="n">
        <f aca="false">workers_and_wage_low!B8</f>
        <v>6554.01964535573</v>
      </c>
      <c r="BA20" s="39" t="n">
        <f aca="false">(AZ20-AZ19)/AZ19</f>
        <v>0.00503688916032643</v>
      </c>
      <c r="BB20" s="38" t="n">
        <f aca="false">'Central scenario'!BB20</f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0.0155179706558216</v>
      </c>
      <c r="BJ20" s="7" t="n">
        <f aca="false">BJ19+1</f>
        <v>2031</v>
      </c>
      <c r="BK20" s="39" t="n">
        <f aca="false">SUM(T78:T81)/AVERAGE(AG78:AG81)</f>
        <v>0.0409023354652151</v>
      </c>
      <c r="BL20" s="39" t="n">
        <f aca="false">SUM(P78:P81)/AVERAGE(AG78:AG81)</f>
        <v>0.0131410100752242</v>
      </c>
      <c r="BM20" s="39" t="n">
        <f aca="false">SUM(D78:D81)/AVERAGE(AG78:AG81)</f>
        <v>0.0730125895644687</v>
      </c>
      <c r="BN20" s="39" t="n">
        <f aca="false">(SUM(H78:H81)+SUM(J78:J81))/AVERAGE(AG78:AG81)</f>
        <v>0.00801798411840402</v>
      </c>
      <c r="BO20" s="69" t="n">
        <f aca="false">AL20-BN20</f>
        <v>-0.0532692482928818</v>
      </c>
      <c r="BP20" s="31" t="n">
        <f aca="false">BN20+BM20</f>
        <v>0.0810305736828728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4" t="n">
        <f aca="false">'Low pensions'!Q21</f>
        <v>106824539.398652</v>
      </c>
      <c r="E21" s="9"/>
      <c r="F21" s="67" t="n">
        <f aca="false">'Low pensions'!I21</f>
        <v>19416624.5418147</v>
      </c>
      <c r="G21" s="84" t="n">
        <f aca="false">'Low pensions'!K21</f>
        <v>36324.8440125154</v>
      </c>
      <c r="H21" s="84" t="n">
        <f aca="false">'Low pensions'!V21</f>
        <v>199848.574195181</v>
      </c>
      <c r="I21" s="85" t="n">
        <f aca="false">'Low pensions'!M21</f>
        <v>1123.4487838923</v>
      </c>
      <c r="J21" s="84" t="n">
        <f aca="false">'Low pensions'!W21</f>
        <v>6180.88373799569</v>
      </c>
      <c r="K21" s="9"/>
      <c r="L21" s="84" t="n">
        <f aca="false">'Low pensions'!N21</f>
        <v>3910348.4398605</v>
      </c>
      <c r="M21" s="67"/>
      <c r="N21" s="84" t="n">
        <f aca="false">'Low pensions'!L21</f>
        <v>800543.016671509</v>
      </c>
      <c r="O21" s="9"/>
      <c r="P21" s="84" t="n">
        <f aca="false">'Low pensions'!X21</f>
        <v>24695168.1228014</v>
      </c>
      <c r="Q21" s="67"/>
      <c r="R21" s="84" t="n">
        <f aca="false">'Low SIPA income'!G16</f>
        <v>22467624.3804735</v>
      </c>
      <c r="S21" s="67"/>
      <c r="T21" s="84" t="n">
        <f aca="false">'Low SIPA income'!J16</f>
        <v>85906909.1259406</v>
      </c>
      <c r="U21" s="9"/>
      <c r="V21" s="84" t="n">
        <f aca="false">'Low SIPA income'!F16</f>
        <v>151268.17202623</v>
      </c>
      <c r="W21" s="67"/>
      <c r="X21" s="84" t="n">
        <f aca="false">'Low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-45612798.3955123</v>
      </c>
      <c r="AC21" s="50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-0.00901832914687247</v>
      </c>
      <c r="AK21" s="68" t="n">
        <f aca="false">AK20+1</f>
        <v>2032</v>
      </c>
      <c r="AL21" s="69" t="n">
        <f aca="false">SUM(AB82:AB85)/AVERAGE(AG82:AG85)</f>
        <v>-0.0447762199424323</v>
      </c>
      <c r="AM21" s="9" t="n">
        <f aca="false">'Central scenario'!AM20</f>
        <v>8873587.4679367</v>
      </c>
      <c r="AN21" s="69" t="n">
        <f aca="false">AM21/AVERAGE(AG82:AG85)</f>
        <v>0.0013535317603107</v>
      </c>
      <c r="AO21" s="69" t="n">
        <f aca="false">'GDP evolution by scenario'!G81</f>
        <v>0.0167950503537677</v>
      </c>
      <c r="AP21" s="69"/>
      <c r="AQ21" s="9" t="n">
        <f aca="false">AQ20*(1+AO21)</f>
        <v>555808305.834104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344671559.38201</v>
      </c>
      <c r="AS21" s="70" t="n">
        <f aca="false">AQ21/AG85</f>
        <v>0.0847188063440408</v>
      </c>
      <c r="AT21" s="70" t="n">
        <f aca="false">AR21/AG85</f>
        <v>0.0525363921069194</v>
      </c>
      <c r="AU21" s="7"/>
      <c r="AW21" s="71" t="n">
        <f aca="false">workers_and_wage_low!C9</f>
        <v>11156745</v>
      </c>
      <c r="AY21" s="39" t="n">
        <f aca="false">(AW21-AW20)/AW20</f>
        <v>-0.00699144909043785</v>
      </c>
      <c r="AZ21" s="38" t="n">
        <f aca="false">workers_and_wage_low!B9</f>
        <v>6660.1842529205</v>
      </c>
      <c r="BA21" s="39" t="n">
        <f aca="false">(AZ21-AZ20)/AZ20</f>
        <v>0.0161983962986744</v>
      </c>
      <c r="BB21" s="38" t="n">
        <f aca="false">'Central scenario'!BB21</f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0.0137104660083263</v>
      </c>
      <c r="BJ21" s="7" t="n">
        <f aca="false">BJ20+1</f>
        <v>2032</v>
      </c>
      <c r="BK21" s="39" t="n">
        <f aca="false">SUM(T82:T85)/AVERAGE(AG82:AG85)</f>
        <v>0.0412022088297674</v>
      </c>
      <c r="BL21" s="39" t="n">
        <f aca="false">SUM(P82:P85)/AVERAGE(AG82:AG85)</f>
        <v>0.0130857888026214</v>
      </c>
      <c r="BM21" s="39" t="n">
        <f aca="false">SUM(D82:D85)/AVERAGE(AG82:AG85)</f>
        <v>0.0728926399695784</v>
      </c>
      <c r="BN21" s="39" t="n">
        <f aca="false">(SUM(H82:H85)+SUM(J82:J85))/AVERAGE(AG82:AG85)</f>
        <v>0.00873138939764433</v>
      </c>
      <c r="BO21" s="69" t="n">
        <f aca="false">AL21-BN21</f>
        <v>-0.0535076093400767</v>
      </c>
      <c r="BP21" s="31" t="n">
        <f aca="false">BN21+BM21</f>
        <v>0.0816240293672227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3" t="n">
        <f aca="false">'Low pensions'!Q22</f>
        <v>102020428.177735</v>
      </c>
      <c r="E22" s="6"/>
      <c r="F22" s="8" t="n">
        <f aca="false">'Low pensions'!I22</f>
        <v>18543420.4600675</v>
      </c>
      <c r="G22" s="83" t="n">
        <f aca="false">'Low pensions'!K22</f>
        <v>66682.1496075563</v>
      </c>
      <c r="H22" s="83" t="n">
        <f aca="false">'Low pensions'!V22</f>
        <v>366865.512725902</v>
      </c>
      <c r="I22" s="83" t="n">
        <f aca="false">'Low pensions'!M22</f>
        <v>2062.3345239451</v>
      </c>
      <c r="J22" s="83" t="n">
        <f aca="false">'Low pensions'!W22</f>
        <v>11346.356063688</v>
      </c>
      <c r="K22" s="6"/>
      <c r="L22" s="83" t="n">
        <f aca="false">'Low pensions'!N22</f>
        <v>4299591.36744104</v>
      </c>
      <c r="M22" s="8"/>
      <c r="N22" s="83" t="n">
        <f aca="false">'Low pensions'!L22</f>
        <v>765007.80687156</v>
      </c>
      <c r="O22" s="6"/>
      <c r="P22" s="83" t="n">
        <f aca="false">'Low pensions'!X22</f>
        <v>26519447.2846624</v>
      </c>
      <c r="Q22" s="8"/>
      <c r="R22" s="83" t="n">
        <f aca="false">'Low SIPA income'!G17</f>
        <v>19431210.5031189</v>
      </c>
      <c r="S22" s="8"/>
      <c r="T22" s="83" t="n">
        <f aca="false">'Low SIPA income'!J17</f>
        <v>74296917.4947224</v>
      </c>
      <c r="U22" s="6"/>
      <c r="V22" s="83" t="n">
        <f aca="false">'Low SIPA income'!F17</f>
        <v>123378.287154311</v>
      </c>
      <c r="W22" s="8"/>
      <c r="X22" s="83" t="n">
        <f aca="false">'Low SIPA income'!M17</f>
        <v>309890.686384416</v>
      </c>
      <c r="Y22" s="6"/>
      <c r="Z22" s="6" t="n">
        <f aca="false">R22+V22-N22-L22-F22</f>
        <v>-4053430.84410695</v>
      </c>
      <c r="AA22" s="6"/>
      <c r="AB22" s="6" t="n">
        <f aca="false">T22-P22-D22</f>
        <v>-54242957.9676747</v>
      </c>
      <c r="AC22" s="50"/>
      <c r="AD22" s="6" t="n">
        <f aca="false">'Central scenario'!AD22</f>
        <v>9240877730.99836</v>
      </c>
      <c r="AE22" s="6" t="n">
        <f aca="false">'Central scenario'!AE22</f>
        <v>681444.766110222</v>
      </c>
      <c r="AF22" s="6" t="n">
        <f aca="false">'Central scenario'!AF22</f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-0.0109092288110702</v>
      </c>
      <c r="AK22" s="62" t="n">
        <f aca="false">AK21+1</f>
        <v>2033</v>
      </c>
      <c r="AL22" s="63" t="n">
        <f aca="false">SUM(AB86:AB89)/AVERAGE(AG86:AG89)</f>
        <v>-0.0440367613855992</v>
      </c>
      <c r="AM22" s="6" t="n">
        <f aca="false">'Central scenario'!AM21</f>
        <v>8126011.66426731</v>
      </c>
      <c r="AN22" s="63" t="n">
        <f aca="false">AM22/AVERAGE(AG86:AG89)</f>
        <v>0.00122880857995679</v>
      </c>
      <c r="AO22" s="63" t="n">
        <f aca="false">'GDP evolution by scenario'!G85</f>
        <v>0.0263280774676653</v>
      </c>
      <c r="AP22" s="63"/>
      <c r="AQ22" s="6" t="n">
        <f aca="false">AQ21*(1+AO22)</f>
        <v>570441669.967276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345522490.458068</v>
      </c>
      <c r="AS22" s="64" t="n">
        <f aca="false">AQ22/AG89</f>
        <v>0.0862532920910207</v>
      </c>
      <c r="AT22" s="64" t="n">
        <f aca="false">AR22/AG89</f>
        <v>0.0522445218548048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0.0125897475493237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0.0153113617877386</v>
      </c>
      <c r="BJ22" s="5" t="n">
        <f aca="false">BJ21+1</f>
        <v>2033</v>
      </c>
      <c r="BK22" s="61" t="n">
        <f aca="false">SUM(T86:T89)/AVERAGE(AG86:AG89)</f>
        <v>0.0412000034997542</v>
      </c>
      <c r="BL22" s="61" t="n">
        <f aca="false">SUM(P86:P89)/AVERAGE(AG86:AG89)</f>
        <v>0.0129223867391232</v>
      </c>
      <c r="BM22" s="61" t="n">
        <f aca="false">SUM(D86:D89)/AVERAGE(AG86:AG89)</f>
        <v>0.0723143781462302</v>
      </c>
      <c r="BN22" s="61" t="n">
        <f aca="false">(SUM(H86:H89)+SUM(J86:J89))/AVERAGE(AG86:AG89)</f>
        <v>0.00948329122636691</v>
      </c>
      <c r="BO22" s="63" t="n">
        <f aca="false">AL22-BN22</f>
        <v>-0.0535200526119662</v>
      </c>
      <c r="BP22" s="31" t="n">
        <f aca="false">BN22+BM22</f>
        <v>0.0817976693725971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4" t="n">
        <f aca="false">'Low pensions'!Q23</f>
        <v>108855914.208479</v>
      </c>
      <c r="E23" s="9"/>
      <c r="F23" s="67" t="n">
        <f aca="false">'Low pensions'!I23</f>
        <v>19785850.9593416</v>
      </c>
      <c r="G23" s="84" t="n">
        <f aca="false">'Low pensions'!K23</f>
        <v>102244.218065323</v>
      </c>
      <c r="H23" s="84" t="n">
        <f aca="false">'Low pensions'!V23</f>
        <v>562517.520874029</v>
      </c>
      <c r="I23" s="84" t="n">
        <f aca="false">'Low pensions'!M23</f>
        <v>3162.192311299</v>
      </c>
      <c r="J23" s="84" t="n">
        <f aca="false">'Low pensions'!W23</f>
        <v>17397.4490991987</v>
      </c>
      <c r="K23" s="9"/>
      <c r="L23" s="84" t="n">
        <f aca="false">'Low pensions'!N23</f>
        <v>3939404.98436416</v>
      </c>
      <c r="M23" s="67"/>
      <c r="N23" s="84" t="n">
        <f aca="false">'Low pensions'!L23</f>
        <v>818497.026508197</v>
      </c>
      <c r="O23" s="9"/>
      <c r="P23" s="84" t="n">
        <f aca="false">'Low pensions'!X23</f>
        <v>24944720.335192</v>
      </c>
      <c r="Q23" s="67"/>
      <c r="R23" s="84" t="n">
        <f aca="false">'Low SIPA income'!G18</f>
        <v>23254020.5835423</v>
      </c>
      <c r="S23" s="67"/>
      <c r="T23" s="84" t="n">
        <f aca="false">'Low SIPA income'!J18</f>
        <v>88913763.1666697</v>
      </c>
      <c r="U23" s="9"/>
      <c r="V23" s="84" t="n">
        <f aca="false">'Low SIPA income'!F18</f>
        <v>131002.673091904</v>
      </c>
      <c r="W23" s="67"/>
      <c r="X23" s="84" t="n">
        <f aca="false">'Low SIPA income'!M18</f>
        <v>329040.945688189</v>
      </c>
      <c r="Y23" s="9"/>
      <c r="Z23" s="9" t="n">
        <f aca="false">R23+V23-N23-L23-F23</f>
        <v>-1158729.71357976</v>
      </c>
      <c r="AA23" s="9"/>
      <c r="AB23" s="9" t="n">
        <f aca="false">T23-P23-D23</f>
        <v>-44886871.3770016</v>
      </c>
      <c r="AC23" s="50"/>
      <c r="AD23" s="9" t="n">
        <f aca="false">'Central scenario'!AD23</f>
        <v>10558208304.6431</v>
      </c>
      <c r="AE23" s="9" t="n">
        <f aca="false">'Central scenario'!AE23</f>
        <v>778401.676449317</v>
      </c>
      <c r="AF23" s="9" t="n">
        <f aca="false">'Central scenario'!AF23</f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-0.00790308986184857</v>
      </c>
      <c r="AK23" s="68" t="n">
        <f aca="false">AK22+1</f>
        <v>2034</v>
      </c>
      <c r="AL23" s="69" t="n">
        <f aca="false">SUM(AB90:AB93)/AVERAGE(AG90:AG93)</f>
        <v>-0.0441157441115753</v>
      </c>
      <c r="AM23" s="9" t="n">
        <f aca="false">'Central scenario'!AM22</f>
        <v>7406781.38079157</v>
      </c>
      <c r="AN23" s="69" t="n">
        <f aca="false">AM23/AVERAGE(AG90:AG93)</f>
        <v>0.0011193376759519</v>
      </c>
      <c r="AO23" s="69" t="n">
        <f aca="false">'GDP evolution by scenario'!G89</f>
        <v>0.021097285234178</v>
      </c>
      <c r="AP23" s="69"/>
      <c r="AQ23" s="9" t="n">
        <f aca="false">AQ22*(1+AO23)</f>
        <v>582476440.588036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345333945.060269</v>
      </c>
      <c r="AS23" s="70" t="n">
        <f aca="false">AQ23/AG93</f>
        <v>0.0879041623369499</v>
      </c>
      <c r="AT23" s="70" t="n">
        <f aca="false">AR23/AG93</f>
        <v>0.0521159124245287</v>
      </c>
      <c r="AU23" s="7"/>
      <c r="AV23" s="7"/>
      <c r="AW23" s="71" t="n">
        <f aca="false">workers_and_wage_low!C11</f>
        <v>11247506</v>
      </c>
      <c r="AX23" s="7"/>
      <c r="AY23" s="39" t="n">
        <f aca="false">(AW23-AW22)/AW22</f>
        <v>0.017215831785918</v>
      </c>
      <c r="AZ23" s="38" t="n">
        <f aca="false">workers_and_wage_low!B11</f>
        <v>6741.66175252587</v>
      </c>
      <c r="BA23" s="39" t="n">
        <f aca="false">(AZ23-AZ22)/AZ22</f>
        <v>-0.000351798147577903</v>
      </c>
      <c r="BB23" s="38" t="n">
        <f aca="false">'Central scenario'!BB23</f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0.0123467912751813</v>
      </c>
      <c r="BJ23" s="7" t="n">
        <f aca="false">BJ22+1</f>
        <v>2034</v>
      </c>
      <c r="BK23" s="39" t="n">
        <f aca="false">SUM(T90:T93)/AVERAGE(AG90:AG93)</f>
        <v>0.0411847203545228</v>
      </c>
      <c r="BL23" s="39" t="n">
        <f aca="false">SUM(P90:P93)/AVERAGE(AG90:AG93)</f>
        <v>0.0129062012920069</v>
      </c>
      <c r="BM23" s="39" t="n">
        <f aca="false">SUM(D90:D93)/AVERAGE(AG90:AG93)</f>
        <v>0.0723942631740912</v>
      </c>
      <c r="BN23" s="39" t="n">
        <f aca="false">(SUM(H90:H93)+SUM(J90:J93))/AVERAGE(AG90:AG93)</f>
        <v>0.0103624145429905</v>
      </c>
      <c r="BO23" s="69" t="n">
        <f aca="false">AL23-BN23</f>
        <v>-0.0544781586545658</v>
      </c>
      <c r="BP23" s="31" t="n">
        <f aca="false">BN23+BM23</f>
        <v>0.0827566777170817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4" t="n">
        <f aca="false">'Low pensions'!Q24</f>
        <v>104302964.881111</v>
      </c>
      <c r="E24" s="9"/>
      <c r="F24" s="67" t="n">
        <f aca="false">'Low pensions'!I24</f>
        <v>18958298.5248067</v>
      </c>
      <c r="G24" s="84" t="n">
        <f aca="false">'Low pensions'!K24</f>
        <v>148476.22300635</v>
      </c>
      <c r="H24" s="84" t="n">
        <f aca="false">'Low pensions'!V24</f>
        <v>816872.371412835</v>
      </c>
      <c r="I24" s="84" t="n">
        <f aca="false">'Low pensions'!M24</f>
        <v>4592.04813421701</v>
      </c>
      <c r="J24" s="84" t="n">
        <f aca="false">'Low pensions'!W24</f>
        <v>25264.0939612217</v>
      </c>
      <c r="K24" s="9"/>
      <c r="L24" s="84" t="n">
        <f aca="false">'Low pensions'!N24</f>
        <v>3599614.55233288</v>
      </c>
      <c r="M24" s="67"/>
      <c r="N24" s="84" t="n">
        <f aca="false">'Low pensions'!L24</f>
        <v>785462.55747458</v>
      </c>
      <c r="O24" s="9"/>
      <c r="P24" s="84" t="n">
        <f aca="false">'Low pensions'!X24</f>
        <v>22999800.2662071</v>
      </c>
      <c r="Q24" s="67"/>
      <c r="R24" s="84" t="n">
        <f aca="false">'Low SIPA income'!G19</f>
        <v>20589537.4390246</v>
      </c>
      <c r="S24" s="67"/>
      <c r="T24" s="84" t="n">
        <f aca="false">'Low SIPA income'!J19</f>
        <v>78725880.9283226</v>
      </c>
      <c r="U24" s="9"/>
      <c r="V24" s="84" t="n">
        <f aca="false">'Low SIPA income'!F19</f>
        <v>137459.026655012</v>
      </c>
      <c r="W24" s="67"/>
      <c r="X24" s="84" t="n">
        <f aca="false">'Low SIPA income'!M19</f>
        <v>345257.444420333</v>
      </c>
      <c r="Y24" s="9"/>
      <c r="Z24" s="9" t="n">
        <f aca="false">R24+V24-N24-L24-F24</f>
        <v>-2616379.16893451</v>
      </c>
      <c r="AA24" s="9"/>
      <c r="AB24" s="9" t="n">
        <f aca="false">T24-P24-D24</f>
        <v>-48576884.218995</v>
      </c>
      <c r="AC24" s="50"/>
      <c r="AD24" s="9" t="n">
        <f aca="false">'Central scenario'!AD24</f>
        <v>11116422317.8693</v>
      </c>
      <c r="AE24" s="9" t="n">
        <f aca="false">'Central scenario'!AE24</f>
        <v>721120.426852794</v>
      </c>
      <c r="AF24" s="9" t="n">
        <f aca="false">'Central scenario'!AF24</f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-0.00923215748136014</v>
      </c>
      <c r="AK24" s="68" t="n">
        <f aca="false">AK23+1</f>
        <v>2035</v>
      </c>
      <c r="AL24" s="69" t="n">
        <f aca="false">SUM(AB94:AB97)/AVERAGE(AG94:AG97)</f>
        <v>-0.0431914134798814</v>
      </c>
      <c r="AM24" s="9" t="n">
        <f aca="false">'Central scenario'!AM23</f>
        <v>6738583.40306814</v>
      </c>
      <c r="AN24" s="69" t="n">
        <f aca="false">AM24/AVERAGE(AG94:AG97)</f>
        <v>0.00100934122080044</v>
      </c>
      <c r="AO24" s="69" t="n">
        <f aca="false">'GDP evolution by scenario'!G93</f>
        <v>0.0154072950094522</v>
      </c>
      <c r="AP24" s="69"/>
      <c r="AQ24" s="9" t="n">
        <f aca="false">AQ23*(1+AO24)</f>
        <v>591450826.944231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343868569.294313</v>
      </c>
      <c r="AS24" s="70" t="n">
        <f aca="false">AQ24/AG97</f>
        <v>0.0885204526198195</v>
      </c>
      <c r="AT24" s="70" t="n">
        <f aca="false">AR24/AG97</f>
        <v>0.0514656502433676</v>
      </c>
      <c r="AU24" s="7"/>
      <c r="AV24" s="7"/>
      <c r="AW24" s="71" t="n">
        <f aca="false">workers_and_wage_low!C12</f>
        <v>11410134</v>
      </c>
      <c r="AX24" s="7"/>
      <c r="AY24" s="39" t="n">
        <f aca="false">(AW24-AW23)/AW23</f>
        <v>0.0144590276279915</v>
      </c>
      <c r="AZ24" s="38" t="n">
        <f aca="false">workers_and_wage_low!B12</f>
        <v>6886.42921069284</v>
      </c>
      <c r="BA24" s="39" t="n">
        <f aca="false">(AZ24-AZ23)/AZ23</f>
        <v>0.0214735570369917</v>
      </c>
      <c r="BB24" s="38" t="n">
        <f aca="false">'Central scenario'!BB24</f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0.012990170797308</v>
      </c>
      <c r="BJ24" s="7" t="n">
        <f aca="false">BJ23+1</f>
        <v>2035</v>
      </c>
      <c r="BK24" s="39" t="n">
        <f aca="false">SUM(T94:T97)/AVERAGE(AG94:AG97)</f>
        <v>0.0412396370281415</v>
      </c>
      <c r="BL24" s="39" t="n">
        <f aca="false">SUM(P94:P97)/AVERAGE(AG94:AG97)</f>
        <v>0.0126167623363393</v>
      </c>
      <c r="BM24" s="39" t="n">
        <f aca="false">SUM(D94:D97)/AVERAGE(AG94:AG97)</f>
        <v>0.0718142881716837</v>
      </c>
      <c r="BN24" s="39" t="n">
        <f aca="false">(SUM(H94:H97)+SUM(J94:J97))/AVERAGE(AG94:AG97)</f>
        <v>0.0111732801897785</v>
      </c>
      <c r="BO24" s="69" t="n">
        <f aca="false">AL24-BN24</f>
        <v>-0.0543646936696599</v>
      </c>
      <c r="BP24" s="31" t="n">
        <f aca="false">BN24+BM24</f>
        <v>0.0829875683614621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4" t="n">
        <f aca="false">'Low pensions'!Q25</f>
        <v>113365412.769487</v>
      </c>
      <c r="E25" s="9"/>
      <c r="F25" s="67" t="n">
        <f aca="false">'Low pensions'!I25</f>
        <v>20605505.7027539</v>
      </c>
      <c r="G25" s="84" t="n">
        <f aca="false">'Low pensions'!K25</f>
        <v>189845.474762486</v>
      </c>
      <c r="H25" s="84" t="n">
        <f aca="false">'Low pensions'!V25</f>
        <v>1044473.78867251</v>
      </c>
      <c r="I25" s="84" t="n">
        <f aca="false">'Low pensions'!M25</f>
        <v>5871.509528736</v>
      </c>
      <c r="J25" s="84" t="n">
        <f aca="false">'Low pensions'!W25</f>
        <v>32303.3130517235</v>
      </c>
      <c r="K25" s="9"/>
      <c r="L25" s="84" t="n">
        <f aca="false">'Low pensions'!N25</f>
        <v>4012507.36812272</v>
      </c>
      <c r="M25" s="67"/>
      <c r="N25" s="84" t="n">
        <f aca="false">'Low pensions'!L25</f>
        <v>856425.707030363</v>
      </c>
      <c r="O25" s="9"/>
      <c r="P25" s="84" t="n">
        <f aca="false">'Low pensions'!X25</f>
        <v>25532721.3614923</v>
      </c>
      <c r="Q25" s="67"/>
      <c r="R25" s="84" t="n">
        <f aca="false">'Low SIPA income'!G20</f>
        <v>24347324.2300167</v>
      </c>
      <c r="S25" s="67"/>
      <c r="T25" s="84" t="n">
        <f aca="false">'Low SIPA income'!J20</f>
        <v>93094104.4174502</v>
      </c>
      <c r="U25" s="9"/>
      <c r="V25" s="84" t="n">
        <f aca="false">'Low SIPA income'!F20</f>
        <v>143698.094559182</v>
      </c>
      <c r="W25" s="67"/>
      <c r="X25" s="84" t="n">
        <f aca="false">'Low SIPA income'!M20</f>
        <v>360928.184222419</v>
      </c>
      <c r="Y25" s="9"/>
      <c r="Z25" s="9" t="n">
        <f aca="false">R25+V25-N25-L25-F25</f>
        <v>-983416.453331146</v>
      </c>
      <c r="AA25" s="9"/>
      <c r="AB25" s="9" t="n">
        <f aca="false">T25-P25-D25</f>
        <v>-45804029.7135292</v>
      </c>
      <c r="AC25" s="50"/>
      <c r="AD25" s="9" t="n">
        <f aca="false">'Central scenario'!AD25</f>
        <v>11725405625.723</v>
      </c>
      <c r="AE25" s="9" t="n">
        <f aca="false">'Central scenario'!AE25</f>
        <v>724592.921638963</v>
      </c>
      <c r="AF25" s="9" t="n">
        <f aca="false">'Central scenario'!AF25</f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-0.00866345147432505</v>
      </c>
      <c r="AK25" s="68" t="n">
        <f aca="false">AK24+1</f>
        <v>2036</v>
      </c>
      <c r="AL25" s="69" t="n">
        <f aca="false">SUM(AB98:AB101)/AVERAGE(AG98:AG101)</f>
        <v>-0.0429413459071981</v>
      </c>
      <c r="AM25" s="9" t="n">
        <f aca="false">'Central scenario'!AM24</f>
        <v>6098422.29766839</v>
      </c>
      <c r="AN25" s="69" t="n">
        <f aca="false">AM25/AVERAGE(AG98:AG101)</f>
        <v>0.000906568577697903</v>
      </c>
      <c r="AO25" s="69" t="n">
        <f aca="false">'GDP evolution by scenario'!G97</f>
        <v>0.0146041249771969</v>
      </c>
      <c r="AP25" s="69"/>
      <c r="AQ25" s="9" t="n">
        <f aca="false">AQ24*(1+AO25)</f>
        <v>600088448.738791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342751333.27742</v>
      </c>
      <c r="AS25" s="70" t="n">
        <f aca="false">AQ25/AG101</f>
        <v>0.0890189029062379</v>
      </c>
      <c r="AT25" s="70" t="n">
        <f aca="false">AR25/AG101</f>
        <v>0.0508447508398672</v>
      </c>
      <c r="AU25" s="7"/>
      <c r="AV25" s="7"/>
      <c r="AW25" s="71" t="n">
        <f aca="false">workers_and_wage_low!C13</f>
        <v>11521898</v>
      </c>
      <c r="AX25" s="7"/>
      <c r="AY25" s="39" t="n">
        <f aca="false">(AW25-AW24)/AW24</f>
        <v>0.0097951522742853</v>
      </c>
      <c r="AZ25" s="38" t="n">
        <f aca="false">workers_and_wage_low!B13</f>
        <v>6890.54533395775</v>
      </c>
      <c r="BA25" s="39" t="n">
        <f aca="false">(AZ25-AZ24)/AZ24</f>
        <v>0.000597715178501923</v>
      </c>
      <c r="BB25" s="38" t="n">
        <f aca="false">'Central scenario'!BB25</f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F25" s="7"/>
      <c r="BI25" s="39" t="n">
        <f aca="false">T32/AG32</f>
        <v>0.0120820647128259</v>
      </c>
      <c r="BJ25" s="7" t="n">
        <f aca="false">BJ24+1</f>
        <v>2036</v>
      </c>
      <c r="BK25" s="39" t="n">
        <f aca="false">SUM(T98:T101)/AVERAGE(AG98:AG101)</f>
        <v>0.0410412252791238</v>
      </c>
      <c r="BL25" s="39" t="n">
        <f aca="false">SUM(P98:P101)/AVERAGE(AG98:AG101)</f>
        <v>0.0124859216783505</v>
      </c>
      <c r="BM25" s="39" t="n">
        <f aca="false">SUM(D98:D101)/AVERAGE(AG98:AG101)</f>
        <v>0.0714966495079714</v>
      </c>
      <c r="BN25" s="39" t="n">
        <f aca="false">(SUM(H98:H101)+SUM(J98:J101))/AVERAGE(AG98:AG101)</f>
        <v>0.0119188345314045</v>
      </c>
      <c r="BO25" s="69" t="n">
        <f aca="false">AL25-BN25</f>
        <v>-0.0548601804386026</v>
      </c>
      <c r="BP25" s="31" t="n">
        <f aca="false">BN25+BM25</f>
        <v>0.0834154840393759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83" t="n">
        <f aca="false">'Low pensions'!Q26</f>
        <v>105500956.911478</v>
      </c>
      <c r="E26" s="6"/>
      <c r="F26" s="8" t="n">
        <f aca="false">'Low pensions'!I26</f>
        <v>19176047.7572272</v>
      </c>
      <c r="G26" s="83" t="n">
        <f aca="false">'Low pensions'!K26</f>
        <v>193632.468036018</v>
      </c>
      <c r="H26" s="83" t="n">
        <f aca="false">'Low pensions'!V26</f>
        <v>1065308.70831983</v>
      </c>
      <c r="I26" s="83" t="n">
        <f aca="false">'Low pensions'!M26</f>
        <v>5988.63303204201</v>
      </c>
      <c r="J26" s="83" t="n">
        <f aca="false">'Low pensions'!W26</f>
        <v>32947.6920098929</v>
      </c>
      <c r="K26" s="6"/>
      <c r="L26" s="83" t="n">
        <f aca="false">'Low pensions'!N26</f>
        <v>4266228.99960084</v>
      </c>
      <c r="M26" s="8"/>
      <c r="N26" s="83" t="n">
        <f aca="false">'Low pensions'!L26</f>
        <v>797212.366434757</v>
      </c>
      <c r="O26" s="6"/>
      <c r="P26" s="83" t="n">
        <f aca="false">'Low pensions'!X26</f>
        <v>26523509.7841771</v>
      </c>
      <c r="Q26" s="8"/>
      <c r="R26" s="83" t="n">
        <f aca="false">'Low SIPA income'!G21</f>
        <v>19486260.1586379</v>
      </c>
      <c r="S26" s="8"/>
      <c r="T26" s="83" t="n">
        <f aca="false">'Low SIPA income'!J21</f>
        <v>74507404.6238465</v>
      </c>
      <c r="U26" s="6"/>
      <c r="V26" s="83" t="n">
        <f aca="false">'Low SIPA income'!F21</f>
        <v>129450.461885458</v>
      </c>
      <c r="W26" s="8"/>
      <c r="X26" s="83" t="n">
        <f aca="false">'Low SIPA income'!M21</f>
        <v>325142.238652505</v>
      </c>
      <c r="Y26" s="6"/>
      <c r="Z26" s="6" t="n">
        <f aca="false">R26+V26-N26-L26-F26</f>
        <v>-4623778.50273944</v>
      </c>
      <c r="AA26" s="6"/>
      <c r="AB26" s="6" t="n">
        <f aca="false">T26-P26-D26</f>
        <v>-57517062.0718087</v>
      </c>
      <c r="AC26" s="50"/>
      <c r="AD26" s="6" t="n">
        <f aca="false">'Central scenario'!AD26</f>
        <v>12239176485.8186</v>
      </c>
      <c r="AE26" s="6" t="n">
        <f aca="false">'Central scenario'!AE26</f>
        <v>707231.016992009</v>
      </c>
      <c r="AF26" s="6" t="n">
        <f aca="false">'Central scenario'!AF26</f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-0.0111459410532974</v>
      </c>
      <c r="AK26" s="62" t="n">
        <f aca="false">AK25+1</f>
        <v>2037</v>
      </c>
      <c r="AL26" s="63" t="n">
        <f aca="false">SUM(AB102:AB105)/AVERAGE(AG102:AG105)</f>
        <v>-0.0426291818561818</v>
      </c>
      <c r="AM26" s="6" t="n">
        <f aca="false">'Central scenario'!AM25</f>
        <v>5493111.4769607</v>
      </c>
      <c r="AN26" s="63" t="n">
        <f aca="false">AM26/AVERAGE(AG102:AG105)</f>
        <v>0.000809621385974474</v>
      </c>
      <c r="AO26" s="63" t="n">
        <f aca="false">'GDP evolution by scenario'!G101</f>
        <v>0.0220748351043731</v>
      </c>
      <c r="AP26" s="63"/>
      <c r="AQ26" s="6" t="n">
        <f aca="false">AQ25*(1+AO26)</f>
        <v>613335302.292739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344769042.784705</v>
      </c>
      <c r="AS26" s="64" t="n">
        <f aca="false">AQ26/AG105</f>
        <v>0.089795753642369</v>
      </c>
      <c r="AT26" s="64" t="n">
        <f aca="false">AR26/AG105</f>
        <v>0.0504761358325244</v>
      </c>
      <c r="AU26" s="61" t="n">
        <f aca="false">AVERAGE(AH26:AH29)</f>
        <v>-0.0147737373418679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-0.0118562557252077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0.0139566713177194</v>
      </c>
      <c r="BJ26" s="5" t="n">
        <f aca="false">BJ25+1</f>
        <v>2037</v>
      </c>
      <c r="BK26" s="61" t="n">
        <f aca="false">SUM(T102:T105)/AVERAGE(AG102:AG105)</f>
        <v>0.0412462656658813</v>
      </c>
      <c r="BL26" s="61" t="n">
        <f aca="false">SUM(P102:P105)/AVERAGE(AG102:AG105)</f>
        <v>0.0123044822587789</v>
      </c>
      <c r="BM26" s="61" t="n">
        <f aca="false">SUM(D102:D105)/AVERAGE(AG102:AG105)</f>
        <v>0.0715709652632842</v>
      </c>
      <c r="BN26" s="61" t="n">
        <f aca="false">(SUM(H102:H105)+SUM(J102:J105))/AVERAGE(AG102:AG105)</f>
        <v>0.0128064879120818</v>
      </c>
      <c r="BO26" s="63" t="n">
        <f aca="false">AL26-BN26</f>
        <v>-0.0554356697682636</v>
      </c>
      <c r="BP26" s="31" t="n">
        <f aca="false">BN26+BM26</f>
        <v>0.084377453175366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8469157.72093233</v>
      </c>
      <c r="D27" s="84" t="n">
        <f aca="false">'Low pensions'!Q27</f>
        <v>104557502.72756</v>
      </c>
      <c r="E27" s="9"/>
      <c r="F27" s="67" t="n">
        <f aca="false">'Low pensions'!I27</f>
        <v>19004563.7914205</v>
      </c>
      <c r="G27" s="84" t="n">
        <f aca="false">'Low pensions'!K27</f>
        <v>211229.041623464</v>
      </c>
      <c r="H27" s="84" t="n">
        <f aca="false">'Low pensions'!V27</f>
        <v>1162119.86436939</v>
      </c>
      <c r="I27" s="84" t="n">
        <f aca="false">'Low pensions'!M27</f>
        <v>6532.85695742699</v>
      </c>
      <c r="J27" s="84" t="n">
        <f aca="false">'Low pensions'!W27</f>
        <v>35941.8514753436</v>
      </c>
      <c r="K27" s="9"/>
      <c r="L27" s="84" t="n">
        <f aca="false">'Low pensions'!N27</f>
        <v>3669736.53404985</v>
      </c>
      <c r="M27" s="67"/>
      <c r="N27" s="84" t="n">
        <f aca="false">'Low pensions'!L27</f>
        <v>790911.274881076</v>
      </c>
      <c r="O27" s="9"/>
      <c r="P27" s="84" t="n">
        <f aca="false">'Low pensions'!X27</f>
        <v>23393640.7982213</v>
      </c>
      <c r="Q27" s="67"/>
      <c r="R27" s="84" t="n">
        <f aca="false">'Low SIPA income'!G22</f>
        <v>22133362.586404</v>
      </c>
      <c r="S27" s="67"/>
      <c r="T27" s="84" t="n">
        <f aca="false">'Low SIPA income'!J22</f>
        <v>84628830.185278</v>
      </c>
      <c r="U27" s="9"/>
      <c r="V27" s="84" t="n">
        <f aca="false">'Low SIPA income'!F22</f>
        <v>124241.716375217</v>
      </c>
      <c r="W27" s="67"/>
      <c r="X27" s="84" t="n">
        <f aca="false">'Low SIPA income'!M22</f>
        <v>312059.37165378</v>
      </c>
      <c r="Y27" s="9"/>
      <c r="Z27" s="9" t="n">
        <f aca="false">R27+V27-N27-L27-F27</f>
        <v>-1207607.2975722</v>
      </c>
      <c r="AA27" s="9"/>
      <c r="AB27" s="9" t="n">
        <f aca="false">T27-P27-D27</f>
        <v>-43322313.340503</v>
      </c>
      <c r="AC27" s="50"/>
      <c r="AD27" s="9" t="n">
        <f aca="false">'Central scenario'!AD27</f>
        <v>14034054600.9996</v>
      </c>
      <c r="AE27" s="9" t="n">
        <f aca="false">'Central scenario'!AE27</f>
        <v>747420.074418923</v>
      </c>
      <c r="AF27" s="9" t="n">
        <f aca="false">'Central scenario'!AF27</f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-0.00794379865216645</v>
      </c>
      <c r="AK27" s="68" t="n">
        <f aca="false">AK26+1</f>
        <v>2038</v>
      </c>
      <c r="AL27" s="69" t="n">
        <f aca="false">SUM(AB106:AB109)/AVERAGE(AG106:AG109)</f>
        <v>-0.0416637295890067</v>
      </c>
      <c r="AM27" s="9" t="n">
        <f aca="false">'Central scenario'!AM26</f>
        <v>4920541.96276278</v>
      </c>
      <c r="AN27" s="69" t="n">
        <f aca="false">AM27/AVERAGE(AG106:AG109)</f>
        <v>0.000716142263599668</v>
      </c>
      <c r="AO27" s="69" t="n">
        <f aca="false">'GDP evolution by scenario'!G105</f>
        <v>0.0172846362197101</v>
      </c>
      <c r="AP27" s="69"/>
      <c r="AQ27" s="9" t="n">
        <f aca="false">AQ26*(1+AO27)</f>
        <v>623936579.873575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345768847.771929</v>
      </c>
      <c r="AS27" s="70" t="n">
        <f aca="false">AQ27/AG109</f>
        <v>0.0909254085783543</v>
      </c>
      <c r="AT27" s="70" t="n">
        <f aca="false">AR27/AG109</f>
        <v>0.0503884124949043</v>
      </c>
      <c r="AU27" s="7"/>
      <c r="AV27" s="7"/>
      <c r="AW27" s="71" t="n">
        <f aca="false">workers_and_wage_low!C15</f>
        <v>11421402</v>
      </c>
      <c r="AX27" s="7"/>
      <c r="AY27" s="39" t="n">
        <f aca="false">(AW27-AW26)/AW26</f>
        <v>-0.0053104848742582</v>
      </c>
      <c r="AZ27" s="38" t="n">
        <f aca="false">workers_and_wage_low!B15</f>
        <v>6723.17180647536</v>
      </c>
      <c r="BA27" s="39" t="n">
        <f aca="false">(AZ27-AZ26)/AZ26</f>
        <v>-0.0125832510846942</v>
      </c>
      <c r="BB27" s="38" t="n">
        <f aca="false">'Central scenario'!BB27</f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0.0119915427299827</v>
      </c>
      <c r="BJ27" s="7" t="n">
        <f aca="false">BJ26+1</f>
        <v>2038</v>
      </c>
      <c r="BK27" s="39" t="n">
        <f aca="false">SUM(T106:T109)/AVERAGE(AG106:AG109)</f>
        <v>0.0416486135174936</v>
      </c>
      <c r="BL27" s="39" t="n">
        <f aca="false">SUM(P106:P109)/AVERAGE(AG106:AG109)</f>
        <v>0.0122582554443197</v>
      </c>
      <c r="BM27" s="39" t="n">
        <f aca="false">SUM(D106:D109)/AVERAGE(AG106:AG109)</f>
        <v>0.0710540876621805</v>
      </c>
      <c r="BN27" s="39" t="n">
        <f aca="false">(SUM(H106:H109)+SUM(J106:J109))/AVERAGE(AG106:AG109)</f>
        <v>0.0136343062486667</v>
      </c>
      <c r="BO27" s="69" t="n">
        <f aca="false">AL27-BN27</f>
        <v>-0.0552980358376733</v>
      </c>
      <c r="BP27" s="31" t="n">
        <f aca="false">BN27+BM27</f>
        <v>0.0846883939108472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84" t="n">
        <f aca="false">'Low pensions'!Q28</f>
        <v>99381764.8257625</v>
      </c>
      <c r="E28" s="9"/>
      <c r="F28" s="67" t="n">
        <f aca="false">'Low pensions'!I28</f>
        <v>18063812.1613948</v>
      </c>
      <c r="G28" s="84" t="n">
        <f aca="false">'Low pensions'!K28</f>
        <v>227995.709527446</v>
      </c>
      <c r="H28" s="84" t="n">
        <f aca="false">'Low pensions'!V28</f>
        <v>1254365.1242103</v>
      </c>
      <c r="I28" s="84" t="n">
        <f aca="false">'Low pensions'!M28</f>
        <v>7051.41369672603</v>
      </c>
      <c r="J28" s="84" t="n">
        <f aca="false">'Low pensions'!W28</f>
        <v>38794.7976559936</v>
      </c>
      <c r="K28" s="9"/>
      <c r="L28" s="84" t="n">
        <f aca="false">'Low pensions'!N28</f>
        <v>3308279.04526512</v>
      </c>
      <c r="M28" s="67"/>
      <c r="N28" s="84" t="n">
        <f aca="false">'Low pensions'!L28</f>
        <v>750904.137547776</v>
      </c>
      <c r="O28" s="9"/>
      <c r="P28" s="84" t="n">
        <f aca="false">'Low pensions'!X28</f>
        <v>21297928.7050268</v>
      </c>
      <c r="Q28" s="67"/>
      <c r="R28" s="84" t="n">
        <f aca="false">'Low SIPA income'!G23</f>
        <v>18222297.299294</v>
      </c>
      <c r="S28" s="67"/>
      <c r="T28" s="84" t="n">
        <f aca="false">'Low SIPA income'!J23</f>
        <v>69674533.0813354</v>
      </c>
      <c r="U28" s="9"/>
      <c r="V28" s="84" t="n">
        <f aca="false">'Low SIPA income'!F23</f>
        <v>112485.920454584</v>
      </c>
      <c r="W28" s="67"/>
      <c r="X28" s="84" t="n">
        <f aca="false">'Low SIPA income'!M23</f>
        <v>282532.201591161</v>
      </c>
      <c r="Y28" s="9"/>
      <c r="Z28" s="9" t="n">
        <f aca="false">R28+V28-N28-L28-F28</f>
        <v>-3788212.12445907</v>
      </c>
      <c r="AA28" s="9"/>
      <c r="AB28" s="9" t="n">
        <f aca="false">T28-P28-D28</f>
        <v>-51005160.4494539</v>
      </c>
      <c r="AC28" s="50"/>
      <c r="AD28" s="9" t="n">
        <f aca="false">'Central scenario'!AD28</f>
        <v>15118123646.8716</v>
      </c>
      <c r="AE28" s="9" t="n">
        <f aca="false">'Central scenario'!AE28</f>
        <v>696471.255793771</v>
      </c>
      <c r="AF28" s="9" t="n">
        <f aca="false">'Central scenario'!AF28</f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-0.010036730605358</v>
      </c>
      <c r="AK28" s="68" t="n">
        <f aca="false">AK27+1</f>
        <v>2039</v>
      </c>
      <c r="AL28" s="69" t="n">
        <f aca="false">SUM(AB110:AB113)/AVERAGE(AG110:AG113)</f>
        <v>-0.0417980365372397</v>
      </c>
      <c r="AM28" s="9" t="n">
        <f aca="false">'Central scenario'!AM27</f>
        <v>4379286.21321994</v>
      </c>
      <c r="AN28" s="69" t="n">
        <f aca="false">AM28/AVERAGE(AG110:AG113)</f>
        <v>0.00063405839417533</v>
      </c>
      <c r="AO28" s="69" t="n">
        <f aca="false">'GDP evolution by scenario'!G109</f>
        <v>0.0240553980782583</v>
      </c>
      <c r="AP28" s="69"/>
      <c r="AQ28" s="9" t="n">
        <f aca="false">AQ27*(1+AO28)</f>
        <v>638945622.678021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349659092.719257</v>
      </c>
      <c r="AS28" s="70" t="n">
        <f aca="false">AQ28/AG113</f>
        <v>0.092063653331352</v>
      </c>
      <c r="AT28" s="70" t="n">
        <f aca="false">AR28/AG113</f>
        <v>0.0503812724490367</v>
      </c>
      <c r="AU28" s="9"/>
      <c r="AV28" s="7"/>
      <c r="AW28" s="71" t="n">
        <f aca="false">workers_and_wage_low!C16</f>
        <v>11521980</v>
      </c>
      <c r="AX28" s="7"/>
      <c r="AY28" s="39" t="n">
        <f aca="false">(AW28-AW27)/AW27</f>
        <v>0.00880609928623474</v>
      </c>
      <c r="AZ28" s="38" t="n">
        <f aca="false">workers_and_wage_low!B16</f>
        <v>6342.54075613813</v>
      </c>
      <c r="BA28" s="39" t="n">
        <f aca="false">(AZ28-AZ27)/AZ27</f>
        <v>-0.0566148034430162</v>
      </c>
      <c r="BB28" s="38" t="n">
        <f aca="false">'Central scenario'!BB28</f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0.0142038577517068</v>
      </c>
      <c r="BJ28" s="7" t="n">
        <f aca="false">BJ27+1</f>
        <v>2039</v>
      </c>
      <c r="BK28" s="39" t="n">
        <f aca="false">SUM(T110:T113)/AVERAGE(AG110:AG113)</f>
        <v>0.0414404039317295</v>
      </c>
      <c r="BL28" s="39" t="n">
        <f aca="false">SUM(P110:P113)/AVERAGE(AG110:AG113)</f>
        <v>0.0120966714992856</v>
      </c>
      <c r="BM28" s="39" t="n">
        <f aca="false">SUM(D110:D113)/AVERAGE(AG110:AG113)</f>
        <v>0.0711417689696837</v>
      </c>
      <c r="BN28" s="39" t="n">
        <f aca="false">(SUM(H110:H113)+SUM(J110:J113))/AVERAGE(AG110:AG113)</f>
        <v>0.0144415863075022</v>
      </c>
      <c r="BO28" s="69" t="n">
        <f aca="false">AL28-BN28</f>
        <v>-0.0562396228447419</v>
      </c>
      <c r="BP28" s="31" t="n">
        <f aca="false">BN28+BM28</f>
        <v>0.0855833552771859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84" t="n">
        <f aca="false">'Low pensions'!Q29</f>
        <v>91120780.3628844</v>
      </c>
      <c r="E29" s="9"/>
      <c r="F29" s="67" t="n">
        <f aca="false">'Low pensions'!I29</f>
        <v>16562280.4481347</v>
      </c>
      <c r="G29" s="84" t="n">
        <f aca="false">'Low pensions'!K29</f>
        <v>233179.582375956</v>
      </c>
      <c r="H29" s="84" t="n">
        <f aca="false">'Low pensions'!V29</f>
        <v>1282885.26313304</v>
      </c>
      <c r="I29" s="84" t="n">
        <f aca="false">'Low pensions'!M29</f>
        <v>7211.73966111301</v>
      </c>
      <c r="J29" s="84" t="n">
        <f aca="false">'Low pensions'!W29</f>
        <v>39676.8638082438</v>
      </c>
      <c r="K29" s="9"/>
      <c r="L29" s="84" t="n">
        <f aca="false">'Low pensions'!N29</f>
        <v>3051396.7057971</v>
      </c>
      <c r="M29" s="67"/>
      <c r="N29" s="84" t="n">
        <f aca="false">'Low pensions'!L29</f>
        <v>686795.876935089</v>
      </c>
      <c r="O29" s="9"/>
      <c r="P29" s="84" t="n">
        <f aca="false">'Low pensions'!X29</f>
        <v>19612260.2894638</v>
      </c>
      <c r="Q29" s="67"/>
      <c r="R29" s="84" t="n">
        <f aca="false">'Low SIPA income'!G24</f>
        <v>19865812.1980342</v>
      </c>
      <c r="S29" s="67"/>
      <c r="T29" s="84" t="n">
        <f aca="false">'Low SIPA income'!J24</f>
        <v>75958654.7428988</v>
      </c>
      <c r="U29" s="9"/>
      <c r="V29" s="84" t="n">
        <f aca="false">'Low SIPA income'!F24</f>
        <v>112102.826524005</v>
      </c>
      <c r="W29" s="67"/>
      <c r="X29" s="84" t="n">
        <f aca="false">'Low SIPA income'!M24</f>
        <v>281569.980086591</v>
      </c>
      <c r="Y29" s="9"/>
      <c r="Z29" s="9" t="n">
        <f aca="false">R29+V29-N29-L29-F29</f>
        <v>-322558.006308731</v>
      </c>
      <c r="AA29" s="9"/>
      <c r="AB29" s="9" t="n">
        <f aca="false">T29-P29-D29</f>
        <v>-34774385.9094494</v>
      </c>
      <c r="AC29" s="50"/>
      <c r="AD29" s="9" t="n">
        <f aca="false">'Central scenario'!AD29</f>
        <v>16779533858.6913</v>
      </c>
      <c r="AE29" s="9" t="n">
        <f aca="false">'Central scenario'!AE29</f>
        <v>679899.611209872</v>
      </c>
      <c r="AF29" s="9" t="n">
        <f aca="false">'Central scenario'!AF29</f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-0.00700964498921427</v>
      </c>
      <c r="AK29" s="68" t="n">
        <f aca="false">AK28+1</f>
        <v>2040</v>
      </c>
      <c r="AL29" s="69" t="n">
        <f aca="false">SUM(AB114:AB117)/AVERAGE(AG114:AG117)</f>
        <v>-0.0414898329683462</v>
      </c>
      <c r="AM29" s="9" t="n">
        <f aca="false">'Central scenario'!AM28</f>
        <v>3887732.69163583</v>
      </c>
      <c r="AN29" s="69" t="n">
        <f aca="false">AM29/AVERAGE(AG114:AG117)</f>
        <v>0.000558804939036896</v>
      </c>
      <c r="AO29" s="69" t="n">
        <f aca="false">'GDP evolution by scenario'!G113</f>
        <v>0.0146219403232377</v>
      </c>
      <c r="AP29" s="69"/>
      <c r="AQ29" s="9" t="n">
        <f aca="false">AQ28*(1+AO29)</f>
        <v>648288247.442613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350858068.196114</v>
      </c>
      <c r="AS29" s="70" t="n">
        <f aca="false">AQ29/AG117</f>
        <v>0.0933704896413763</v>
      </c>
      <c r="AT29" s="70" t="n">
        <f aca="false">AR29/AG117</f>
        <v>0.0505327526009153</v>
      </c>
      <c r="AV29" s="7"/>
      <c r="AW29" s="71" t="n">
        <f aca="false">workers_and_wage_low!C17</f>
        <v>11538154</v>
      </c>
      <c r="AX29" s="7"/>
      <c r="AY29" s="39" t="n">
        <f aca="false">(AW29-AW28)/AW28</f>
        <v>0.00140375178571739</v>
      </c>
      <c r="AZ29" s="38" t="n">
        <f aca="false">workers_and_wage_low!B17</f>
        <v>6004.7550431554</v>
      </c>
      <c r="BA29" s="39" t="n">
        <f aca="false">(AZ29-AZ28)/AZ28</f>
        <v>-0.0532571608082818</v>
      </c>
      <c r="BB29" s="38" t="n">
        <f aca="false">'Central scenario'!BB29</f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0.0117622702288329</v>
      </c>
      <c r="BJ29" s="7" t="n">
        <f aca="false">BJ28+1</f>
        <v>2040</v>
      </c>
      <c r="BK29" s="39" t="n">
        <f aca="false">SUM(T114:T117)/AVERAGE(AG114:AG117)</f>
        <v>0.041365457358725</v>
      </c>
      <c r="BL29" s="39" t="n">
        <f aca="false">SUM(P114:P117)/AVERAGE(AG114:AG117)</f>
        <v>0.0119734199498266</v>
      </c>
      <c r="BM29" s="39" t="n">
        <f aca="false">SUM(D114:D117)/AVERAGE(AG114:AG117)</f>
        <v>0.0708818703772446</v>
      </c>
      <c r="BN29" s="39" t="n">
        <f aca="false">(SUM(H114:H117)+SUM(J114:J117))/AVERAGE(AG114:AG117)</f>
        <v>0.0153619020204168</v>
      </c>
      <c r="BO29" s="69" t="n">
        <f aca="false">AL29-BN29</f>
        <v>-0.056851734988763</v>
      </c>
      <c r="BP29" s="31" t="n">
        <f aca="false">BN29+BM29</f>
        <v>0.0862437723976615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3" t="n">
        <f aca="false">'Low pensions'!Q30</f>
        <v>90608611.3271754</v>
      </c>
      <c r="E30" s="6"/>
      <c r="F30" s="8" t="n">
        <f aca="false">'Low pensions'!I30</f>
        <v>16469187.6632345</v>
      </c>
      <c r="G30" s="83" t="n">
        <f aca="false">'Low pensions'!K30</f>
        <v>189879.95484708</v>
      </c>
      <c r="H30" s="83" t="n">
        <f aca="false">'Low pensions'!V30</f>
        <v>1044663.48792468</v>
      </c>
      <c r="I30" s="83" t="n">
        <f aca="false">'Low pensions'!M30</f>
        <v>5872.575923105</v>
      </c>
      <c r="J30" s="83" t="n">
        <f aca="false">'Low pensions'!W30</f>
        <v>32309.1800389045</v>
      </c>
      <c r="K30" s="6"/>
      <c r="L30" s="83" t="n">
        <f aca="false">'Low pensions'!N30</f>
        <v>3574517.52676076</v>
      </c>
      <c r="M30" s="8"/>
      <c r="N30" s="83" t="n">
        <f aca="false">'Low pensions'!L30</f>
        <v>683418.499914097</v>
      </c>
      <c r="O30" s="6"/>
      <c r="P30" s="83" t="n">
        <f aca="false">'Low pensions'!X30</f>
        <v>22308155.3843738</v>
      </c>
      <c r="Q30" s="8"/>
      <c r="R30" s="83" t="n">
        <f aca="false">'Low SIPA income'!G25</f>
        <v>15679466.1228721</v>
      </c>
      <c r="S30" s="8"/>
      <c r="T30" s="83" t="n">
        <f aca="false">'Low SIPA income'!J25</f>
        <v>59951797.6867856</v>
      </c>
      <c r="U30" s="6"/>
      <c r="V30" s="83" t="n">
        <f aca="false">'Low SIPA income'!F25</f>
        <v>110988.074669527</v>
      </c>
      <c r="W30" s="8"/>
      <c r="X30" s="83" t="n">
        <f aca="false">'Low SIPA income'!M25</f>
        <v>278770.04482002</v>
      </c>
      <c r="Y30" s="6"/>
      <c r="Z30" s="6" t="n">
        <f aca="false">R30+V30-N30-L30-F30</f>
        <v>-4936669.49236772</v>
      </c>
      <c r="AA30" s="6"/>
      <c r="AB30" s="6" t="n">
        <f aca="false">T30-P30-D30</f>
        <v>-52964969.0247637</v>
      </c>
      <c r="AC30" s="50"/>
      <c r="AD30" s="6" t="n">
        <f aca="false">'Central scenario'!AD30</f>
        <v>17412113021.4212</v>
      </c>
      <c r="AE30" s="6" t="n">
        <f aca="false">'Central scenario'!AE30</f>
        <v>665471.48418794</v>
      </c>
      <c r="AF30" s="6" t="n">
        <f aca="false">'Central scenario'!AF30</f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-0.010907886713618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-0.395776029621304</v>
      </c>
      <c r="AS30" s="5"/>
      <c r="AT30" s="5"/>
      <c r="AU30" s="61" t="n">
        <f aca="false">AVERAGE(AH30:AH33)</f>
        <v>0.000245472675791324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-0.00334645819646961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0.0129963217211951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4" t="n">
        <f aca="false">'Low pensions'!Q31</f>
        <v>91482958.2975086</v>
      </c>
      <c r="E31" s="9"/>
      <c r="F31" s="67" t="n">
        <f aca="false">'Low pensions'!I31</f>
        <v>16628110.5749344</v>
      </c>
      <c r="G31" s="84" t="n">
        <f aca="false">'Low pensions'!K31</f>
        <v>194832.254670393</v>
      </c>
      <c r="H31" s="84" t="n">
        <f aca="false">'Low pensions'!V31</f>
        <v>1071909.58038788</v>
      </c>
      <c r="I31" s="84" t="n">
        <f aca="false">'Low pensions'!M31</f>
        <v>6025.73983516599</v>
      </c>
      <c r="J31" s="84" t="n">
        <f aca="false">'Low pensions'!W31</f>
        <v>33151.8426924041</v>
      </c>
      <c r="K31" s="9"/>
      <c r="L31" s="84" t="n">
        <f aca="false">'Low pensions'!N31</f>
        <v>3250287.77850783</v>
      </c>
      <c r="M31" s="67"/>
      <c r="N31" s="84" t="n">
        <f aca="false">'Low pensions'!L31</f>
        <v>691075.304259833</v>
      </c>
      <c r="O31" s="9"/>
      <c r="P31" s="84" t="n">
        <f aca="false">'Low pensions'!X31</f>
        <v>20667851.1577537</v>
      </c>
      <c r="Q31" s="67"/>
      <c r="R31" s="84" t="n">
        <f aca="false">'Low SIPA income'!G26</f>
        <v>18596957.6691172</v>
      </c>
      <c r="S31" s="67"/>
      <c r="T31" s="84" t="n">
        <f aca="false">'Low SIPA income'!J26</f>
        <v>71107079.4778058</v>
      </c>
      <c r="U31" s="9"/>
      <c r="V31" s="84" t="n">
        <f aca="false">'Low SIPA income'!F26</f>
        <v>107486.273713936</v>
      </c>
      <c r="W31" s="67"/>
      <c r="X31" s="84" t="n">
        <f aca="false">'Low SIPA income'!M26</f>
        <v>269974.530416805</v>
      </c>
      <c r="Y31" s="9"/>
      <c r="Z31" s="9" t="n">
        <f aca="false">R31+V31-N31-L31-F31</f>
        <v>-1865029.71487089</v>
      </c>
      <c r="AA31" s="9"/>
      <c r="AB31" s="9" t="n">
        <f aca="false">T31-P31-D31</f>
        <v>-41043729.9774565</v>
      </c>
      <c r="AC31" s="50"/>
      <c r="AD31" s="9" t="n">
        <f aca="false">'Central scenario'!AD31</f>
        <v>20909685152.7339</v>
      </c>
      <c r="AE31" s="9" t="n">
        <f aca="false">'Central scenario'!AE31</f>
        <v>750203.91624212</v>
      </c>
      <c r="AF31" s="9" t="n">
        <f aca="false">'Central scenario'!AF31</f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-0.00749805879359964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39" t="n">
        <f aca="false">(AW31-AW30)/AW30</f>
        <v>0.00305701556694148</v>
      </c>
      <c r="AZ31" s="38" t="n">
        <f aca="false">workers_and_wage_low!B19</f>
        <v>5961.57826280046</v>
      </c>
      <c r="BA31" s="39" t="n">
        <f aca="false">(AZ31-AZ30)/AZ30</f>
        <v>-0.00385688028256842</v>
      </c>
      <c r="BB31" s="38" t="n">
        <f aca="false">'Central scenario'!BB31</f>
        <v>42.7303296573139</v>
      </c>
      <c r="BC31" s="38" t="n">
        <f aca="false">'Central scenario'!BC31</f>
        <v>11.8941748394379</v>
      </c>
      <c r="BD31" s="12" t="n">
        <f aca="false">BB31+BC31/2</f>
        <v>48.6774170770329</v>
      </c>
      <c r="BE31" s="39" t="n">
        <f aca="false">BD31/BD30-1</f>
        <v>-0.116243880260073</v>
      </c>
      <c r="BF31" s="7"/>
      <c r="BG31" s="7"/>
      <c r="BH31" s="7"/>
      <c r="BI31" s="39" t="n">
        <f aca="false">T38/AG38</f>
        <v>0.010548798845827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32445441.3910425</v>
      </c>
      <c r="D32" s="84" t="n">
        <f aca="false">'Low pensions'!Q32</f>
        <v>93546837.9191072</v>
      </c>
      <c r="E32" s="9"/>
      <c r="F32" s="67" t="n">
        <f aca="false">'Low pensions'!I32</f>
        <v>17003245.1267674</v>
      </c>
      <c r="G32" s="84" t="n">
        <f aca="false">'Low pensions'!K32</f>
        <v>186101.284892964</v>
      </c>
      <c r="H32" s="84" t="n">
        <f aca="false">'Low pensions'!V32</f>
        <v>1023874.36072501</v>
      </c>
      <c r="I32" s="84" t="n">
        <f aca="false">'Low pensions'!M32</f>
        <v>5755.70984205001</v>
      </c>
      <c r="J32" s="84" t="n">
        <f aca="false">'Low pensions'!W32</f>
        <v>31666.2173420084</v>
      </c>
      <c r="K32" s="9"/>
      <c r="L32" s="84" t="n">
        <f aca="false">'Low pensions'!N32</f>
        <v>3177620.63583763</v>
      </c>
      <c r="M32" s="67"/>
      <c r="N32" s="84" t="n">
        <f aca="false">'Low pensions'!L32</f>
        <v>708145.57868465</v>
      </c>
      <c r="O32" s="9"/>
      <c r="P32" s="84" t="n">
        <f aca="false">'Low pensions'!X32</f>
        <v>20384696.6223331</v>
      </c>
      <c r="Q32" s="67"/>
      <c r="R32" s="84" t="n">
        <f aca="false">'Low SIPA income'!G27</f>
        <v>15765699.3961221</v>
      </c>
      <c r="S32" s="67"/>
      <c r="T32" s="84" t="n">
        <f aca="false">'Low SIPA income'!J27</f>
        <v>60281518.0810413</v>
      </c>
      <c r="U32" s="9"/>
      <c r="V32" s="84" t="n">
        <f aca="false">'Low SIPA income'!F27</f>
        <v>109352.321436835</v>
      </c>
      <c r="W32" s="67"/>
      <c r="X32" s="84" t="n">
        <f aca="false">'Low SIPA income'!M27</f>
        <v>274661.504300241</v>
      </c>
      <c r="Y32" s="9"/>
      <c r="Z32" s="9" t="n">
        <f aca="false">R32+V32-N32-L32-F32</f>
        <v>-5013959.62373076</v>
      </c>
      <c r="AA32" s="9"/>
      <c r="AB32" s="9" t="n">
        <f aca="false">T32-P32-D32</f>
        <v>-53650016.4603991</v>
      </c>
      <c r="AC32" s="50"/>
      <c r="AD32" s="9" t="n">
        <f aca="false">'Central scenario'!AD32</f>
        <v>22287255273.2248</v>
      </c>
      <c r="AE32" s="9" t="n">
        <f aca="false">'Central scenario'!AE32</f>
        <v>683792.557917349</v>
      </c>
      <c r="AF32" s="9" t="n">
        <f aca="false">'Central scenario'!AF32</f>
        <v>397.614228233701</v>
      </c>
      <c r="AG32" s="9" t="n">
        <f aca="false">AE32/$AE$6*$AD$6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-0.0107529304395965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39" t="n">
        <f aca="false">(AW32-AW31)/AW31</f>
        <v>0.00555201736587601</v>
      </c>
      <c r="AZ32" s="38" t="n">
        <f aca="false">workers_and_wage_low!B20</f>
        <v>5872.63427761974</v>
      </c>
      <c r="BA32" s="39" t="n">
        <f aca="false">(AZ32-AZ31)/AZ31</f>
        <v>-0.0149195366159529</v>
      </c>
      <c r="BB32" s="38" t="n">
        <f aca="false">'Central scenario'!BB32</f>
        <v>45.1393247714544</v>
      </c>
      <c r="BC32" s="38" t="n">
        <f aca="false">'Central scenario'!BC32</f>
        <v>12.7247318118192</v>
      </c>
      <c r="BD32" s="12" t="n">
        <f aca="false">BB32+BC32/2</f>
        <v>51.501690677364</v>
      </c>
      <c r="BE32" s="39" t="n">
        <f aca="false">BD32/BD31-1</f>
        <v>0.0580202025892558</v>
      </c>
      <c r="BF32" s="7"/>
      <c r="BG32" s="7"/>
      <c r="BH32" s="7"/>
      <c r="BI32" s="39" t="n">
        <f aca="false">T39/AG39</f>
        <v>0.0112313943539545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4" t="n">
        <f aca="false">'Low pensions'!Q33</f>
        <v>92321457.286884</v>
      </c>
      <c r="E33" s="9"/>
      <c r="F33" s="67" t="n">
        <f aca="false">'Low pensions'!I33</f>
        <v>16780517.6917546</v>
      </c>
      <c r="G33" s="84" t="n">
        <f aca="false">'Low pensions'!K33</f>
        <v>200464.877487003</v>
      </c>
      <c r="H33" s="84" t="n">
        <f aca="false">'Low pensions'!V33</f>
        <v>1102898.60923246</v>
      </c>
      <c r="I33" s="84" t="n">
        <f aca="false">'Low pensions'!M33</f>
        <v>6199.94466454702</v>
      </c>
      <c r="J33" s="84" t="n">
        <f aca="false">'Low pensions'!W33</f>
        <v>34110.2662649243</v>
      </c>
      <c r="K33" s="9"/>
      <c r="L33" s="84" t="n">
        <f aca="false">'Low pensions'!N33</f>
        <v>3280777.27976349</v>
      </c>
      <c r="M33" s="67"/>
      <c r="N33" s="84" t="n">
        <f aca="false">'Low pensions'!L33</f>
        <v>699939.784922957</v>
      </c>
      <c r="O33" s="9"/>
      <c r="P33" s="84" t="n">
        <f aca="false">'Low pensions'!X33</f>
        <v>20874831.0818742</v>
      </c>
      <c r="Q33" s="67"/>
      <c r="R33" s="84" t="n">
        <f aca="false">'Low SIPA income'!G28</f>
        <v>17909534.3187576</v>
      </c>
      <c r="S33" s="67"/>
      <c r="T33" s="84" t="n">
        <f aca="false">'Low SIPA income'!J28</f>
        <v>68478656.7175552</v>
      </c>
      <c r="U33" s="9"/>
      <c r="V33" s="84" t="n">
        <f aca="false">'Low SIPA income'!F28</f>
        <v>109843.876246888</v>
      </c>
      <c r="W33" s="67"/>
      <c r="X33" s="84" t="n">
        <f aca="false">'Low SIPA income'!M28</f>
        <v>275896.14826391</v>
      </c>
      <c r="Y33" s="9"/>
      <c r="Z33" s="9" t="n">
        <f aca="false">R33+V33-N33-L33-F33</f>
        <v>-2741856.56143657</v>
      </c>
      <c r="AA33" s="9"/>
      <c r="AB33" s="9" t="n">
        <f aca="false">T33-P33-D33</f>
        <v>-44717631.651203</v>
      </c>
      <c r="AC33" s="50"/>
      <c r="AD33" s="9" t="n">
        <f aca="false">'Central scenario'!AD33</f>
        <v>25179945991.8152</v>
      </c>
      <c r="AE33" s="9" t="n">
        <f aca="false">'Central scenario'!AE33</f>
        <v>672441.840786771</v>
      </c>
      <c r="AF33" s="9" t="n">
        <f aca="false">'Central scenario'!AF33</f>
        <v>0</v>
      </c>
      <c r="AG33" s="9" t="n">
        <f aca="false">AE33/$AE$6*$AD$6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-0.00911392420614888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39" t="n">
        <f aca="false">(AW33-AW32)/AW32</f>
        <v>0.00902491478325851</v>
      </c>
      <c r="AZ33" s="38" t="n">
        <f aca="false">workers_and_wage_low!B21</f>
        <v>5678.62785050715</v>
      </c>
      <c r="BA33" s="39" t="n">
        <f aca="false">(AZ33-AZ32)/AZ32</f>
        <v>-0.0330356732500672</v>
      </c>
      <c r="BB33" s="38" t="n">
        <f aca="false">'Central scenario'!BB33</f>
        <v>45.6642623283349</v>
      </c>
      <c r="BC33" s="38" t="n">
        <f aca="false">'Central scenario'!BC33</f>
        <v>13.3006153702016</v>
      </c>
      <c r="BD33" s="12" t="n">
        <f aca="false">BB33+BC33/2</f>
        <v>52.3145700134357</v>
      </c>
      <c r="BE33" s="39" t="n">
        <f aca="false">BD33/BD32-1</f>
        <v>0.0157835466249845</v>
      </c>
      <c r="BF33" s="7"/>
      <c r="BG33" s="73" t="n">
        <f aca="false">(BB33-BB29)/BB29</f>
        <v>-0.0313646626871588</v>
      </c>
      <c r="BH33" s="7"/>
      <c r="BI33" s="39" t="n">
        <f aca="false">T40/AG40</f>
        <v>0.0105162350423154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3" t="n">
        <f aca="false">'Low pensions'!Q34</f>
        <v>94433981.2606304</v>
      </c>
      <c r="E34" s="6"/>
      <c r="F34" s="8" t="n">
        <f aca="false">'Low pensions'!I34</f>
        <v>17164493.9304046</v>
      </c>
      <c r="G34" s="83" t="n">
        <f aca="false">'Low pensions'!K34</f>
        <v>226619.266133882</v>
      </c>
      <c r="H34" s="83" t="n">
        <f aca="false">'Low pensions'!V34</f>
        <v>1246792.33877537</v>
      </c>
      <c r="I34" s="83" t="n">
        <f aca="false">'Low pensions'!M34</f>
        <v>7008.843282491</v>
      </c>
      <c r="J34" s="83" t="n">
        <f aca="false">'Low pensions'!W34</f>
        <v>38560.5877971753</v>
      </c>
      <c r="K34" s="6"/>
      <c r="L34" s="83" t="n">
        <f aca="false">'Low pensions'!N34</f>
        <v>3554860.42429641</v>
      </c>
      <c r="M34" s="8"/>
      <c r="N34" s="83" t="n">
        <f aca="false">'Low pensions'!L34</f>
        <v>716480.78359241</v>
      </c>
      <c r="O34" s="6"/>
      <c r="P34" s="83" t="n">
        <f aca="false">'Low pensions'!X34</f>
        <v>22388053.5160877</v>
      </c>
      <c r="Q34" s="8"/>
      <c r="R34" s="83" t="n">
        <f aca="false">'Low SIPA income'!G29</f>
        <v>14402847.4690123</v>
      </c>
      <c r="S34" s="8"/>
      <c r="T34" s="83" t="n">
        <f aca="false">'Low SIPA income'!J29</f>
        <v>55070535.6170435</v>
      </c>
      <c r="U34" s="6"/>
      <c r="V34" s="83" t="n">
        <f aca="false">'Low SIPA income'!F29</f>
        <v>112540.809885867</v>
      </c>
      <c r="W34" s="8"/>
      <c r="X34" s="83" t="n">
        <f aca="false">'Low SIPA income'!M29</f>
        <v>282670.068017481</v>
      </c>
      <c r="Y34" s="6"/>
      <c r="Z34" s="6" t="n">
        <f aca="false">R34+V34-N34-L34-F34</f>
        <v>-6920446.85939528</v>
      </c>
      <c r="AA34" s="6"/>
      <c r="AB34" s="6" t="n">
        <f aca="false">T34-P34-D34</f>
        <v>-61751499.1596746</v>
      </c>
      <c r="AC34" s="50"/>
      <c r="AD34" s="6" t="n">
        <f aca="false">'Central scenario'!AD34</f>
        <v>25352324788.3927</v>
      </c>
      <c r="AE34" s="6" t="n">
        <f aca="false">'Central scenario'!AE34</f>
        <v>629398.332210602</v>
      </c>
      <c r="AF34" s="6" t="n">
        <f aca="false">'Central scenario'!AF34</f>
        <v>0</v>
      </c>
      <c r="AG34" s="6" t="n">
        <f aca="false">AE34/$AE$6*$AD$6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-0.0134463144859001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-0.0159968066605545</v>
      </c>
      <c r="AV34" s="5"/>
      <c r="AW34" s="65" t="n">
        <f aca="false">workers_and_wage_low!C22</f>
        <v>11604238</v>
      </c>
      <c r="AX34" s="5"/>
      <c r="AY34" s="61" t="n">
        <f aca="false">(AW34-AW33)/AW33</f>
        <v>-0.00438801576816616</v>
      </c>
      <c r="AZ34" s="66" t="n">
        <f aca="false">workers_and_wage_low!B22</f>
        <v>5912.17402586897</v>
      </c>
      <c r="BA34" s="61" t="n">
        <f aca="false">(AZ34-AZ33)/AZ33</f>
        <v>0.0411272197280832</v>
      </c>
      <c r="BB34" s="11" t="n">
        <f aca="false">BB33*3/4+BB37*1/4</f>
        <v>45.7481967462512</v>
      </c>
      <c r="BC34" s="11" t="n">
        <f aca="false">$BC$33</f>
        <v>13.3006153702016</v>
      </c>
      <c r="BD34" s="11" t="n">
        <f aca="false">BB34+BC34/2</f>
        <v>52.398504431352</v>
      </c>
      <c r="BE34" s="61" t="n">
        <f aca="false">BD34/BD33-1</f>
        <v>0.00160441762007646</v>
      </c>
      <c r="BF34" s="5"/>
      <c r="BG34" s="5"/>
      <c r="BH34" s="5"/>
      <c r="BI34" s="61" t="n">
        <f aca="false">T41/AG41</f>
        <v>0.012540564913918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4" t="n">
        <f aca="false">'Low pensions'!Q35</f>
        <v>96531608.4337912</v>
      </c>
      <c r="E35" s="9"/>
      <c r="F35" s="67" t="n">
        <f aca="false">'Low pensions'!I35</f>
        <v>17545762.4992114</v>
      </c>
      <c r="G35" s="84" t="n">
        <f aca="false">'Low pensions'!K35</f>
        <v>263315.385936355</v>
      </c>
      <c r="H35" s="84" t="n">
        <f aca="false">'Low pensions'!V35</f>
        <v>1448683.56282283</v>
      </c>
      <c r="I35" s="84" t="n">
        <f aca="false">'Low pensions'!M35</f>
        <v>8143.77482277399</v>
      </c>
      <c r="J35" s="84" t="n">
        <f aca="false">'Low pensions'!W35</f>
        <v>44804.6462728717</v>
      </c>
      <c r="K35" s="9"/>
      <c r="L35" s="84" t="n">
        <f aca="false">'Low pensions'!N35</f>
        <v>3100866.18553922</v>
      </c>
      <c r="M35" s="67"/>
      <c r="N35" s="84" t="n">
        <f aca="false">'Low pensions'!L35</f>
        <v>733942.629617125</v>
      </c>
      <c r="O35" s="9"/>
      <c r="P35" s="84" t="n">
        <f aca="false">'Low pensions'!X35</f>
        <v>20128345.1777293</v>
      </c>
      <c r="Q35" s="67"/>
      <c r="R35" s="84" t="n">
        <f aca="false">'Low SIPA income'!G30</f>
        <v>16194215.5839686</v>
      </c>
      <c r="S35" s="67"/>
      <c r="T35" s="84" t="n">
        <f aca="false">'Low SIPA income'!J30</f>
        <v>61919986.8654986</v>
      </c>
      <c r="U35" s="9"/>
      <c r="V35" s="84" t="n">
        <f aca="false">'Low SIPA income'!F30</f>
        <v>102181.756346345</v>
      </c>
      <c r="W35" s="67"/>
      <c r="X35" s="84" t="n">
        <f aca="false">'Low SIPA income'!M30</f>
        <v>256651.11212421</v>
      </c>
      <c r="Y35" s="9"/>
      <c r="Z35" s="9" t="n">
        <f aca="false">R35+V35-N35-L35-F35</f>
        <v>-5084173.97405289</v>
      </c>
      <c r="AA35" s="9"/>
      <c r="AB35" s="9" t="n">
        <f aca="false">T35-P35-D35</f>
        <v>-54739966.7460219</v>
      </c>
      <c r="AC35" s="50"/>
      <c r="AD35" s="9"/>
      <c r="AE35" s="9"/>
      <c r="AF35" s="9"/>
      <c r="AG35" s="9" t="n">
        <f aca="false">AG34*'Pessimist macro hypothesis'!B17/'Pessimist macro hypothesis'!B16</f>
        <v>4359378131.4839</v>
      </c>
      <c r="AH35" s="39" t="n">
        <f aca="false">(AG35-AG34)/AG34</f>
        <v>-0.0507506681365387</v>
      </c>
      <c r="AI35" s="39"/>
      <c r="AJ35" s="39" t="n">
        <f aca="false">AB35/AG35</f>
        <v>-0.0125568292299959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11086969</v>
      </c>
      <c r="AX35" s="7"/>
      <c r="AY35" s="39" t="n">
        <f aca="false">(AW35-AW34)/AW34</f>
        <v>-0.044575869609017</v>
      </c>
      <c r="AZ35" s="38" t="n">
        <f aca="false">workers_and_wage_low!B23</f>
        <v>5803.64800906552</v>
      </c>
      <c r="BA35" s="39" t="n">
        <f aca="false">(AZ35-AZ34)/AZ34</f>
        <v>-0.0183563637214652</v>
      </c>
      <c r="BB35" s="12" t="n">
        <f aca="false">BB33*2/4+BB37*2/4</f>
        <v>45.8321311641675</v>
      </c>
      <c r="BC35" s="12" t="n">
        <f aca="false">$BC$33</f>
        <v>13.3006153702016</v>
      </c>
      <c r="BD35" s="12" t="n">
        <f aca="false">BB35+BC35/2</f>
        <v>52.4824388492683</v>
      </c>
      <c r="BE35" s="39" t="n">
        <f aca="false">BD35/BD34-1</f>
        <v>0.00160184758758208</v>
      </c>
      <c r="BF35" s="7"/>
      <c r="BG35" s="7" t="e">
        <f aca="false">AVERAGE(BF34:BF37)</f>
        <v>#DIV/0!</v>
      </c>
      <c r="BH35" s="7"/>
      <c r="BI35" s="39" t="n">
        <f aca="false">T42/AG42</f>
        <v>0.0100659970014455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4" t="n">
        <f aca="false">'Low pensions'!Q36</f>
        <v>101777031.938372</v>
      </c>
      <c r="E36" s="9"/>
      <c r="F36" s="67" t="n">
        <f aca="false">'Low pensions'!I36</f>
        <v>18499180.3124272</v>
      </c>
      <c r="G36" s="84" t="n">
        <f aca="false">'Low pensions'!K36</f>
        <v>286188.46353907</v>
      </c>
      <c r="H36" s="84" t="n">
        <f aca="false">'Low pensions'!V36</f>
        <v>1574524.48714403</v>
      </c>
      <c r="I36" s="84" t="n">
        <f aca="false">'Low pensions'!M36</f>
        <v>8851.18959399202</v>
      </c>
      <c r="J36" s="84" t="n">
        <f aca="false">'Low pensions'!W36</f>
        <v>48696.6336230121</v>
      </c>
      <c r="K36" s="9"/>
      <c r="L36" s="84" t="n">
        <f aca="false">'Low pensions'!N36</f>
        <v>3353615.65956386</v>
      </c>
      <c r="M36" s="67"/>
      <c r="N36" s="84" t="n">
        <f aca="false">'Low pensions'!L36</f>
        <v>776226.042241808</v>
      </c>
      <c r="O36" s="9"/>
      <c r="P36" s="84" t="n">
        <f aca="false">'Low pensions'!X36</f>
        <v>21672494.260601</v>
      </c>
      <c r="Q36" s="67"/>
      <c r="R36" s="84" t="n">
        <f aca="false">'Low SIPA income'!G31</f>
        <v>13466866.2371812</v>
      </c>
      <c r="S36" s="67"/>
      <c r="T36" s="84" t="n">
        <f aca="false">'Low SIPA income'!J31</f>
        <v>51491730.2540526</v>
      </c>
      <c r="U36" s="9"/>
      <c r="V36" s="84" t="n">
        <f aca="false">'Low SIPA income'!F31</f>
        <v>88981.6946221935</v>
      </c>
      <c r="W36" s="67"/>
      <c r="X36" s="84" t="n">
        <f aca="false">'Low SIPA income'!M31</f>
        <v>223496.362756537</v>
      </c>
      <c r="Y36" s="9"/>
      <c r="Z36" s="9" t="n">
        <f aca="false">R36+V36-N36-L36-F36</f>
        <v>-9073174.08242954</v>
      </c>
      <c r="AA36" s="9"/>
      <c r="AB36" s="9" t="n">
        <f aca="false">T36-P36-D36</f>
        <v>-71957795.9449199</v>
      </c>
      <c r="AC36" s="50"/>
      <c r="AD36" s="9"/>
      <c r="AE36" s="9"/>
      <c r="AF36" s="9"/>
      <c r="AG36" s="9" t="n">
        <f aca="false">AG35*'Pessimist macro hypothesis'!B18/'Pessimist macro hypothesis'!B17</f>
        <v>4377703389.93153</v>
      </c>
      <c r="AH36" s="39" t="n">
        <f aca="false">(AG36-AG35)/AG35</f>
        <v>0.00420364049525389</v>
      </c>
      <c r="AI36" s="39"/>
      <c r="AJ36" s="39" t="n">
        <f aca="false">AB36/AG36</f>
        <v>-0.016437339293114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11693078</v>
      </c>
      <c r="AX36" s="7"/>
      <c r="AY36" s="39" t="n">
        <f aca="false">(AW36-AW35)/AW35</f>
        <v>0.0546685933729949</v>
      </c>
      <c r="AZ36" s="38" t="n">
        <f aca="false">workers_and_wage_low!B24</f>
        <v>5308.25923613636</v>
      </c>
      <c r="BA36" s="39" t="n">
        <f aca="false">(AZ36-AZ35)/AZ35</f>
        <v>-0.0853581699226664</v>
      </c>
      <c r="BB36" s="12" t="n">
        <f aca="false">BB33*1/4+BB37*3/4</f>
        <v>45.9160655820837</v>
      </c>
      <c r="BC36" s="12" t="n">
        <f aca="false">$BC$33</f>
        <v>13.3006153702016</v>
      </c>
      <c r="BD36" s="12" t="n">
        <f aca="false">BB36+BC36/2</f>
        <v>52.5663732671845</v>
      </c>
      <c r="BE36" s="39" t="n">
        <f aca="false">BD36/BD35-1</f>
        <v>0.00159928577552071</v>
      </c>
      <c r="BF36" s="7"/>
      <c r="BG36" s="7"/>
      <c r="BH36" s="7"/>
      <c r="BI36" s="39" t="n">
        <f aca="false">T43/AG43</f>
        <v>0.0103922047741889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4" t="n">
        <f aca="false">'Low pensions'!Q37</f>
        <v>99913191.0185849</v>
      </c>
      <c r="E37" s="9"/>
      <c r="F37" s="67" t="n">
        <f aca="false">'Low pensions'!I37</f>
        <v>18160405.1625516</v>
      </c>
      <c r="G37" s="84" t="n">
        <f aca="false">'Low pensions'!K37</f>
        <v>309561.464909155</v>
      </c>
      <c r="H37" s="84" t="n">
        <f aca="false">'Low pensions'!V37</f>
        <v>1703115.84453194</v>
      </c>
      <c r="I37" s="84" t="n">
        <f aca="false">'Low pensions'!M37</f>
        <v>9574.06592502503</v>
      </c>
      <c r="J37" s="84" t="n">
        <f aca="false">'Low pensions'!W37</f>
        <v>52673.6859133569</v>
      </c>
      <c r="K37" s="9"/>
      <c r="L37" s="84" t="n">
        <f aca="false">'Low pensions'!N37</f>
        <v>3328430.3278972</v>
      </c>
      <c r="M37" s="67"/>
      <c r="N37" s="84" t="n">
        <f aca="false">'Low pensions'!L37</f>
        <v>763268.310147874</v>
      </c>
      <c r="O37" s="9"/>
      <c r="P37" s="84" t="n">
        <f aca="false">'Low pensions'!X37</f>
        <v>21470517.8360249</v>
      </c>
      <c r="Q37" s="67"/>
      <c r="R37" s="84" t="n">
        <f aca="false">'Low SIPA income'!G32</f>
        <v>15572715.8312528</v>
      </c>
      <c r="S37" s="67"/>
      <c r="T37" s="84" t="n">
        <f aca="false">'Low SIPA income'!J32</f>
        <v>59543628.69455</v>
      </c>
      <c r="U37" s="9"/>
      <c r="V37" s="84" t="n">
        <f aca="false">'Low SIPA income'!F32</f>
        <v>90674.3684939396</v>
      </c>
      <c r="W37" s="67"/>
      <c r="X37" s="84" t="n">
        <f aca="false">'Low SIPA income'!M32</f>
        <v>227747.871510945</v>
      </c>
      <c r="Y37" s="9"/>
      <c r="Z37" s="9" t="n">
        <f aca="false">R37+V37-N37-L37-F37</f>
        <v>-6588713.60084994</v>
      </c>
      <c r="AA37" s="9"/>
      <c r="AB37" s="9" t="n">
        <f aca="false">T37-P37-D37</f>
        <v>-61840080.1600598</v>
      </c>
      <c r="AC37" s="50"/>
      <c r="AD37" s="9"/>
      <c r="AE37" s="9" t="n">
        <f aca="false">AG34*'Central macro hypothesis'!B17/'Central macro hypothesis'!B16</f>
        <v>4305412222.71334</v>
      </c>
      <c r="AF37" s="9"/>
      <c r="AG37" s="9" t="n">
        <f aca="false">AG36*'Pessimist macro hypothesis'!B19/'Pessimist macro hypothesis'!B18</f>
        <v>4581575462.03578</v>
      </c>
      <c r="AH37" s="39" t="n">
        <f aca="false">(AG37-AG36)/AG36</f>
        <v>0.0465705539971361</v>
      </c>
      <c r="AI37" s="39" t="n">
        <f aca="false">(AG37-AG33)/AG33</f>
        <v>-0.0662266769527748</v>
      </c>
      <c r="AJ37" s="39" t="n">
        <f aca="false">AB37/AG37</f>
        <v>-0.0134975579192101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11747084</v>
      </c>
      <c r="AX37" s="7"/>
      <c r="AY37" s="39" t="n">
        <f aca="false">(AW37-AW36)/AW36</f>
        <v>0.00461862992789409</v>
      </c>
      <c r="AZ37" s="38" t="n">
        <f aca="false">workers_and_wage_low!B25</f>
        <v>5188.60331055529</v>
      </c>
      <c r="BA37" s="39" t="n">
        <f aca="false">(AZ37-AZ36)/AZ36</f>
        <v>-0.0225414623246929</v>
      </c>
      <c r="BB37" s="80" t="n">
        <v>46</v>
      </c>
      <c r="BC37" s="12" t="n">
        <f aca="false">$BC$33</f>
        <v>13.3006153702016</v>
      </c>
      <c r="BD37" s="12" t="n">
        <f aca="false">BB37+BC37/2</f>
        <v>52.6503076851008</v>
      </c>
      <c r="BE37" s="39" t="n">
        <f aca="false">BD37/BD36-1</f>
        <v>0.00159673214451472</v>
      </c>
      <c r="BF37" s="7"/>
      <c r="BG37" s="73" t="n">
        <f aca="false">(BB37-BB33)/BB33</f>
        <v>0.00735230691456442</v>
      </c>
      <c r="BH37" s="7"/>
      <c r="BI37" s="39" t="n">
        <f aca="false">T44/AG44</f>
        <v>0.00991649377659297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3" t="n">
        <f aca="false">'Low pensions'!Q38</f>
        <v>94054511.2835137</v>
      </c>
      <c r="E38" s="6"/>
      <c r="F38" s="8" t="n">
        <f aca="false">'Low pensions'!I38</f>
        <v>17095520.7701922</v>
      </c>
      <c r="G38" s="83" t="n">
        <f aca="false">'Low pensions'!K38</f>
        <v>314404.182066541</v>
      </c>
      <c r="H38" s="83" t="n">
        <f aca="false">'Low pensions'!V38</f>
        <v>1729759.04549932</v>
      </c>
      <c r="I38" s="83" t="n">
        <f aca="false">'Low pensions'!M38</f>
        <v>9723.840682471</v>
      </c>
      <c r="J38" s="83" t="n">
        <f aca="false">'Low pensions'!W38</f>
        <v>53497.7024381269</v>
      </c>
      <c r="K38" s="6"/>
      <c r="L38" s="83" t="n">
        <f aca="false">'Low pensions'!N38</f>
        <v>3547092.32525587</v>
      </c>
      <c r="M38" s="8"/>
      <c r="N38" s="83" t="n">
        <f aca="false">'Low pensions'!L38</f>
        <v>722006.107135233</v>
      </c>
      <c r="O38" s="6"/>
      <c r="P38" s="83" t="n">
        <f aca="false">'Low pensions'!X38</f>
        <v>22378143.513137</v>
      </c>
      <c r="Q38" s="8"/>
      <c r="R38" s="83" t="n">
        <f aca="false">'Low SIPA income'!G33</f>
        <v>12209617.1525631</v>
      </c>
      <c r="S38" s="8"/>
      <c r="T38" s="83" t="n">
        <f aca="false">'Low SIPA income'!J33</f>
        <v>46684529.4110998</v>
      </c>
      <c r="U38" s="6"/>
      <c r="V38" s="83" t="n">
        <f aca="false">'Low SIPA income'!F33</f>
        <v>95352.9957574985</v>
      </c>
      <c r="W38" s="8"/>
      <c r="X38" s="83" t="n">
        <f aca="false">'Low SIPA income'!M33</f>
        <v>239499.234311335</v>
      </c>
      <c r="Y38" s="6"/>
      <c r="Z38" s="6" t="n">
        <f aca="false">R38+V38-N38-L38-F38</f>
        <v>-9059649.05426271</v>
      </c>
      <c r="AA38" s="6"/>
      <c r="AB38" s="6" t="n">
        <f aca="false">T38-P38-D38</f>
        <v>-69748125.3855509</v>
      </c>
      <c r="AC38" s="50"/>
      <c r="AD38" s="6"/>
      <c r="AE38" s="6"/>
      <c r="AF38" s="6"/>
      <c r="AG38" s="6" t="n">
        <f aca="false">AG37*'Pessimist macro hypothesis'!B20/'Pessimist macro hypothesis'!B19</f>
        <v>4425577745.23945</v>
      </c>
      <c r="AH38" s="61" t="n">
        <f aca="false">(AG38-AG37)/AG37</f>
        <v>-0.0340489244560013</v>
      </c>
      <c r="AI38" s="61"/>
      <c r="AJ38" s="61" t="n">
        <f aca="false">AB38/AG38</f>
        <v>-0.0157602305056279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0.0150236502489163</v>
      </c>
      <c r="AV38" s="5"/>
      <c r="AW38" s="65" t="n">
        <f aca="false">workers_and_wage_low!C26</f>
        <v>11760228</v>
      </c>
      <c r="AX38" s="5"/>
      <c r="AY38" s="61" t="n">
        <f aca="false">(AW38-AW37)/AW37</f>
        <v>0.00111891597948904</v>
      </c>
      <c r="AZ38" s="66" t="n">
        <f aca="false">workers_and_wage_low!B26</f>
        <v>5277.12645574335</v>
      </c>
      <c r="BA38" s="61" t="n">
        <f aca="false">(AZ38-AZ37)/AZ37</f>
        <v>0.0170610740289155</v>
      </c>
      <c r="BB38" s="11" t="n">
        <f aca="false">BB37*3/4+BB41*1/4</f>
        <v>46.75</v>
      </c>
      <c r="BC38" s="11" t="n">
        <f aca="false">$BC$33</f>
        <v>13.3006153702016</v>
      </c>
      <c r="BD38" s="11" t="n">
        <f aca="false">BB38+BC38/2</f>
        <v>53.4003076851008</v>
      </c>
      <c r="BE38" s="61" t="n">
        <f aca="false">BD38/BD37-1</f>
        <v>0.014244930998043</v>
      </c>
      <c r="BF38" s="5"/>
      <c r="BG38" s="5"/>
      <c r="BH38" s="5"/>
      <c r="BI38" s="61" t="n">
        <f aca="false">T45/AG45</f>
        <v>0.0118890627410793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4" t="n">
        <f aca="false">'Low pensions'!Q39</f>
        <v>93470893.8868185</v>
      </c>
      <c r="E39" s="9"/>
      <c r="F39" s="67" t="n">
        <f aca="false">'Low pensions'!I39</f>
        <v>16989441.3999324</v>
      </c>
      <c r="G39" s="84" t="n">
        <f aca="false">'Low pensions'!K39</f>
        <v>320014.813813148</v>
      </c>
      <c r="H39" s="84" t="n">
        <f aca="false">'Low pensions'!V39</f>
        <v>1760627.08596516</v>
      </c>
      <c r="I39" s="84" t="n">
        <f aca="false">'Low pensions'!M39</f>
        <v>9897.36537566397</v>
      </c>
      <c r="J39" s="84" t="n">
        <f aca="false">'Low pensions'!W39</f>
        <v>54452.384102013</v>
      </c>
      <c r="K39" s="9"/>
      <c r="L39" s="84" t="n">
        <f aca="false">'Low pensions'!N39</f>
        <v>2907804.303429</v>
      </c>
      <c r="M39" s="67"/>
      <c r="N39" s="84" t="n">
        <f aca="false">'Low pensions'!L39</f>
        <v>718699.434293836</v>
      </c>
      <c r="O39" s="9"/>
      <c r="P39" s="84" t="n">
        <f aca="false">'Low pensions'!X39</f>
        <v>19042682.5904828</v>
      </c>
      <c r="Q39" s="67"/>
      <c r="R39" s="84" t="n">
        <f aca="false">'Low SIPA income'!G34</f>
        <v>14966920.0963669</v>
      </c>
      <c r="S39" s="67"/>
      <c r="T39" s="84" t="n">
        <f aca="false">'Low SIPA income'!J34</f>
        <v>57227316.1968674</v>
      </c>
      <c r="U39" s="9"/>
      <c r="V39" s="84" t="n">
        <f aca="false">'Low SIPA income'!F34</f>
        <v>94044.5561121193</v>
      </c>
      <c r="W39" s="67"/>
      <c r="X39" s="84" t="n">
        <f aca="false">'Low SIPA income'!M34</f>
        <v>236212.81115576</v>
      </c>
      <c r="Y39" s="9"/>
      <c r="Z39" s="9" t="n">
        <f aca="false">R39+V39-N39-L39-F39</f>
        <v>-5554980.48517616</v>
      </c>
      <c r="AA39" s="9"/>
      <c r="AB39" s="9" t="n">
        <f aca="false">T39-P39-D39</f>
        <v>-55286260.2804338</v>
      </c>
      <c r="AC39" s="50"/>
      <c r="AD39" s="9"/>
      <c r="AE39" s="9"/>
      <c r="AF39" s="9"/>
      <c r="AG39" s="9" t="n">
        <f aca="false">AG38*'Pessimist macro hypothesis'!B21/'Pessimist macro hypothesis'!B20</f>
        <v>5095299336.25008</v>
      </c>
      <c r="AH39" s="39" t="n">
        <f aca="false">(AG39-AG38)/AG38</f>
        <v>0.151329753890559</v>
      </c>
      <c r="AI39" s="39"/>
      <c r="AJ39" s="39" t="n">
        <f aca="false">AB39/AG39</f>
        <v>-0.0108504440332101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11795836</v>
      </c>
      <c r="AX39" s="7"/>
      <c r="AY39" s="39" t="n">
        <f aca="false">(AW39-AW38)/AW38</f>
        <v>0.00302783245358848</v>
      </c>
      <c r="AZ39" s="38" t="n">
        <f aca="false">workers_and_wage_low!B27</f>
        <v>5372.88778142423</v>
      </c>
      <c r="BA39" s="39" t="n">
        <f aca="false">(AZ39-AZ38)/AZ38</f>
        <v>0.0181464906107486</v>
      </c>
      <c r="BB39" s="12" t="n">
        <f aca="false">BB37*2/4+BB41*2/4</f>
        <v>47.5</v>
      </c>
      <c r="BC39" s="12" t="n">
        <f aca="false">$BC$33</f>
        <v>13.3006153702016</v>
      </c>
      <c r="BD39" s="12" t="n">
        <f aca="false">BB39+BC39/2</f>
        <v>54.1503076851008</v>
      </c>
      <c r="BE39" s="39" t="n">
        <f aca="false">BD39/BD38-1</f>
        <v>0.0140448628952237</v>
      </c>
      <c r="BF39" s="7"/>
      <c r="BG39" s="7"/>
      <c r="BH39" s="7"/>
      <c r="BI39" s="39" t="n">
        <f aca="false">T46/AG46</f>
        <v>0.00945719076214985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4" t="n">
        <f aca="false">'Low pensions'!Q40</f>
        <v>95915398.2554717</v>
      </c>
      <c r="E40" s="9"/>
      <c r="F40" s="67" t="n">
        <f aca="false">'Low pensions'!I40</f>
        <v>17433759.0050833</v>
      </c>
      <c r="G40" s="84" t="n">
        <f aca="false">'Low pensions'!K40</f>
        <v>345560.219519863</v>
      </c>
      <c r="H40" s="84" t="n">
        <f aca="false">'Low pensions'!V40</f>
        <v>1901170.37105031</v>
      </c>
      <c r="I40" s="84" t="n">
        <f aca="false">'Low pensions'!M40</f>
        <v>10687.429469687</v>
      </c>
      <c r="J40" s="84" t="n">
        <f aca="false">'Low pensions'!W40</f>
        <v>58799.0836407339</v>
      </c>
      <c r="K40" s="9"/>
      <c r="L40" s="84" t="n">
        <f aca="false">'Low pensions'!N40</f>
        <v>2978989.24207299</v>
      </c>
      <c r="M40" s="67"/>
      <c r="N40" s="84" t="n">
        <f aca="false">'Low pensions'!L40</f>
        <v>738934.290032115</v>
      </c>
      <c r="O40" s="9"/>
      <c r="P40" s="84" t="n">
        <f aca="false">'Low pensions'!X40</f>
        <v>19523387.7815298</v>
      </c>
      <c r="Q40" s="67"/>
      <c r="R40" s="84" t="n">
        <f aca="false">'Low SIPA income'!G35</f>
        <v>13187337.799929</v>
      </c>
      <c r="S40" s="67"/>
      <c r="T40" s="84" t="n">
        <f aca="false">'Low SIPA income'!J35</f>
        <v>50422929.0470142</v>
      </c>
      <c r="U40" s="9"/>
      <c r="V40" s="84" t="n">
        <f aca="false">'Low SIPA income'!F35</f>
        <v>97558.4149105547</v>
      </c>
      <c r="W40" s="67"/>
      <c r="X40" s="84" t="n">
        <f aca="false">'Low SIPA income'!M35</f>
        <v>245038.611383827</v>
      </c>
      <c r="Y40" s="9"/>
      <c r="Z40" s="9" t="n">
        <f aca="false">R40+V40-N40-L40-F40</f>
        <v>-7866786.32234887</v>
      </c>
      <c r="AA40" s="9"/>
      <c r="AB40" s="9" t="n">
        <f aca="false">T40-P40-D40</f>
        <v>-65015856.9899873</v>
      </c>
      <c r="AC40" s="50"/>
      <c r="AD40" s="9"/>
      <c r="AE40" s="9"/>
      <c r="AF40" s="9"/>
      <c r="AG40" s="9" t="n">
        <f aca="false">AG39*'Pessimist macro hypothesis'!B22/'Pessimist macro hypothesis'!B21</f>
        <v>4794770071.61991</v>
      </c>
      <c r="AH40" s="39" t="n">
        <f aca="false">(AG40-AG39)/AG39</f>
        <v>-0.0589816701232995</v>
      </c>
      <c r="AI40" s="39"/>
      <c r="AJ40" s="39" t="n">
        <f aca="false">AB40/AG40</f>
        <v>-0.0135597444755097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11827500</v>
      </c>
      <c r="AX40" s="7"/>
      <c r="AY40" s="39" t="n">
        <f aca="false">(AW40-AW39)/AW39</f>
        <v>0.00268433708301811</v>
      </c>
      <c r="AZ40" s="38" t="n">
        <f aca="false">workers_and_wage_low!B28</f>
        <v>5412.02179470707</v>
      </c>
      <c r="BA40" s="39" t="n">
        <f aca="false">(AZ40-AZ39)/AZ39</f>
        <v>0.00728360890360276</v>
      </c>
      <c r="BB40" s="12" t="n">
        <f aca="false">BB37*1/4+BB41*3/4</f>
        <v>48.25</v>
      </c>
      <c r="BC40" s="12" t="n">
        <f aca="false">$BC$33</f>
        <v>13.3006153702016</v>
      </c>
      <c r="BD40" s="12" t="n">
        <f aca="false">BB40+BC40/2</f>
        <v>54.9003076851008</v>
      </c>
      <c r="BE40" s="39" t="n">
        <f aca="false">BD40/BD39-1</f>
        <v>0.0138503368136236</v>
      </c>
      <c r="BF40" s="7"/>
      <c r="BG40" s="7"/>
      <c r="BH40" s="7"/>
      <c r="BI40" s="39" t="n">
        <f aca="false">T47/AG47</f>
        <v>0.00982506053509211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4" t="n">
        <f aca="false">'Low pensions'!Q41</f>
        <v>97597503.0372943</v>
      </c>
      <c r="E41" s="9"/>
      <c r="F41" s="67" t="n">
        <f aca="false">'Low pensions'!I41</f>
        <v>17739501.4606324</v>
      </c>
      <c r="G41" s="84" t="n">
        <f aca="false">'Low pensions'!K41</f>
        <v>383057.35195062</v>
      </c>
      <c r="H41" s="84" t="n">
        <f aca="false">'Low pensions'!V41</f>
        <v>2107468.53024165</v>
      </c>
      <c r="I41" s="84" t="n">
        <f aca="false">'Low pensions'!M41</f>
        <v>11847.134596411</v>
      </c>
      <c r="J41" s="84" t="n">
        <f aca="false">'Low pensions'!W41</f>
        <v>65179.4390796389</v>
      </c>
      <c r="K41" s="9"/>
      <c r="L41" s="84" t="n">
        <f aca="false">'Low pensions'!N41</f>
        <v>3018148.27113455</v>
      </c>
      <c r="M41" s="67"/>
      <c r="N41" s="84" t="n">
        <f aca="false">'Low pensions'!L41</f>
        <v>753948.833955288</v>
      </c>
      <c r="O41" s="9"/>
      <c r="P41" s="84" t="n">
        <f aca="false">'Low pensions'!X41</f>
        <v>19809189.7601431</v>
      </c>
      <c r="Q41" s="67"/>
      <c r="R41" s="84" t="n">
        <f aca="false">'Low SIPA income'!G36</f>
        <v>15754078.2622678</v>
      </c>
      <c r="S41" s="67"/>
      <c r="T41" s="84" t="n">
        <f aca="false">'Low SIPA income'!J36</f>
        <v>60237083.6685257</v>
      </c>
      <c r="U41" s="9"/>
      <c r="V41" s="84" t="n">
        <f aca="false">'Low SIPA income'!F36</f>
        <v>97211.2719384871</v>
      </c>
      <c r="W41" s="67"/>
      <c r="X41" s="84" t="n">
        <f aca="false">'Low SIPA income'!M36</f>
        <v>244166.68832209</v>
      </c>
      <c r="Y41" s="9"/>
      <c r="Z41" s="9" t="n">
        <f aca="false">R41+V41-N41-L41-F41</f>
        <v>-5660309.03151597</v>
      </c>
      <c r="AA41" s="9"/>
      <c r="AB41" s="9" t="n">
        <f aca="false">T41-P41-D41</f>
        <v>-57169609.1289116</v>
      </c>
      <c r="AC41" s="50"/>
      <c r="AD41" s="9"/>
      <c r="AE41" s="9"/>
      <c r="AF41" s="9"/>
      <c r="AG41" s="9" t="n">
        <f aca="false">AG40*'Pessimist macro hypothesis'!B23/'Pessimist macro hypothesis'!B22</f>
        <v>4803378801.67364</v>
      </c>
      <c r="AH41" s="39" t="n">
        <f aca="false">(AG41-AG40)/AG40</f>
        <v>0.00179544168440687</v>
      </c>
      <c r="AI41" s="39" t="n">
        <f aca="false">(AG41-AG37)/AG37</f>
        <v>0.0484120236533887</v>
      </c>
      <c r="AJ41" s="39" t="n">
        <f aca="false">AB41/AG41</f>
        <v>-0.0119019572449693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11824511</v>
      </c>
      <c r="AX41" s="7"/>
      <c r="AY41" s="39" t="n">
        <f aca="false">(AW41-AW40)/AW40</f>
        <v>-0.000252716127668569</v>
      </c>
      <c r="AZ41" s="38" t="n">
        <f aca="false">workers_and_wage_low!B29</f>
        <v>5463.32863054921</v>
      </c>
      <c r="BA41" s="39" t="n">
        <f aca="false">(AZ41-AZ40)/AZ40</f>
        <v>0.00948016061064617</v>
      </c>
      <c r="BB41" s="80" t="n">
        <v>49</v>
      </c>
      <c r="BC41" s="12" t="n">
        <f aca="false">$BC$33</f>
        <v>13.3006153702016</v>
      </c>
      <c r="BD41" s="12" t="n">
        <f aca="false">BB41+BC41/2</f>
        <v>55.6503076851008</v>
      </c>
      <c r="BE41" s="39" t="n">
        <f aca="false">BD41/BD40-1</f>
        <v>0.0136611256224988</v>
      </c>
      <c r="BF41" s="7"/>
      <c r="BG41" s="73" t="n">
        <f aca="false">(BB41-BB37)/BB37</f>
        <v>0.0652173913043478</v>
      </c>
      <c r="BH41" s="7"/>
      <c r="BI41" s="39" t="n">
        <f aca="false">T48/AG48</f>
        <v>0.00934246790200318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3" t="n">
        <f aca="false">'Low pensions'!Q42</f>
        <v>98958345.8894357</v>
      </c>
      <c r="E42" s="6"/>
      <c r="F42" s="8" t="n">
        <f aca="false">'Low pensions'!I42</f>
        <v>17986850.7576121</v>
      </c>
      <c r="G42" s="83" t="n">
        <f aca="false">'Low pensions'!K42</f>
        <v>398034.002315171</v>
      </c>
      <c r="H42" s="83" t="n">
        <f aca="false">'Low pensions'!V42</f>
        <v>2189865.64172117</v>
      </c>
      <c r="I42" s="83" t="n">
        <f aca="false">'Low pensions'!M42</f>
        <v>12310.329968511</v>
      </c>
      <c r="J42" s="83" t="n">
        <f aca="false">'Low pensions'!W42</f>
        <v>67727.8033522041</v>
      </c>
      <c r="K42" s="6"/>
      <c r="L42" s="83" t="n">
        <f aca="false">'Low pensions'!N42</f>
        <v>3702558.96210059</v>
      </c>
      <c r="M42" s="8"/>
      <c r="N42" s="83" t="n">
        <f aca="false">'Low pensions'!L42</f>
        <v>766168.33563209</v>
      </c>
      <c r="O42" s="6"/>
      <c r="P42" s="83" t="n">
        <f aca="false">'Low pensions'!X42</f>
        <v>23427828.1820073</v>
      </c>
      <c r="Q42" s="8"/>
      <c r="R42" s="83" t="n">
        <f aca="false">'Low SIPA income'!G37</f>
        <v>12218859.511463</v>
      </c>
      <c r="S42" s="8"/>
      <c r="T42" s="83" t="n">
        <f aca="false">'Low SIPA income'!J37</f>
        <v>46719868.3714047</v>
      </c>
      <c r="U42" s="6"/>
      <c r="V42" s="83" t="n">
        <f aca="false">'Low SIPA income'!F37</f>
        <v>98915.9031757288</v>
      </c>
      <c r="W42" s="8"/>
      <c r="X42" s="83" t="n">
        <f aca="false">'Low SIPA income'!M37</f>
        <v>248448.230531218</v>
      </c>
      <c r="Y42" s="6"/>
      <c r="Z42" s="6" t="n">
        <f aca="false">R42+V42-N42-L42-F42</f>
        <v>-10137802.6407061</v>
      </c>
      <c r="AA42" s="6"/>
      <c r="AB42" s="6" t="n">
        <f aca="false">T42-P42-D42</f>
        <v>-75666305.7000383</v>
      </c>
      <c r="AC42" s="50"/>
      <c r="AD42" s="6"/>
      <c r="AE42" s="6"/>
      <c r="AF42" s="6"/>
      <c r="AG42" s="6" t="n">
        <f aca="false">AG41*'Pessimist macro hypothesis'!B24/'Pessimist macro hypothesis'!B23</f>
        <v>4641355284.00175</v>
      </c>
      <c r="AH42" s="61" t="n">
        <f aca="false">(AG42-AG41)/AG41</f>
        <v>-0.0337311555806156</v>
      </c>
      <c r="AI42" s="61"/>
      <c r="AJ42" s="61" t="n">
        <f aca="false">AB42/AG42</f>
        <v>-0.0163026316819253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0.00928921728019868</v>
      </c>
      <c r="AV42" s="5"/>
      <c r="AW42" s="65" t="n">
        <f aca="false">workers_and_wage_low!C30</f>
        <v>11886882</v>
      </c>
      <c r="AX42" s="5"/>
      <c r="AY42" s="61" t="n">
        <f aca="false">(AW42-AW41)/AW41</f>
        <v>0.00527472129714286</v>
      </c>
      <c r="AZ42" s="66" t="n">
        <f aca="false">workers_and_wage_low!B30</f>
        <v>5494.16034010557</v>
      </c>
      <c r="BA42" s="61" t="n">
        <f aca="false">(AZ42-AZ41)/AZ41</f>
        <v>0.00564339281806307</v>
      </c>
      <c r="BB42" s="11" t="n">
        <f aca="false">BB41*3/4+BB45*1/4</f>
        <v>49</v>
      </c>
      <c r="BC42" s="11" t="n">
        <f aca="false">$BC$33</f>
        <v>13.3006153702016</v>
      </c>
      <c r="BD42" s="11" t="n">
        <f aca="false">BB42+BC42/2</f>
        <v>55.6503076851008</v>
      </c>
      <c r="BE42" s="61" t="n">
        <f aca="false">BD42/BD41-1</f>
        <v>0</v>
      </c>
      <c r="BF42" s="5"/>
      <c r="BG42" s="5"/>
      <c r="BH42" s="5"/>
      <c r="BI42" s="61" t="n">
        <f aca="false">T49/AG49</f>
        <v>0.011101455272973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4" t="n">
        <f aca="false">'Low pensions'!Q43</f>
        <v>99521187.7045281</v>
      </c>
      <c r="E43" s="9"/>
      <c r="F43" s="67" t="n">
        <f aca="false">'Low pensions'!I43</f>
        <v>18089153.9199904</v>
      </c>
      <c r="G43" s="84" t="n">
        <f aca="false">'Low pensions'!K43</f>
        <v>424841.82556371</v>
      </c>
      <c r="H43" s="84" t="n">
        <f aca="false">'Low pensions'!V43</f>
        <v>2337354.37564804</v>
      </c>
      <c r="I43" s="84" t="n">
        <f aca="false">'Low pensions'!M43</f>
        <v>13139.437904032</v>
      </c>
      <c r="J43" s="84" t="n">
        <f aca="false">'Low pensions'!W43</f>
        <v>72289.3105870512</v>
      </c>
      <c r="K43" s="9"/>
      <c r="L43" s="84" t="n">
        <f aca="false">'Low pensions'!N43</f>
        <v>3105791.35699421</v>
      </c>
      <c r="M43" s="67"/>
      <c r="N43" s="84" t="n">
        <f aca="false">'Low pensions'!L43</f>
        <v>772536.110924069</v>
      </c>
      <c r="O43" s="9"/>
      <c r="P43" s="84" t="n">
        <f aca="false">'Low pensions'!X43</f>
        <v>20366231.8630554</v>
      </c>
      <c r="Q43" s="67"/>
      <c r="R43" s="84" t="n">
        <f aca="false">'Low SIPA income'!G38</f>
        <v>14557852.9975218</v>
      </c>
      <c r="S43" s="67"/>
      <c r="T43" s="84" t="n">
        <f aca="false">'Low SIPA income'!J38</f>
        <v>55663212.6898922</v>
      </c>
      <c r="U43" s="9"/>
      <c r="V43" s="84" t="n">
        <f aca="false">'Low SIPA income'!F38</f>
        <v>99943.5105182887</v>
      </c>
      <c r="W43" s="67"/>
      <c r="X43" s="84" t="n">
        <f aca="false">'Low SIPA income'!M38</f>
        <v>251029.283908311</v>
      </c>
      <c r="Y43" s="9"/>
      <c r="Z43" s="9" t="n">
        <f aca="false">R43+V43-N43-L43-F43</f>
        <v>-7309684.87986858</v>
      </c>
      <c r="AA43" s="9"/>
      <c r="AB43" s="9" t="n">
        <f aca="false">T43-P43-D43</f>
        <v>-64224206.8776913</v>
      </c>
      <c r="AC43" s="50"/>
      <c r="AD43" s="9"/>
      <c r="AE43" s="9"/>
      <c r="AF43" s="9"/>
      <c r="AG43" s="9" t="n">
        <f aca="false">AG42*'Pessimist macro hypothesis'!B25/'Pessimist macro hypothesis'!B24</f>
        <v>5356246715.62891</v>
      </c>
      <c r="AH43" s="39" t="n">
        <f aca="false">(AG43-AG42)/AG42</f>
        <v>0.154026440098501</v>
      </c>
      <c r="AI43" s="39"/>
      <c r="AJ43" s="39" t="n">
        <f aca="false">AB43/AG43</f>
        <v>-0.0119905243890825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11924865</v>
      </c>
      <c r="AX43" s="7"/>
      <c r="AY43" s="39" t="n">
        <f aca="false">(AW43-AW42)/AW42</f>
        <v>0.00319537116629912</v>
      </c>
      <c r="AZ43" s="38" t="n">
        <f aca="false">workers_and_wage_low!B31</f>
        <v>5494.37556691702</v>
      </c>
      <c r="BA43" s="39" t="n">
        <f aca="false">(AZ43-AZ42)/AZ42</f>
        <v>3.91737405038083E-005</v>
      </c>
      <c r="BB43" s="12" t="n">
        <f aca="false">BB41*2/4+BB45*2/4</f>
        <v>49</v>
      </c>
      <c r="BC43" s="12" t="n">
        <f aca="false">$BC$33</f>
        <v>13.3006153702016</v>
      </c>
      <c r="BD43" s="12" t="n">
        <f aca="false">BB43+BC43/2</f>
        <v>55.6503076851008</v>
      </c>
      <c r="BE43" s="39" t="n">
        <f aca="false">BD43/BD42-1</f>
        <v>0</v>
      </c>
      <c r="BF43" s="7"/>
      <c r="BG43" s="7"/>
      <c r="BH43" s="7"/>
      <c r="BI43" s="39" t="n">
        <f aca="false">T50/AG50</f>
        <v>0.00937772286842196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4" t="n">
        <f aca="false">'Low pensions'!Q44</f>
        <v>99710677.3526477</v>
      </c>
      <c r="E44" s="9"/>
      <c r="F44" s="67" t="n">
        <f aca="false">'Low pensions'!I44</f>
        <v>18123595.9065677</v>
      </c>
      <c r="G44" s="84" t="n">
        <f aca="false">'Low pensions'!K44</f>
        <v>442701.081447572</v>
      </c>
      <c r="H44" s="84" t="n">
        <f aca="false">'Low pensions'!V44</f>
        <v>2435610.73218867</v>
      </c>
      <c r="I44" s="84" t="n">
        <f aca="false">'Low pensions'!M44</f>
        <v>13691.786024151</v>
      </c>
      <c r="J44" s="84" t="n">
        <f aca="false">'Low pensions'!W44</f>
        <v>75328.1669749036</v>
      </c>
      <c r="K44" s="9"/>
      <c r="L44" s="84" t="n">
        <f aca="false">'Low pensions'!N44</f>
        <v>3028863.39813457</v>
      </c>
      <c r="M44" s="67"/>
      <c r="N44" s="84" t="n">
        <f aca="false">'Low pensions'!L44</f>
        <v>775033.508341044</v>
      </c>
      <c r="O44" s="9"/>
      <c r="P44" s="84" t="n">
        <f aca="false">'Low pensions'!X44</f>
        <v>19980792.2625695</v>
      </c>
      <c r="Q44" s="67"/>
      <c r="R44" s="84" t="n">
        <f aca="false">'Low SIPA income'!G39</f>
        <v>12807526.2785142</v>
      </c>
      <c r="S44" s="67"/>
      <c r="T44" s="84" t="n">
        <f aca="false">'Low SIPA income'!J39</f>
        <v>48970686.7759743</v>
      </c>
      <c r="U44" s="9"/>
      <c r="V44" s="84" t="n">
        <f aca="false">'Low SIPA income'!F39</f>
        <v>103534.714980758</v>
      </c>
      <c r="W44" s="67"/>
      <c r="X44" s="84" t="n">
        <f aca="false">'Low SIPA income'!M39</f>
        <v>260049.354145057</v>
      </c>
      <c r="Y44" s="9"/>
      <c r="Z44" s="9" t="n">
        <f aca="false">R44+V44-N44-L44-F44</f>
        <v>-9016431.81954842</v>
      </c>
      <c r="AA44" s="9"/>
      <c r="AB44" s="9" t="n">
        <f aca="false">T44-P44-D44</f>
        <v>-70720782.8392429</v>
      </c>
      <c r="AC44" s="50"/>
      <c r="AD44" s="9"/>
      <c r="AE44" s="9"/>
      <c r="AF44" s="9"/>
      <c r="AG44" s="9" t="n">
        <f aca="false">AG43*'Pessimist macro hypothesis'!B26/'Pessimist macro hypothesis'!B25</f>
        <v>4938306611.1094</v>
      </c>
      <c r="AH44" s="39" t="n">
        <f aca="false">(AG44-AG43)/AG43</f>
        <v>-0.0780285387713767</v>
      </c>
      <c r="AI44" s="39"/>
      <c r="AJ44" s="39" t="n">
        <f aca="false">AB44/AG44</f>
        <v>-0.0143208570079765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11968994</v>
      </c>
      <c r="AX44" s="7"/>
      <c r="AY44" s="39" t="n">
        <f aca="false">(AW44-AW43)/AW43</f>
        <v>0.00370058696681262</v>
      </c>
      <c r="AZ44" s="38" t="n">
        <f aca="false">workers_and_wage_low!B32</f>
        <v>5525.03235088068</v>
      </c>
      <c r="BA44" s="39" t="n">
        <f aca="false">(AZ44-AZ43)/AZ43</f>
        <v>0.00557966662276456</v>
      </c>
      <c r="BB44" s="12" t="n">
        <f aca="false">BB41*1/4+BB45*3/4</f>
        <v>49</v>
      </c>
      <c r="BC44" s="12" t="n">
        <f aca="false">$BC$33</f>
        <v>13.3006153702016</v>
      </c>
      <c r="BD44" s="12" t="n">
        <f aca="false">BB44+BC44/2</f>
        <v>55.6503076851008</v>
      </c>
      <c r="BE44" s="39" t="n">
        <f aca="false">BD44/BD43-1</f>
        <v>0</v>
      </c>
      <c r="BF44" s="7"/>
      <c r="BG44" s="7"/>
      <c r="BH44" s="7"/>
      <c r="BI44" s="39" t="n">
        <f aca="false">T51/AG51</f>
        <v>0.0097343392094259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4" t="n">
        <f aca="false">'Low pensions'!Q45</f>
        <v>100804734.808877</v>
      </c>
      <c r="E45" s="9"/>
      <c r="F45" s="67" t="n">
        <f aca="false">'Low pensions'!I45</f>
        <v>18322453.7998418</v>
      </c>
      <c r="G45" s="84" t="n">
        <f aca="false">'Low pensions'!K45</f>
        <v>463977.272289438</v>
      </c>
      <c r="H45" s="84" t="n">
        <f aca="false">'Low pensions'!V45</f>
        <v>2552666.05670945</v>
      </c>
      <c r="I45" s="84" t="n">
        <f aca="false">'Low pensions'!M45</f>
        <v>14349.812545034</v>
      </c>
      <c r="J45" s="84" t="n">
        <f aca="false">'Low pensions'!W45</f>
        <v>78948.4347435901</v>
      </c>
      <c r="K45" s="9"/>
      <c r="L45" s="84" t="n">
        <f aca="false">'Low pensions'!N45</f>
        <v>3065493.90693201</v>
      </c>
      <c r="M45" s="67"/>
      <c r="N45" s="84" t="n">
        <f aca="false">'Low pensions'!L45</f>
        <v>785667.322289262</v>
      </c>
      <c r="O45" s="9"/>
      <c r="P45" s="84" t="n">
        <f aca="false">'Low pensions'!X45</f>
        <v>20229372.2537142</v>
      </c>
      <c r="Q45" s="67"/>
      <c r="R45" s="84" t="n">
        <f aca="false">'Low SIPA income'!G40</f>
        <v>15276710.561388</v>
      </c>
      <c r="S45" s="67" t="n">
        <f aca="false">SUM(T42:T45)/AVERAGE(AG42:AG45)</f>
        <v>0.0422723149034283</v>
      </c>
      <c r="T45" s="84" t="n">
        <f aca="false">'Low SIPA income'!J40</f>
        <v>58411826.8899419</v>
      </c>
      <c r="U45" s="9"/>
      <c r="V45" s="84" t="n">
        <f aca="false">'Low SIPA income'!F40</f>
        <v>100700.43688752</v>
      </c>
      <c r="W45" s="67"/>
      <c r="X45" s="84" t="n">
        <f aca="false">'Low SIPA income'!M40</f>
        <v>252930.464719892</v>
      </c>
      <c r="Y45" s="9"/>
      <c r="Z45" s="9" t="n">
        <f aca="false">R45+V45-N45-L45-F45</f>
        <v>-6796204.03078748</v>
      </c>
      <c r="AA45" s="9"/>
      <c r="AB45" s="9" t="n">
        <f aca="false">T45-P45-D45</f>
        <v>-62622280.1726497</v>
      </c>
      <c r="AC45" s="50"/>
      <c r="AD45" s="9"/>
      <c r="AE45" s="9"/>
      <c r="AF45" s="9"/>
      <c r="AG45" s="9" t="n">
        <f aca="false">AG44*'Pessimist macro hypothesis'!B27/'Pessimist macro hypothesis'!B26</f>
        <v>4913072473.58669</v>
      </c>
      <c r="AH45" s="39" t="n">
        <f aca="false">(AG45-AG44)/AG44</f>
        <v>-0.00510987662571355</v>
      </c>
      <c r="AI45" s="39" t="n">
        <f aca="false">(AG45-AG41)/AG41</f>
        <v>0.022836773122042</v>
      </c>
      <c r="AJ45" s="39" t="n">
        <f aca="false">AB45/AG45</f>
        <v>-0.0127460525993287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12034543</v>
      </c>
      <c r="AX45" s="7"/>
      <c r="AY45" s="39" t="n">
        <f aca="false">(AW45-AW44)/AW44</f>
        <v>0.00547656720355946</v>
      </c>
      <c r="AZ45" s="38" t="n">
        <f aca="false">workers_and_wage_low!B33</f>
        <v>5525.38455998843</v>
      </c>
      <c r="BA45" s="39" t="n">
        <f aca="false">(AZ45-AZ44)/AZ44</f>
        <v>6.37478815294357E-005</v>
      </c>
      <c r="BB45" s="80" t="n">
        <v>49</v>
      </c>
      <c r="BC45" s="12" t="n">
        <f aca="false">$BC$33</f>
        <v>13.3006153702016</v>
      </c>
      <c r="BD45" s="12" t="n">
        <f aca="false">BB45+BC45/2</f>
        <v>55.6503076851008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0.00920751143327643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3" t="n">
        <f aca="false">'Low pensions'!Q46</f>
        <v>101776803.329077</v>
      </c>
      <c r="E46" s="6"/>
      <c r="F46" s="8" t="n">
        <f aca="false">'Low pensions'!I46</f>
        <v>18499138.7599819</v>
      </c>
      <c r="G46" s="83" t="n">
        <f aca="false">'Low pensions'!K46</f>
        <v>474205.440808176</v>
      </c>
      <c r="H46" s="83" t="n">
        <f aca="false">'Low pensions'!V46</f>
        <v>2608938.42210195</v>
      </c>
      <c r="I46" s="83" t="n">
        <f aca="false">'Low pensions'!M46</f>
        <v>14666.147653861</v>
      </c>
      <c r="J46" s="83" t="n">
        <f aca="false">'Low pensions'!W46</f>
        <v>80688.8171784099</v>
      </c>
      <c r="K46" s="6"/>
      <c r="L46" s="83" t="n">
        <f aca="false">'Low pensions'!N46</f>
        <v>3691123.56850952</v>
      </c>
      <c r="M46" s="8"/>
      <c r="N46" s="83" t="n">
        <f aca="false">'Low pensions'!L46</f>
        <v>794834.31152644</v>
      </c>
      <c r="O46" s="6"/>
      <c r="P46" s="83" t="n">
        <f aca="false">'Low pensions'!X46</f>
        <v>23526201.6118421</v>
      </c>
      <c r="Q46" s="8"/>
      <c r="R46" s="83" t="n">
        <f aca="false">'Low SIPA income'!G41</f>
        <v>12490228.7433861</v>
      </c>
      <c r="S46" s="8"/>
      <c r="T46" s="83" t="n">
        <f aca="false">'Low SIPA income'!J41</f>
        <v>47757472.1496952</v>
      </c>
      <c r="U46" s="6"/>
      <c r="V46" s="83" t="n">
        <f aca="false">'Low SIPA income'!F41</f>
        <v>105143.204729063</v>
      </c>
      <c r="W46" s="8"/>
      <c r="X46" s="83" t="n">
        <f aca="false">'Low SIPA income'!M41</f>
        <v>264089.416652337</v>
      </c>
      <c r="Y46" s="6"/>
      <c r="Z46" s="6" t="n">
        <f aca="false">R46+V46-N46-L46-F46</f>
        <v>-10389724.6919028</v>
      </c>
      <c r="AA46" s="6"/>
      <c r="AB46" s="6" t="n">
        <f aca="false">T46-P46-D46</f>
        <v>-77545532.7912244</v>
      </c>
      <c r="AC46" s="50"/>
      <c r="AD46" s="6"/>
      <c r="AE46" s="6"/>
      <c r="AF46" s="6"/>
      <c r="AG46" s="6" t="n">
        <f aca="false">AG45*'Pessimist macro hypothesis'!B28/'Pessimist macro hypothesis'!B27</f>
        <v>5049858182.07592</v>
      </c>
      <c r="AH46" s="61" t="n">
        <f aca="false">(AG46-AG45)/AG45</f>
        <v>0.0278411745856805</v>
      </c>
      <c r="AI46" s="61"/>
      <c r="AJ46" s="61" t="n">
        <f aca="false">AB46/AG46</f>
        <v>-0.01535598228609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0.0250339283853196</v>
      </c>
      <c r="AV46" s="5"/>
      <c r="AW46" s="65" t="n">
        <f aca="false">workers_and_wage_low!C34</f>
        <v>11982597</v>
      </c>
      <c r="AX46" s="5"/>
      <c r="AY46" s="61" t="n">
        <f aca="false">(AW46-AW45)/AW45</f>
        <v>-0.00431640819265011</v>
      </c>
      <c r="AZ46" s="66" t="n">
        <f aca="false">workers_and_wage_low!B34</f>
        <v>5567.56969934123</v>
      </c>
      <c r="BA46" s="61" t="n">
        <f aca="false">(AZ46-AZ45)/AZ45</f>
        <v>0.00763478793101213</v>
      </c>
      <c r="BB46" s="11" t="n">
        <f aca="false">BB45*3/4+BB49*1/4</f>
        <v>49.25</v>
      </c>
      <c r="BC46" s="11" t="n">
        <f aca="false">$BC$33</f>
        <v>13.3006153702016</v>
      </c>
      <c r="BD46" s="11" t="n">
        <f aca="false">BB46+BC46/2</f>
        <v>55.9003076851008</v>
      </c>
      <c r="BE46" s="61" t="n">
        <f aca="false">BD46/BD45-1</f>
        <v>0.00449233814509409</v>
      </c>
      <c r="BF46" s="5"/>
      <c r="BG46" s="5"/>
      <c r="BH46" s="5"/>
      <c r="BI46" s="61" t="n">
        <f aca="false">T53/AG53</f>
        <v>0.0110041481923114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4" t="n">
        <f aca="false">'Low pensions'!Q47</f>
        <v>102989057.848802</v>
      </c>
      <c r="E47" s="9"/>
      <c r="F47" s="67" t="n">
        <f aca="false">'Low pensions'!I47</f>
        <v>18719480.3686715</v>
      </c>
      <c r="G47" s="84" t="n">
        <f aca="false">'Low pensions'!K47</f>
        <v>489442.778364934</v>
      </c>
      <c r="H47" s="84" t="n">
        <f aca="false">'Low pensions'!V47</f>
        <v>2692769.75759783</v>
      </c>
      <c r="I47" s="84" t="n">
        <f aca="false">'Low pensions'!M47</f>
        <v>15137.405516441</v>
      </c>
      <c r="J47" s="84" t="n">
        <f aca="false">'Low pensions'!W47</f>
        <v>83281.5388947767</v>
      </c>
      <c r="K47" s="9"/>
      <c r="L47" s="84" t="n">
        <f aca="false">'Low pensions'!N47</f>
        <v>3008113.68750892</v>
      </c>
      <c r="M47" s="67"/>
      <c r="N47" s="84" t="n">
        <f aca="false">'Low pensions'!L47</f>
        <v>806833.596553758</v>
      </c>
      <c r="O47" s="9"/>
      <c r="P47" s="84" t="n">
        <f aca="false">'Low pensions'!X47</f>
        <v>20048076.6182965</v>
      </c>
      <c r="Q47" s="67"/>
      <c r="R47" s="84" t="n">
        <f aca="false">'Low SIPA income'!G42</f>
        <v>14920850.1986468</v>
      </c>
      <c r="S47" s="67"/>
      <c r="T47" s="84" t="n">
        <f aca="false">'Low SIPA income'!J42</f>
        <v>57051163.9499781</v>
      </c>
      <c r="U47" s="9"/>
      <c r="V47" s="84" t="n">
        <f aca="false">'Low SIPA income'!F42</f>
        <v>106506.871646174</v>
      </c>
      <c r="W47" s="67"/>
      <c r="X47" s="84" t="n">
        <f aca="false">'Low SIPA income'!M42</f>
        <v>267514.554792039</v>
      </c>
      <c r="Y47" s="9"/>
      <c r="Z47" s="9" t="n">
        <f aca="false">R47+V47-N47-L47-F47</f>
        <v>-7507070.58244119</v>
      </c>
      <c r="AA47" s="9"/>
      <c r="AB47" s="9" t="n">
        <f aca="false">T47-P47-D47</f>
        <v>-65985970.5171208</v>
      </c>
      <c r="AC47" s="50"/>
      <c r="AD47" s="9"/>
      <c r="AE47" s="9"/>
      <c r="AF47" s="9"/>
      <c r="AG47" s="9" t="n">
        <f aca="false">AG46*'Pessimist macro hypothesis'!B29/'Pessimist macro hypothesis'!B28</f>
        <v>5806698467.27242</v>
      </c>
      <c r="AH47" s="39" t="n">
        <f aca="false">(AG47-AG46)/AG46</f>
        <v>0.149873572268397</v>
      </c>
      <c r="AI47" s="39"/>
      <c r="AJ47" s="39" t="n">
        <f aca="false">AB47/AG47</f>
        <v>-0.0113637673609245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11989707</v>
      </c>
      <c r="AX47" s="7"/>
      <c r="AY47" s="39" t="n">
        <f aca="false">(AW47-AW46)/AW46</f>
        <v>0.000593360521095719</v>
      </c>
      <c r="AZ47" s="38" t="n">
        <f aca="false">workers_and_wage_low!B35</f>
        <v>5624.34890998357</v>
      </c>
      <c r="BA47" s="39" t="n">
        <f aca="false">(AZ47-AZ46)/AZ46</f>
        <v>0.0101982038319265</v>
      </c>
      <c r="BB47" s="12" t="n">
        <f aca="false">BB45*2/4+BB49*2/4</f>
        <v>49.5</v>
      </c>
      <c r="BC47" s="12" t="n">
        <f aca="false">$BC$33</f>
        <v>13.3006153702016</v>
      </c>
      <c r="BD47" s="12" t="n">
        <f aca="false">BB47+BC47/2</f>
        <v>56.1503076851008</v>
      </c>
      <c r="BE47" s="39" t="n">
        <f aca="false">BD47/BD46-1</f>
        <v>0.00447224729796303</v>
      </c>
      <c r="BF47" s="7"/>
      <c r="BG47" s="7"/>
      <c r="BH47" s="7"/>
      <c r="BI47" s="39" t="n">
        <f aca="false">T54/AG54</f>
        <v>0.00915490168608177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4" t="n">
        <f aca="false">'Low pensions'!Q48</f>
        <v>103605120.299607</v>
      </c>
      <c r="E48" s="9"/>
      <c r="F48" s="67" t="n">
        <f aca="false">'Low pensions'!I48</f>
        <v>18831457.0115751</v>
      </c>
      <c r="G48" s="84" t="n">
        <f aca="false">'Low pensions'!K48</f>
        <v>500827.8946985</v>
      </c>
      <c r="H48" s="84" t="n">
        <f aca="false">'Low pensions'!V48</f>
        <v>2755407.30851272</v>
      </c>
      <c r="I48" s="84" t="n">
        <f aca="false">'Low pensions'!M48</f>
        <v>15489.522516448</v>
      </c>
      <c r="J48" s="84" t="n">
        <f aca="false">'Low pensions'!W48</f>
        <v>85218.7827375043</v>
      </c>
      <c r="K48" s="9"/>
      <c r="L48" s="84" t="n">
        <f aca="false">'Low pensions'!N48</f>
        <v>3028742.18702538</v>
      </c>
      <c r="M48" s="67"/>
      <c r="N48" s="84" t="n">
        <f aca="false">'Low pensions'!L48</f>
        <v>812241.598133952</v>
      </c>
      <c r="O48" s="9"/>
      <c r="P48" s="84" t="n">
        <f aca="false">'Low pensions'!X48</f>
        <v>20184871.2294269</v>
      </c>
      <c r="Q48" s="67"/>
      <c r="R48" s="84" t="n">
        <f aca="false">'Low SIPA income'!G43</f>
        <v>13119427.1978613</v>
      </c>
      <c r="S48" s="67"/>
      <c r="T48" s="84" t="n">
        <f aca="false">'Low SIPA income'!J43</f>
        <v>50163266.974081</v>
      </c>
      <c r="U48" s="9"/>
      <c r="V48" s="84" t="n">
        <f aca="false">'Low SIPA income'!F43</f>
        <v>105235.180446133</v>
      </c>
      <c r="W48" s="67"/>
      <c r="X48" s="84" t="n">
        <f aca="false">'Low SIPA income'!M43</f>
        <v>264320.433136282</v>
      </c>
      <c r="Y48" s="9"/>
      <c r="Z48" s="9" t="n">
        <f aca="false">R48+V48-N48-L48-F48</f>
        <v>-9447778.41842699</v>
      </c>
      <c r="AA48" s="9"/>
      <c r="AB48" s="9" t="n">
        <f aca="false">T48-P48-D48</f>
        <v>-73626724.5549532</v>
      </c>
      <c r="AC48" s="50"/>
      <c r="AD48" s="9"/>
      <c r="AE48" s="9"/>
      <c r="AF48" s="9"/>
      <c r="AG48" s="9" t="n">
        <f aca="false">AG47*'Pessimist macro hypothesis'!B30/'Pessimist macro hypothesis'!B29</f>
        <v>5369380713.98941</v>
      </c>
      <c r="AH48" s="39" t="n">
        <f aca="false">(AG48-AG47)/AG47</f>
        <v>-0.0753126334607885</v>
      </c>
      <c r="AI48" s="39"/>
      <c r="AJ48" s="39" t="n">
        <f aca="false">AB48/AG48</f>
        <v>-0.0137123308025311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12034116</v>
      </c>
      <c r="AX48" s="7"/>
      <c r="AY48" s="39" t="n">
        <f aca="false">(AW48-AW47)/AW47</f>
        <v>0.00370392704342149</v>
      </c>
      <c r="AZ48" s="38" t="n">
        <f aca="false">workers_and_wage_low!B36</f>
        <v>5640.2400458913</v>
      </c>
      <c r="BA48" s="39" t="n">
        <f aca="false">(AZ48-AZ47)/AZ47</f>
        <v>0.00282541786828381</v>
      </c>
      <c r="BB48" s="12" t="n">
        <f aca="false">BB45*1/4+BB49*3/4</f>
        <v>49.75</v>
      </c>
      <c r="BC48" s="12" t="n">
        <f aca="false">$BC$33</f>
        <v>13.3006153702016</v>
      </c>
      <c r="BD48" s="12" t="n">
        <f aca="false">BB48+BC48/2</f>
        <v>56.4003076851008</v>
      </c>
      <c r="BE48" s="39" t="n">
        <f aca="false">BD48/BD47-1</f>
        <v>0.00445233535321021</v>
      </c>
      <c r="BF48" s="7"/>
      <c r="BG48" s="7"/>
      <c r="BH48" s="7"/>
      <c r="BI48" s="39" t="n">
        <f aca="false">T55/AG55</f>
        <v>0.0107825122001945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4" t="n">
        <f aca="false">'Low pensions'!Q49</f>
        <v>104477506.86456</v>
      </c>
      <c r="E49" s="9"/>
      <c r="F49" s="67" t="n">
        <f aca="false">'Low pensions'!I49</f>
        <v>18990023.5963913</v>
      </c>
      <c r="G49" s="84" t="n">
        <f aca="false">'Low pensions'!K49</f>
        <v>537879.946505253</v>
      </c>
      <c r="H49" s="84" t="n">
        <f aca="false">'Low pensions'!V49</f>
        <v>2959256.76543081</v>
      </c>
      <c r="I49" s="84" t="n">
        <f aca="false">'Low pensions'!M49</f>
        <v>16635.462263049</v>
      </c>
      <c r="J49" s="84" t="n">
        <f aca="false">'Low pensions'!W49</f>
        <v>91523.4051164163</v>
      </c>
      <c r="K49" s="9"/>
      <c r="L49" s="84" t="n">
        <f aca="false">'Low pensions'!N49</f>
        <v>3055777.69973841</v>
      </c>
      <c r="M49" s="67"/>
      <c r="N49" s="84" t="n">
        <f aca="false">'Low pensions'!L49</f>
        <v>821637.066129249</v>
      </c>
      <c r="O49" s="9"/>
      <c r="P49" s="84" t="n">
        <f aca="false">'Low pensions'!X49</f>
        <v>20376849.7262152</v>
      </c>
      <c r="Q49" s="67"/>
      <c r="R49" s="84" t="n">
        <f aca="false">'Low SIPA income'!G44</f>
        <v>15554203.2966245</v>
      </c>
      <c r="S49" s="67"/>
      <c r="T49" s="84" t="n">
        <f aca="false">'Low SIPA income'!J44</f>
        <v>59472844.4138857</v>
      </c>
      <c r="U49" s="9"/>
      <c r="V49" s="84" t="n">
        <f aca="false">'Low SIPA income'!F44</f>
        <v>105425.560944545</v>
      </c>
      <c r="W49" s="67"/>
      <c r="X49" s="84" t="n">
        <f aca="false">'Low SIPA income'!M44</f>
        <v>264798.614060072</v>
      </c>
      <c r="Y49" s="9"/>
      <c r="Z49" s="9" t="n">
        <f aca="false">R49+V49-N49-L49-F49</f>
        <v>-7207809.50468985</v>
      </c>
      <c r="AA49" s="9"/>
      <c r="AB49" s="9" t="n">
        <f aca="false">T49-P49-D49</f>
        <v>-65381512.1768891</v>
      </c>
      <c r="AC49" s="50"/>
      <c r="AD49" s="9"/>
      <c r="AE49" s="9"/>
      <c r="AF49" s="9"/>
      <c r="AG49" s="9" t="n">
        <f aca="false">AG48*'Pessimist macro hypothesis'!B31/'Pessimist macro hypothesis'!B30</f>
        <v>5357211550.33384</v>
      </c>
      <c r="AH49" s="39" t="n">
        <f aca="false">(AG49-AG48)/AG48</f>
        <v>-0.00226639985201001</v>
      </c>
      <c r="AI49" s="39" t="n">
        <f aca="false">(AG49-AG45)/AG45</f>
        <v>0.0903994555616479</v>
      </c>
      <c r="AJ49" s="39" t="n">
        <f aca="false">AB49/AG49</f>
        <v>-0.0122043924460692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12045074</v>
      </c>
      <c r="AX49" s="7"/>
      <c r="AY49" s="39" t="n">
        <f aca="false">(AW49-AW48)/AW48</f>
        <v>0.000910577893714835</v>
      </c>
      <c r="AZ49" s="38" t="n">
        <f aca="false">workers_and_wage_low!B37</f>
        <v>5674.52140824468</v>
      </c>
      <c r="BA49" s="39" t="n">
        <f aca="false">(AZ49-AZ48)/AZ48</f>
        <v>0.00607799704878747</v>
      </c>
      <c r="BB49" s="80" t="n">
        <v>50</v>
      </c>
      <c r="BC49" s="12" t="n">
        <f aca="false">$BC$33</f>
        <v>13.3006153702016</v>
      </c>
      <c r="BD49" s="12" t="n">
        <f aca="false">BB49+BC49/2</f>
        <v>56.6503076851008</v>
      </c>
      <c r="BE49" s="39" t="n">
        <f aca="false">BD49/BD48-1</f>
        <v>0.0044325999318271</v>
      </c>
      <c r="BF49" s="7"/>
      <c r="BG49" s="73" t="n">
        <f aca="false">(BB49-BB45)/BB45</f>
        <v>0.0204081632653061</v>
      </c>
      <c r="BH49" s="7"/>
      <c r="BI49" s="39" t="n">
        <f aca="false">T56/AG56</f>
        <v>0.00932924315054196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3" t="n">
        <f aca="false">'Low pensions'!Q50</f>
        <v>105679721.965441</v>
      </c>
      <c r="E50" s="6"/>
      <c r="F50" s="8" t="n">
        <f aca="false">'Low pensions'!I50</f>
        <v>19208540.421867</v>
      </c>
      <c r="G50" s="83" t="n">
        <f aca="false">'Low pensions'!K50</f>
        <v>535602.99341897</v>
      </c>
      <c r="H50" s="83" t="n">
        <f aca="false">'Low pensions'!V50</f>
        <v>2946729.64135985</v>
      </c>
      <c r="I50" s="83" t="n">
        <f aca="false">'Low pensions'!M50</f>
        <v>16565.041033576</v>
      </c>
      <c r="J50" s="83" t="n">
        <f aca="false">'Low pensions'!W50</f>
        <v>91135.9682894778</v>
      </c>
      <c r="K50" s="6"/>
      <c r="L50" s="83" t="n">
        <f aca="false">'Low pensions'!N50</f>
        <v>3735363.43804782</v>
      </c>
      <c r="M50" s="8"/>
      <c r="N50" s="83" t="n">
        <f aca="false">'Low pensions'!L50</f>
        <v>832902.75272122</v>
      </c>
      <c r="O50" s="6"/>
      <c r="P50" s="83" t="n">
        <f aca="false">'Low pensions'!X50</f>
        <v>23965203.8366315</v>
      </c>
      <c r="Q50" s="8"/>
      <c r="R50" s="83" t="n">
        <f aca="false">'Low SIPA income'!G45</f>
        <v>12816600.6250617</v>
      </c>
      <c r="S50" s="8"/>
      <c r="T50" s="83" t="n">
        <f aca="false">'Low SIPA income'!J45</f>
        <v>49005383.3264877</v>
      </c>
      <c r="U50" s="6"/>
      <c r="V50" s="83" t="n">
        <f aca="false">'Low SIPA income'!F45</f>
        <v>105412.794355168</v>
      </c>
      <c r="W50" s="8"/>
      <c r="X50" s="83" t="n">
        <f aca="false">'Low SIPA income'!M45</f>
        <v>264766.548068267</v>
      </c>
      <c r="Y50" s="6"/>
      <c r="Z50" s="6" t="n">
        <f aca="false">R50+V50-N50-L50-F50</f>
        <v>-10854793.1932192</v>
      </c>
      <c r="AA50" s="6"/>
      <c r="AB50" s="6" t="n">
        <f aca="false">T50-P50-D50</f>
        <v>-80639542.4755843</v>
      </c>
      <c r="AC50" s="50"/>
      <c r="AD50" s="6"/>
      <c r="AE50" s="6"/>
      <c r="AF50" s="6"/>
      <c r="AG50" s="6" t="n">
        <f aca="false">AG49*'Pessimist macro hypothesis'!B32/'Pessimist macro hypothesis'!B31</f>
        <v>5225723132.79867</v>
      </c>
      <c r="AH50" s="61" t="n">
        <f aca="false">(AG50-AG49)/AG49</f>
        <v>-0.0245441898830704</v>
      </c>
      <c r="AI50" s="61"/>
      <c r="AJ50" s="61" t="n">
        <f aca="false">AB50/AG50</f>
        <v>-0.0154312695920416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0.0108581442550789</v>
      </c>
      <c r="AV50" s="5"/>
      <c r="AW50" s="65" t="n">
        <f aca="false">workers_and_wage_low!C38</f>
        <v>12081801</v>
      </c>
      <c r="AX50" s="5"/>
      <c r="AY50" s="61" t="n">
        <f aca="false">(AW50-AW49)/AW49</f>
        <v>0.00304913029176907</v>
      </c>
      <c r="AZ50" s="66" t="n">
        <f aca="false">workers_and_wage_low!B38</f>
        <v>5677.30983807495</v>
      </c>
      <c r="BA50" s="61" t="n">
        <f aca="false">(AZ50-AZ49)/AZ49</f>
        <v>0.000491394715018312</v>
      </c>
      <c r="BB50" s="11" t="n">
        <f aca="false">BB49*3/4+BB53*1/4</f>
        <v>50.125</v>
      </c>
      <c r="BC50" s="11" t="n">
        <f aca="false">$BC$33</f>
        <v>13.3006153702016</v>
      </c>
      <c r="BD50" s="11" t="n">
        <f aca="false">BB50+BC50/2</f>
        <v>56.7753076851008</v>
      </c>
      <c r="BE50" s="61" t="n">
        <f aca="false">BD50/BD49-1</f>
        <v>0.00220651934840022</v>
      </c>
      <c r="BF50" s="5"/>
      <c r="BG50" s="5"/>
      <c r="BH50" s="5"/>
      <c r="BI50" s="61" t="n">
        <f aca="false">T57/AG57</f>
        <v>0.0109538300519348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4" t="n">
        <f aca="false">'Low pensions'!Q51</f>
        <v>107045415.09685</v>
      </c>
      <c r="E51" s="9"/>
      <c r="F51" s="67" t="n">
        <f aca="false">'Low pensions'!I51</f>
        <v>19456771.3145176</v>
      </c>
      <c r="G51" s="84" t="n">
        <f aca="false">'Low pensions'!K51</f>
        <v>570069.467802827</v>
      </c>
      <c r="H51" s="84" t="n">
        <f aca="false">'Low pensions'!V51</f>
        <v>3136354.01416584</v>
      </c>
      <c r="I51" s="84" t="n">
        <f aca="false">'Low pensions'!M51</f>
        <v>17631.014468129</v>
      </c>
      <c r="J51" s="84" t="n">
        <f aca="false">'Low pensions'!W51</f>
        <v>97000.6396133784</v>
      </c>
      <c r="K51" s="9"/>
      <c r="L51" s="84" t="n">
        <f aca="false">'Low pensions'!N51</f>
        <v>3143862.19352973</v>
      </c>
      <c r="M51" s="67"/>
      <c r="N51" s="84" t="n">
        <f aca="false">'Low pensions'!L51</f>
        <v>845662.655977573</v>
      </c>
      <c r="O51" s="9"/>
      <c r="P51" s="84" t="n">
        <f aca="false">'Low pensions'!X51</f>
        <v>20966102.2898849</v>
      </c>
      <c r="Q51" s="67"/>
      <c r="R51" s="84" t="n">
        <f aca="false">'Low SIPA income'!G46</f>
        <v>15223823.4771485</v>
      </c>
      <c r="S51" s="67"/>
      <c r="T51" s="84" t="n">
        <f aca="false">'Low SIPA income'!J46</f>
        <v>58209608.5395385</v>
      </c>
      <c r="U51" s="9"/>
      <c r="V51" s="84" t="n">
        <f aca="false">'Low SIPA income'!F46</f>
        <v>110217.387012185</v>
      </c>
      <c r="W51" s="67"/>
      <c r="X51" s="84" t="n">
        <f aca="false">'Low SIPA income'!M46</f>
        <v>276834.299620194</v>
      </c>
      <c r="Y51" s="9"/>
      <c r="Z51" s="9" t="n">
        <f aca="false">R51+V51-N51-L51-F51</f>
        <v>-8112255.29986422</v>
      </c>
      <c r="AA51" s="9"/>
      <c r="AB51" s="9" t="n">
        <f aca="false">T51-P51-D51</f>
        <v>-69801908.8471963</v>
      </c>
      <c r="AC51" s="50"/>
      <c r="AD51" s="9"/>
      <c r="AE51" s="9"/>
      <c r="AF51" s="9"/>
      <c r="AG51" s="9" t="n">
        <f aca="false">AG50*'Pessimist macro hypothesis'!B33/'Pessimist macro hypothesis'!B32</f>
        <v>5979821258.24969</v>
      </c>
      <c r="AH51" s="39" t="n">
        <f aca="false">(AG51-AG50)/AG50</f>
        <v>0.144305028469267</v>
      </c>
      <c r="AI51" s="39"/>
      <c r="AJ51" s="39" t="n">
        <f aca="false">AB51/AG51</f>
        <v>-0.0116729089102619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12176963</v>
      </c>
      <c r="AX51" s="7"/>
      <c r="AY51" s="39" t="n">
        <f aca="false">(AW51-AW50)/AW50</f>
        <v>0.00787647470770293</v>
      </c>
      <c r="AZ51" s="38" t="n">
        <f aca="false">workers_and_wage_low!B39</f>
        <v>5688.99941984947</v>
      </c>
      <c r="BA51" s="39" t="n">
        <f aca="false">(AZ51-AZ50)/AZ50</f>
        <v>0.00205900014406886</v>
      </c>
      <c r="BB51" s="12" t="n">
        <f aca="false">BB49*2/4+BB53*2/4</f>
        <v>50.25</v>
      </c>
      <c r="BC51" s="12" t="n">
        <f aca="false">$BC$33</f>
        <v>13.3006153702016</v>
      </c>
      <c r="BD51" s="12" t="n">
        <f aca="false">BB51+BC51/2</f>
        <v>56.9003076851008</v>
      </c>
      <c r="BE51" s="39" t="n">
        <f aca="false">BD51/BD50-1</f>
        <v>0.00220166134005484</v>
      </c>
      <c r="BF51" s="7"/>
      <c r="BG51" s="7"/>
      <c r="BH51" s="7"/>
      <c r="BI51" s="39" t="n">
        <f aca="false">T58/AG58</f>
        <v>0.00917030549720089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4" t="n">
        <f aca="false">'Low pensions'!Q52</f>
        <v>107990079.489811</v>
      </c>
      <c r="E52" s="9"/>
      <c r="F52" s="67" t="n">
        <f aca="false">'Low pensions'!I52</f>
        <v>19628475.2501432</v>
      </c>
      <c r="G52" s="84" t="n">
        <f aca="false">'Low pensions'!K52</f>
        <v>593954.701735831</v>
      </c>
      <c r="H52" s="84" t="n">
        <f aca="false">'Low pensions'!V52</f>
        <v>3267763.52398189</v>
      </c>
      <c r="I52" s="84" t="n">
        <f aca="false">'Low pensions'!M52</f>
        <v>18369.733043376</v>
      </c>
      <c r="J52" s="84" t="n">
        <f aca="false">'Low pensions'!W52</f>
        <v>101064.851257171</v>
      </c>
      <c r="K52" s="9"/>
      <c r="L52" s="84" t="n">
        <f aca="false">'Low pensions'!N52</f>
        <v>3125113.84687687</v>
      </c>
      <c r="M52" s="67"/>
      <c r="N52" s="84" t="n">
        <f aca="false">'Low pensions'!L52</f>
        <v>853958.101225726</v>
      </c>
      <c r="O52" s="9"/>
      <c r="P52" s="84" t="n">
        <f aca="false">'Low pensions'!X52</f>
        <v>20914456.1221806</v>
      </c>
      <c r="Q52" s="67"/>
      <c r="R52" s="84" t="n">
        <f aca="false">'Low SIPA income'!G47</f>
        <v>13340570.2195606</v>
      </c>
      <c r="S52" s="67"/>
      <c r="T52" s="84" t="n">
        <f aca="false">'Low SIPA income'!J47</f>
        <v>51008826.4843898</v>
      </c>
      <c r="U52" s="9"/>
      <c r="V52" s="84" t="n">
        <f aca="false">'Low SIPA income'!F47</f>
        <v>111458.31986472</v>
      </c>
      <c r="W52" s="67"/>
      <c r="X52" s="84" t="n">
        <f aca="false">'Low SIPA income'!M47</f>
        <v>279951.165174893</v>
      </c>
      <c r="Y52" s="9"/>
      <c r="Z52" s="9" t="n">
        <f aca="false">R52+V52-N52-L52-F52</f>
        <v>-10155518.6588204</v>
      </c>
      <c r="AA52" s="9"/>
      <c r="AB52" s="9" t="n">
        <f aca="false">T52-P52-D52</f>
        <v>-77895709.1276014</v>
      </c>
      <c r="AC52" s="50"/>
      <c r="AD52" s="9"/>
      <c r="AE52" s="9"/>
      <c r="AF52" s="9"/>
      <c r="AG52" s="9" t="n">
        <f aca="false">AG51*'Pessimist macro hypothesis'!B34/'Pessimist macro hypothesis'!B33</f>
        <v>5539914541.95118</v>
      </c>
      <c r="AH52" s="39" t="n">
        <f aca="false">(AG52-AG51)/AG51</f>
        <v>-0.0735651948946836</v>
      </c>
      <c r="AI52" s="39"/>
      <c r="AJ52" s="39" t="n">
        <f aca="false">AB52/AG52</f>
        <v>-0.0140608142125178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12196013</v>
      </c>
      <c r="AX52" s="7"/>
      <c r="AY52" s="39" t="n">
        <f aca="false">(AW52-AW51)/AW51</f>
        <v>0.00156442948869928</v>
      </c>
      <c r="AZ52" s="38" t="n">
        <f aca="false">workers_and_wage_low!B40</f>
        <v>5727.81552635651</v>
      </c>
      <c r="BA52" s="39" t="n">
        <f aca="false">(AZ52-AZ51)/AZ51</f>
        <v>0.00682301115581198</v>
      </c>
      <c r="BB52" s="12" t="n">
        <f aca="false">BB49*1/4+BB53*3/4</f>
        <v>50.375</v>
      </c>
      <c r="BC52" s="12" t="n">
        <f aca="false">$BC$33</f>
        <v>13.3006153702016</v>
      </c>
      <c r="BD52" s="12" t="n">
        <f aca="false">BB52+BC52/2</f>
        <v>57.0253076851008</v>
      </c>
      <c r="BE52" s="39" t="n">
        <f aca="false">BD52/BD51-1</f>
        <v>0.00219682467609461</v>
      </c>
      <c r="BF52" s="7"/>
      <c r="BG52" s="7"/>
      <c r="BH52" s="7"/>
      <c r="BI52" s="39" t="n">
        <f aca="false">T59/AG59</f>
        <v>0.0108494367299712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4" t="n">
        <f aca="false">'Low pensions'!Q53</f>
        <v>108722913.02298</v>
      </c>
      <c r="E53" s="9"/>
      <c r="F53" s="67" t="n">
        <f aca="false">'Low pensions'!I53</f>
        <v>19761676.4195121</v>
      </c>
      <c r="G53" s="84" t="n">
        <f aca="false">'Low pensions'!K53</f>
        <v>649495.707823178</v>
      </c>
      <c r="H53" s="84" t="n">
        <f aca="false">'Low pensions'!V53</f>
        <v>3573333.75222837</v>
      </c>
      <c r="I53" s="84" t="n">
        <f aca="false">'Low pensions'!M53</f>
        <v>20087.496118243</v>
      </c>
      <c r="J53" s="84" t="n">
        <f aca="false">'Low pensions'!W53</f>
        <v>110515.476873044</v>
      </c>
      <c r="K53" s="9"/>
      <c r="L53" s="84" t="n">
        <f aca="false">'Low pensions'!N53</f>
        <v>3075772.51737706</v>
      </c>
      <c r="M53" s="67"/>
      <c r="N53" s="84" t="n">
        <f aca="false">'Low pensions'!L53</f>
        <v>861755.316772662</v>
      </c>
      <c r="O53" s="9"/>
      <c r="P53" s="84" t="n">
        <f aca="false">'Low pensions'!X53</f>
        <v>20701321.708236</v>
      </c>
      <c r="Q53" s="67"/>
      <c r="R53" s="84" t="n">
        <f aca="false">'Low SIPA income'!G48</f>
        <v>15899626.0918477</v>
      </c>
      <c r="S53" s="67"/>
      <c r="T53" s="84" t="n">
        <f aca="false">'Low SIPA income'!J48</f>
        <v>60793598.4098025</v>
      </c>
      <c r="U53" s="9"/>
      <c r="V53" s="84" t="n">
        <f aca="false">'Low SIPA income'!F48</f>
        <v>114367.56670097</v>
      </c>
      <c r="W53" s="67"/>
      <c r="X53" s="84" t="n">
        <f aca="false">'Low SIPA income'!M48</f>
        <v>287258.354468416</v>
      </c>
      <c r="Y53" s="9"/>
      <c r="Z53" s="9" t="n">
        <f aca="false">R53+V53-N53-L53-F53</f>
        <v>-7685210.59511315</v>
      </c>
      <c r="AA53" s="9"/>
      <c r="AB53" s="9" t="n">
        <f aca="false">T53-P53-D53</f>
        <v>-68630636.3214134</v>
      </c>
      <c r="AC53" s="50"/>
      <c r="AD53" s="9"/>
      <c r="AE53" s="9"/>
      <c r="AF53" s="9"/>
      <c r="AG53" s="9" t="n">
        <f aca="false">AG52*'Pessimist macro hypothesis'!B35/'Pessimist macro hypothesis'!B34</f>
        <v>5524607388.71903</v>
      </c>
      <c r="AH53" s="39" t="n">
        <f aca="false">(AG53-AG52)/AG52</f>
        <v>-0.00276306667119742</v>
      </c>
      <c r="AI53" s="39" t="n">
        <f aca="false">(AG53-AG49)/AG49</f>
        <v>0.031246822495699</v>
      </c>
      <c r="AJ53" s="39" t="n">
        <f aca="false">AB53/AG53</f>
        <v>-0.0124227173973582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12230295</v>
      </c>
      <c r="AX53" s="7"/>
      <c r="AY53" s="39" t="n">
        <f aca="false">(AW53-AW52)/AW52</f>
        <v>0.0028109186174203</v>
      </c>
      <c r="AZ53" s="38" t="n">
        <f aca="false">workers_and_wage_low!B41</f>
        <v>5775.37829500618</v>
      </c>
      <c r="BA53" s="39" t="n">
        <f aca="false">(AZ53-AZ52)/AZ52</f>
        <v>0.00830382340890872</v>
      </c>
      <c r="BB53" s="68" t="n">
        <v>50.5</v>
      </c>
      <c r="BC53" s="12" t="n">
        <f aca="false">$BC$33</f>
        <v>13.3006153702016</v>
      </c>
      <c r="BD53" s="12" t="n">
        <f aca="false">BB53+BC53/2</f>
        <v>57.1503076851008</v>
      </c>
      <c r="BE53" s="39" t="n">
        <f aca="false">BD53/BD52-1</f>
        <v>0.00219200921615825</v>
      </c>
      <c r="BF53" s="7" t="n">
        <v>100</v>
      </c>
      <c r="BG53" s="73" t="n">
        <f aca="false">(BB53-BB49)/BB49</f>
        <v>0.01</v>
      </c>
      <c r="BH53" s="7"/>
      <c r="BI53" s="39" t="n">
        <f aca="false">T60/AG60</f>
        <v>0.00936435559811526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3" t="n">
        <f aca="false">'Low pensions'!Q54</f>
        <v>108832400.298443</v>
      </c>
      <c r="E54" s="6"/>
      <c r="F54" s="8" t="n">
        <f aca="false">'Low pensions'!I54</f>
        <v>19781577.0278531</v>
      </c>
      <c r="G54" s="83" t="n">
        <f aca="false">'Low pensions'!K54</f>
        <v>703032.886364643</v>
      </c>
      <c r="H54" s="83" t="n">
        <f aca="false">'Low pensions'!V54</f>
        <v>3867879.51254212</v>
      </c>
      <c r="I54" s="83" t="n">
        <f aca="false">'Low pensions'!M54</f>
        <v>21743.285145299</v>
      </c>
      <c r="J54" s="83" t="n">
        <f aca="false">'Low pensions'!W54</f>
        <v>119625.139563163</v>
      </c>
      <c r="K54" s="6"/>
      <c r="L54" s="83" t="n">
        <f aca="false">'Low pensions'!N54</f>
        <v>3746765.61919137</v>
      </c>
      <c r="M54" s="8"/>
      <c r="N54" s="83" t="n">
        <f aca="false">'Low pensions'!L54</f>
        <v>863604.601023503</v>
      </c>
      <c r="O54" s="6"/>
      <c r="P54" s="83" t="n">
        <f aca="false">'Low pensions'!X54</f>
        <v>24193282.3196385</v>
      </c>
      <c r="Q54" s="8"/>
      <c r="R54" s="83" t="n">
        <f aca="false">'Low SIPA income'!G49</f>
        <v>13385634.5816601</v>
      </c>
      <c r="S54" s="8"/>
      <c r="T54" s="83" t="n">
        <f aca="false">'Low SIPA income'!J49</f>
        <v>51181133.9786821</v>
      </c>
      <c r="U54" s="6"/>
      <c r="V54" s="83" t="n">
        <f aca="false">'Low SIPA income'!F49</f>
        <v>112680.502350895</v>
      </c>
      <c r="W54" s="8"/>
      <c r="X54" s="83" t="n">
        <f aca="false">'Low SIPA income'!M49</f>
        <v>283020.935215176</v>
      </c>
      <c r="Y54" s="6"/>
      <c r="Z54" s="6" t="n">
        <f aca="false">R54+V54-N54-L54-F54</f>
        <v>-10893632.164057</v>
      </c>
      <c r="AA54" s="6"/>
      <c r="AB54" s="6" t="n">
        <f aca="false">T54-P54-D54</f>
        <v>-81844548.6393995</v>
      </c>
      <c r="AC54" s="50"/>
      <c r="AD54" s="6"/>
      <c r="AE54" s="6"/>
      <c r="AF54" s="6"/>
      <c r="AG54" s="6" t="n">
        <f aca="false">BF54/100*$AG$53</f>
        <v>5590571666.81461</v>
      </c>
      <c r="AH54" s="61" t="n">
        <f aca="false">(AG54-AG53)/AG53</f>
        <v>0.0119400843271281</v>
      </c>
      <c r="AI54" s="61"/>
      <c r="AJ54" s="61" t="n">
        <f aca="false">AB54/AG54</f>
        <v>-0.0146397459002673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0.00948119434185788</v>
      </c>
      <c r="AV54" s="5"/>
      <c r="AW54" s="65" t="n">
        <f aca="false">workers_and_wage_low!C42</f>
        <v>12261660</v>
      </c>
      <c r="AX54" s="5"/>
      <c r="AY54" s="61" t="n">
        <f aca="false">(AW54-AW53)/AW53</f>
        <v>0.00256453339841762</v>
      </c>
      <c r="AZ54" s="66" t="n">
        <f aca="false">workers_and_wage_low!B42</f>
        <v>5829.38714085459</v>
      </c>
      <c r="BA54" s="61" t="n">
        <f aca="false">(AZ54-AZ53)/AZ53</f>
        <v>0.00935156851891585</v>
      </c>
      <c r="BB54" s="61"/>
      <c r="BC54" s="61"/>
      <c r="BD54" s="61"/>
      <c r="BE54" s="61"/>
      <c r="BF54" s="5" t="n">
        <f aca="false">BF53*(1+AY54)*(1+BA54)*(1-BE54)</f>
        <v>101.194008432713</v>
      </c>
      <c r="BG54" s="5"/>
      <c r="BH54" s="5"/>
      <c r="BI54" s="61" t="n">
        <f aca="false">T61/AG61</f>
        <v>0.0109878696989314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4" t="n">
        <f aca="false">'Low pensions'!Q55</f>
        <v>109490216.293301</v>
      </c>
      <c r="E55" s="9"/>
      <c r="F55" s="67" t="n">
        <f aca="false">'Low pensions'!I55</f>
        <v>19901142.8716344</v>
      </c>
      <c r="G55" s="84" t="n">
        <f aca="false">'Low pensions'!K55</f>
        <v>782998.943373374</v>
      </c>
      <c r="H55" s="84" t="n">
        <f aca="false">'Low pensions'!V55</f>
        <v>4307829.16440296</v>
      </c>
      <c r="I55" s="84" t="n">
        <f aca="false">'Low pensions'!M55</f>
        <v>24216.462166187</v>
      </c>
      <c r="J55" s="84" t="n">
        <f aca="false">'Low pensions'!W55</f>
        <v>133231.829826897</v>
      </c>
      <c r="K55" s="9"/>
      <c r="L55" s="84" t="n">
        <f aca="false">'Low pensions'!N55</f>
        <v>3158630.39307752</v>
      </c>
      <c r="M55" s="67"/>
      <c r="N55" s="84" t="n">
        <f aca="false">'Low pensions'!L55</f>
        <v>870849.829476316</v>
      </c>
      <c r="O55" s="9"/>
      <c r="P55" s="84" t="n">
        <f aca="false">'Low pensions'!X55</f>
        <v>21181306.9447159</v>
      </c>
      <c r="Q55" s="67"/>
      <c r="R55" s="84" t="n">
        <f aca="false">'Low SIPA income'!G50</f>
        <v>15864732.3376137</v>
      </c>
      <c r="S55" s="67"/>
      <c r="T55" s="84" t="n">
        <f aca="false">'Low SIPA income'!J50</f>
        <v>60660179.1161878</v>
      </c>
      <c r="U55" s="9"/>
      <c r="V55" s="84" t="n">
        <f aca="false">'Low SIPA income'!F50</f>
        <v>113387.705670986</v>
      </c>
      <c r="W55" s="67"/>
      <c r="X55" s="84" t="n">
        <f aca="false">'Low SIPA income'!M50</f>
        <v>284797.22606287</v>
      </c>
      <c r="Y55" s="9"/>
      <c r="Z55" s="9" t="n">
        <f aca="false">R55+V55-N55-L55-F55</f>
        <v>-7952503.05090356</v>
      </c>
      <c r="AA55" s="9"/>
      <c r="AB55" s="9" t="n">
        <f aca="false">T55-P55-D55</f>
        <v>-70011344.1218291</v>
      </c>
      <c r="AC55" s="50"/>
      <c r="AD55" s="9"/>
      <c r="AE55" s="9"/>
      <c r="AF55" s="9"/>
      <c r="AG55" s="9" t="n">
        <f aca="false">BF55/100*$AG$53</f>
        <v>5625792764.24038</v>
      </c>
      <c r="AH55" s="39" t="n">
        <f aca="false">(AG55-AG54)/AG54</f>
        <v>0.0063000887073577</v>
      </c>
      <c r="AI55" s="39"/>
      <c r="AJ55" s="39" t="n">
        <f aca="false">AB55/AG55</f>
        <v>-0.0124447072716306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12259549</v>
      </c>
      <c r="AX55" s="7"/>
      <c r="AY55" s="39" t="n">
        <f aca="false">(AW55-AW54)/AW54</f>
        <v>-0.00017216265986824</v>
      </c>
      <c r="AZ55" s="38" t="n">
        <f aca="false">workers_and_wage_low!B43</f>
        <v>5867.12289643513</v>
      </c>
      <c r="BA55" s="39" t="n">
        <f aca="false">(AZ55-AZ54)/AZ54</f>
        <v>0.00647336583910742</v>
      </c>
      <c r="BB55" s="39"/>
      <c r="BC55" s="39"/>
      <c r="BD55" s="39"/>
      <c r="BE55" s="39"/>
      <c r="BF55" s="7" t="n">
        <f aca="false">BF54*(1+AY55)*(1+BA55)*(1-BE55)</f>
        <v>101.831539662492</v>
      </c>
      <c r="BG55" s="7"/>
      <c r="BH55" s="7"/>
      <c r="BI55" s="39" t="n">
        <f aca="false">T62/AG62</f>
        <v>0.00925790780222759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4" t="n">
        <f aca="false">'Low pensions'!Q56</f>
        <v>110182443.451789</v>
      </c>
      <c r="E56" s="9"/>
      <c r="F56" s="67" t="n">
        <f aca="false">'Low pensions'!I56</f>
        <v>20026963.3517382</v>
      </c>
      <c r="G56" s="84" t="n">
        <f aca="false">'Low pensions'!K56</f>
        <v>843053.333892293</v>
      </c>
      <c r="H56" s="84" t="n">
        <f aca="false">'Low pensions'!V56</f>
        <v>4638230.70212825</v>
      </c>
      <c r="I56" s="84" t="n">
        <f aca="false">'Low pensions'!M56</f>
        <v>26073.814450277</v>
      </c>
      <c r="J56" s="84" t="n">
        <f aca="false">'Low pensions'!W56</f>
        <v>143450.43408644</v>
      </c>
      <c r="K56" s="9"/>
      <c r="L56" s="84" t="n">
        <f aca="false">'Low pensions'!N56</f>
        <v>3140164.68972187</v>
      </c>
      <c r="M56" s="67"/>
      <c r="N56" s="84" t="n">
        <f aca="false">'Low pensions'!L56</f>
        <v>877886.429273024</v>
      </c>
      <c r="O56" s="9"/>
      <c r="P56" s="84" t="n">
        <f aca="false">'Low pensions'!X56</f>
        <v>21124201.61817</v>
      </c>
      <c r="Q56" s="67"/>
      <c r="R56" s="84" t="n">
        <f aca="false">'Low SIPA income'!G51</f>
        <v>13854116.1715153</v>
      </c>
      <c r="S56" s="67"/>
      <c r="T56" s="84" t="n">
        <f aca="false">'Low SIPA income'!J51</f>
        <v>52972413.9415892</v>
      </c>
      <c r="U56" s="9"/>
      <c r="V56" s="84" t="n">
        <f aca="false">'Low SIPA income'!F51</f>
        <v>114034.36856076</v>
      </c>
      <c r="W56" s="67"/>
      <c r="X56" s="84" t="n">
        <f aca="false">'Low SIPA income'!M51</f>
        <v>286421.456803898</v>
      </c>
      <c r="Y56" s="9"/>
      <c r="Z56" s="9" t="n">
        <f aca="false">R56+V56-N56-L56-F56</f>
        <v>-10076863.9306571</v>
      </c>
      <c r="AA56" s="9"/>
      <c r="AB56" s="9" t="n">
        <f aca="false">T56-P56-D56</f>
        <v>-78334231.1283695</v>
      </c>
      <c r="AC56" s="50"/>
      <c r="AD56" s="9"/>
      <c r="AE56" s="9"/>
      <c r="AF56" s="9"/>
      <c r="AG56" s="9" t="n">
        <f aca="false">BF56/100*$AG$53</f>
        <v>5678104117.00031</v>
      </c>
      <c r="AH56" s="39" t="n">
        <f aca="false">(AG56-AG55)/AG55</f>
        <v>0.00929848555610423</v>
      </c>
      <c r="AI56" s="39"/>
      <c r="AJ56" s="39" t="n">
        <f aca="false">AB56/AG56</f>
        <v>-0.0137958426816859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12303032</v>
      </c>
      <c r="AX56" s="7"/>
      <c r="AY56" s="39" t="n">
        <f aca="false">(AW56-AW55)/AW55</f>
        <v>0.00354686783339257</v>
      </c>
      <c r="AZ56" s="38" t="n">
        <f aca="false">workers_and_wage_low!B44</f>
        <v>5900.74907684992</v>
      </c>
      <c r="BA56" s="39" t="n">
        <f aca="false">(AZ56-AZ55)/AZ55</f>
        <v>0.00573128959599962</v>
      </c>
      <c r="BB56" s="39"/>
      <c r="BC56" s="39"/>
      <c r="BD56" s="39"/>
      <c r="BE56" s="39"/>
      <c r="BF56" s="7" t="n">
        <f aca="false">BF55*(1+AY56)*(1+BA56)*(1-BE56)</f>
        <v>102.7784187632</v>
      </c>
      <c r="BG56" s="7"/>
      <c r="BH56" s="7"/>
      <c r="BI56" s="39" t="n">
        <f aca="false">T63/AG63</f>
        <v>0.0108525639885657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4" t="n">
        <f aca="false">'Low pensions'!Q57</f>
        <v>111015400.257536</v>
      </c>
      <c r="E57" s="9"/>
      <c r="F57" s="67" t="n">
        <f aca="false">'Low pensions'!I57</f>
        <v>20178363.11108</v>
      </c>
      <c r="G57" s="84" t="n">
        <f aca="false">'Low pensions'!K57</f>
        <v>943535.706189706</v>
      </c>
      <c r="H57" s="84" t="n">
        <f aca="false">'Low pensions'!V57</f>
        <v>5191055.06741578</v>
      </c>
      <c r="I57" s="84" t="n">
        <f aca="false">'Low pensions'!M57</f>
        <v>29181.51668628</v>
      </c>
      <c r="J57" s="84" t="n">
        <f aca="false">'Low pensions'!W57</f>
        <v>160548.094868532</v>
      </c>
      <c r="K57" s="9"/>
      <c r="L57" s="84" t="n">
        <f aca="false">'Low pensions'!N57</f>
        <v>3108753.41233225</v>
      </c>
      <c r="M57" s="67"/>
      <c r="N57" s="84" t="n">
        <f aca="false">'Low pensions'!L57</f>
        <v>886804.412103519</v>
      </c>
      <c r="O57" s="9"/>
      <c r="P57" s="84" t="n">
        <f aca="false">'Low pensions'!X57</f>
        <v>21010272.4607754</v>
      </c>
      <c r="Q57" s="67"/>
      <c r="R57" s="84" t="n">
        <f aca="false">'Low SIPA income'!G52</f>
        <v>16435608.2941263</v>
      </c>
      <c r="S57" s="67"/>
      <c r="T57" s="84" t="n">
        <f aca="false">'Low SIPA income'!J52</f>
        <v>62842972.8147034</v>
      </c>
      <c r="U57" s="9"/>
      <c r="V57" s="84" t="n">
        <f aca="false">'Low SIPA income'!F52</f>
        <v>115523.304606393</v>
      </c>
      <c r="W57" s="67"/>
      <c r="X57" s="84" t="n">
        <f aca="false">'Low SIPA income'!M52</f>
        <v>290161.234878355</v>
      </c>
      <c r="Y57" s="9"/>
      <c r="Z57" s="9" t="n">
        <f aca="false">R57+V57-N57-L57-F57</f>
        <v>-7622789.33678305</v>
      </c>
      <c r="AA57" s="9"/>
      <c r="AB57" s="9" t="n">
        <f aca="false">T57-P57-D57</f>
        <v>-69182699.9036085</v>
      </c>
      <c r="AC57" s="50"/>
      <c r="AD57" s="9"/>
      <c r="AE57" s="9"/>
      <c r="AF57" s="9"/>
      <c r="AG57" s="9" t="n">
        <f aca="false">BF57/100*$AG$53</f>
        <v>5737077580.78675</v>
      </c>
      <c r="AH57" s="39" t="n">
        <f aca="false">(AG57-AG56)/AG56</f>
        <v>0.0103861187768415</v>
      </c>
      <c r="AI57" s="39" t="n">
        <f aca="false">(AG57-AG53)/AG53</f>
        <v>0.0384588762817008</v>
      </c>
      <c r="AJ57" s="39" t="n">
        <f aca="false">AB57/AG57</f>
        <v>-0.0120588747370785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12342739</v>
      </c>
      <c r="AX57" s="7"/>
      <c r="AY57" s="39" t="n">
        <f aca="false">(AW57-AW56)/AW56</f>
        <v>0.00322741581099683</v>
      </c>
      <c r="AZ57" s="38" t="n">
        <f aca="false">workers_and_wage_low!B45</f>
        <v>5942.85489378775</v>
      </c>
      <c r="BA57" s="39" t="n">
        <f aca="false">(AZ57-AZ56)/AZ56</f>
        <v>0.00713567318139686</v>
      </c>
      <c r="BB57" s="39"/>
      <c r="BC57" s="39"/>
      <c r="BD57" s="39"/>
      <c r="BE57" s="39"/>
      <c r="BF57" s="7" t="n">
        <f aca="false">BF56*(1+AY57)*(1+BA57)*(1-BE57)</f>
        <v>103.84588762817</v>
      </c>
      <c r="BG57" s="73" t="n">
        <f aca="false">(BB57-BB53)/BB53</f>
        <v>-1</v>
      </c>
      <c r="BH57" s="7"/>
      <c r="BI57" s="39" t="n">
        <f aca="false">T64/AG64</f>
        <v>0.0093838414447153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3" t="n">
        <f aca="false">'Low pensions'!Q58</f>
        <v>111619624.890891</v>
      </c>
      <c r="E58" s="6"/>
      <c r="F58" s="8" t="n">
        <f aca="false">'Low pensions'!I58</f>
        <v>20288188.0905351</v>
      </c>
      <c r="G58" s="83" t="n">
        <f aca="false">'Low pensions'!K58</f>
        <v>1038852.8114572</v>
      </c>
      <c r="H58" s="83" t="n">
        <f aca="false">'Low pensions'!V58</f>
        <v>5715461.65750485</v>
      </c>
      <c r="I58" s="83" t="n">
        <f aca="false">'Low pensions'!M58</f>
        <v>32129.4683955801</v>
      </c>
      <c r="J58" s="83" t="n">
        <f aca="false">'Low pensions'!W58</f>
        <v>176766.855386729</v>
      </c>
      <c r="K58" s="6"/>
      <c r="L58" s="83" t="n">
        <f aca="false">'Low pensions'!N58</f>
        <v>3796488.11221711</v>
      </c>
      <c r="M58" s="8"/>
      <c r="N58" s="83" t="n">
        <f aca="false">'Low pensions'!L58</f>
        <v>893336.040382922</v>
      </c>
      <c r="O58" s="6"/>
      <c r="P58" s="83" t="n">
        <f aca="false">'Low pensions'!X58</f>
        <v>24614866.1794826</v>
      </c>
      <c r="Q58" s="8"/>
      <c r="R58" s="83" t="n">
        <f aca="false">'Low SIPA income'!G53</f>
        <v>13926943.2400318</v>
      </c>
      <c r="S58" s="8"/>
      <c r="T58" s="83" t="n">
        <f aca="false">'Low SIPA income'!J53</f>
        <v>53250874.5501082</v>
      </c>
      <c r="U58" s="6"/>
      <c r="V58" s="83" t="n">
        <f aca="false">'Low SIPA income'!F53</f>
        <v>117584.480249216</v>
      </c>
      <c r="W58" s="8"/>
      <c r="X58" s="83" t="n">
        <f aca="false">'Low SIPA income'!M53</f>
        <v>295338.313839699</v>
      </c>
      <c r="Y58" s="6"/>
      <c r="Z58" s="6" t="n">
        <f aca="false">R58+V58-N58-L58-F58</f>
        <v>-10933484.5228541</v>
      </c>
      <c r="AA58" s="6"/>
      <c r="AB58" s="6" t="n">
        <f aca="false">T58-P58-D58</f>
        <v>-82983616.5202652</v>
      </c>
      <c r="AC58" s="50"/>
      <c r="AD58" s="6"/>
      <c r="AE58" s="6"/>
      <c r="AF58" s="6"/>
      <c r="AG58" s="6" t="n">
        <f aca="false">BF58/100*$AG$53</f>
        <v>5806881195.65507</v>
      </c>
      <c r="AH58" s="61" t="n">
        <f aca="false">(AG58-AG57)/AG57</f>
        <v>0.0121671031784712</v>
      </c>
      <c r="AI58" s="61"/>
      <c r="AJ58" s="61" t="n">
        <f aca="false">AB58/AG58</f>
        <v>-0.0142905655762954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0.0118396937172038</v>
      </c>
      <c r="AV58" s="5"/>
      <c r="AW58" s="65" t="n">
        <f aca="false">workers_and_wage_low!C46</f>
        <v>12376723</v>
      </c>
      <c r="AX58" s="5"/>
      <c r="AY58" s="61" t="n">
        <f aca="false">(AW58-AW57)/AW57</f>
        <v>0.00275335968782942</v>
      </c>
      <c r="AZ58" s="66" t="n">
        <f aca="false">workers_and_wage_low!B46</f>
        <v>5998.64579294728</v>
      </c>
      <c r="BA58" s="61" t="n">
        <f aca="false">(AZ58-AZ57)/AZ57</f>
        <v>0.00938789523833898</v>
      </c>
      <c r="BB58" s="61"/>
      <c r="BC58" s="61"/>
      <c r="BD58" s="61"/>
      <c r="BE58" s="61"/>
      <c r="BF58" s="5" t="n">
        <f aca="false">BF57*(1+AY58)*(1+BA58)*(1-BE58)</f>
        <v>105.109391257602</v>
      </c>
      <c r="BG58" s="5"/>
      <c r="BH58" s="5"/>
      <c r="BI58" s="61" t="n">
        <f aca="false">T65/AG65</f>
        <v>0.0110103445918325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4" t="n">
        <f aca="false">'Low pensions'!Q59</f>
        <v>112360970.153418</v>
      </c>
      <c r="E59" s="9"/>
      <c r="F59" s="67" t="n">
        <f aca="false">'Low pensions'!I59</f>
        <v>20422936.3674702</v>
      </c>
      <c r="G59" s="84" t="n">
        <f aca="false">'Low pensions'!K59</f>
        <v>1138765.35818584</v>
      </c>
      <c r="H59" s="84" t="n">
        <f aca="false">'Low pensions'!V59</f>
        <v>6265151.01063872</v>
      </c>
      <c r="I59" s="84" t="n">
        <f aca="false">'Low pensions'!M59</f>
        <v>35219.5471603898</v>
      </c>
      <c r="J59" s="84" t="n">
        <f aca="false">'Low pensions'!W59</f>
        <v>193767.55703008</v>
      </c>
      <c r="K59" s="9"/>
      <c r="L59" s="84" t="n">
        <f aca="false">'Low pensions'!N59</f>
        <v>3090373.19047017</v>
      </c>
      <c r="M59" s="67"/>
      <c r="N59" s="84" t="n">
        <f aca="false">'Low pensions'!L59</f>
        <v>901852.997629311</v>
      </c>
      <c r="O59" s="9"/>
      <c r="P59" s="84" t="n">
        <f aca="false">'Low pensions'!X59</f>
        <v>20997690.2796696</v>
      </c>
      <c r="Q59" s="67"/>
      <c r="R59" s="84" t="n">
        <f aca="false">'Low SIPA income'!G54</f>
        <v>16703022.2963789</v>
      </c>
      <c r="S59" s="67"/>
      <c r="T59" s="84" t="n">
        <f aca="false">'Low SIPA income'!J54</f>
        <v>63865453.4295422</v>
      </c>
      <c r="U59" s="9"/>
      <c r="V59" s="84" t="n">
        <f aca="false">'Low SIPA income'!F54</f>
        <v>117560.961396476</v>
      </c>
      <c r="W59" s="67"/>
      <c r="X59" s="84" t="n">
        <f aca="false">'Low SIPA income'!M54</f>
        <v>295279.241262289</v>
      </c>
      <c r="Y59" s="9"/>
      <c r="Z59" s="9" t="n">
        <f aca="false">R59+V59-N59-L59-F59</f>
        <v>-7594579.2977943</v>
      </c>
      <c r="AA59" s="9"/>
      <c r="AB59" s="9" t="n">
        <f aca="false">T59-P59-D59</f>
        <v>-69493207.0035457</v>
      </c>
      <c r="AC59" s="50"/>
      <c r="AD59" s="9"/>
      <c r="AE59" s="9"/>
      <c r="AF59" s="9"/>
      <c r="AG59" s="9" t="n">
        <f aca="false">BF59/100*$AG$53</f>
        <v>5886522500.57515</v>
      </c>
      <c r="AH59" s="39" t="n">
        <f aca="false">(AG59-AG58)/AG58</f>
        <v>0.0137149878285201</v>
      </c>
      <c r="AI59" s="39"/>
      <c r="AJ59" s="39" t="n">
        <f aca="false">AB59/AG59</f>
        <v>-0.011805477172092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12449927</v>
      </c>
      <c r="AX59" s="7"/>
      <c r="AY59" s="39" t="n">
        <f aca="false">(AW59-AW58)/AW58</f>
        <v>0.00591465123684193</v>
      </c>
      <c r="AZ59" s="38" t="n">
        <f aca="false">workers_and_wage_low!B47</f>
        <v>6045.1621213671</v>
      </c>
      <c r="BA59" s="39" t="n">
        <f aca="false">(AZ59-AZ58)/AZ58</f>
        <v>0.00775447159665767</v>
      </c>
      <c r="BB59" s="39"/>
      <c r="BC59" s="39"/>
      <c r="BD59" s="39"/>
      <c r="BE59" s="39"/>
      <c r="BF59" s="7" t="n">
        <f aca="false">BF58*(1+AY59)*(1+BA59)*(1-BE59)</f>
        <v>106.550965279363</v>
      </c>
      <c r="BG59" s="7"/>
      <c r="BH59" s="7"/>
      <c r="BI59" s="39" t="n">
        <f aca="false">T66/AG66</f>
        <v>0.00928583973038444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4" t="n">
        <f aca="false">'Low pensions'!Q60</f>
        <v>112875245.436121</v>
      </c>
      <c r="E60" s="9"/>
      <c r="F60" s="67" t="n">
        <f aca="false">'Low pensions'!I60</f>
        <v>20516411.9876936</v>
      </c>
      <c r="G60" s="84" t="n">
        <f aca="false">'Low pensions'!K60</f>
        <v>1203596.92182713</v>
      </c>
      <c r="H60" s="84" t="n">
        <f aca="false">'Low pensions'!V60</f>
        <v>6621835.14538936</v>
      </c>
      <c r="I60" s="84" t="n">
        <f aca="false">'Low pensions'!M60</f>
        <v>37224.6470668199</v>
      </c>
      <c r="J60" s="84" t="n">
        <f aca="false">'Low pensions'!W60</f>
        <v>204799.025115143</v>
      </c>
      <c r="K60" s="9"/>
      <c r="L60" s="84" t="n">
        <f aca="false">'Low pensions'!N60</f>
        <v>3121820.34150769</v>
      </c>
      <c r="M60" s="67"/>
      <c r="N60" s="84" t="n">
        <f aca="false">'Low pensions'!L60</f>
        <v>906910.303595878</v>
      </c>
      <c r="O60" s="9"/>
      <c r="P60" s="84" t="n">
        <f aca="false">'Low pensions'!X60</f>
        <v>21188693.5011783</v>
      </c>
      <c r="Q60" s="67"/>
      <c r="R60" s="84" t="n">
        <f aca="false">'Low SIPA income'!G55</f>
        <v>14566033.3620915</v>
      </c>
      <c r="S60" s="67"/>
      <c r="T60" s="84" t="n">
        <f aca="false">'Low SIPA income'!J55</f>
        <v>55694491.0228307</v>
      </c>
      <c r="U60" s="9"/>
      <c r="V60" s="84" t="n">
        <f aca="false">'Low SIPA income'!F55</f>
        <v>120976.257520257</v>
      </c>
      <c r="W60" s="67"/>
      <c r="X60" s="84" t="n">
        <f aca="false">'Low SIPA income'!M55</f>
        <v>303857.480468032</v>
      </c>
      <c r="Y60" s="9"/>
      <c r="Z60" s="9" t="n">
        <f aca="false">R60+V60-N60-L60-F60</f>
        <v>-9858133.01318536</v>
      </c>
      <c r="AA60" s="9"/>
      <c r="AB60" s="9" t="n">
        <f aca="false">T60-P60-D60</f>
        <v>-78369447.9144684</v>
      </c>
      <c r="AC60" s="50"/>
      <c r="AD60" s="9"/>
      <c r="AE60" s="9"/>
      <c r="AF60" s="9"/>
      <c r="AG60" s="9" t="n">
        <f aca="false">BF60/100*$AG$53</f>
        <v>5947498515.97265</v>
      </c>
      <c r="AH60" s="39" t="n">
        <f aca="false">(AG60-AG59)/AG59</f>
        <v>0.0103585801959561</v>
      </c>
      <c r="AI60" s="39"/>
      <c r="AJ60" s="39" t="n">
        <f aca="false">AB60/AG60</f>
        <v>-0.0131768755728141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12480124</v>
      </c>
      <c r="AX60" s="7"/>
      <c r="AY60" s="39" t="n">
        <f aca="false">(AW60-AW59)/AW59</f>
        <v>0.00242547606905647</v>
      </c>
      <c r="AZ60" s="38" t="n">
        <f aca="false">workers_and_wage_low!B48</f>
        <v>6093.00298506986</v>
      </c>
      <c r="BA60" s="39" t="n">
        <f aca="false">(AZ60-AZ59)/AZ59</f>
        <v>0.00791390912969286</v>
      </c>
      <c r="BB60" s="39"/>
      <c r="BC60" s="39"/>
      <c r="BD60" s="39"/>
      <c r="BE60" s="39"/>
      <c r="BF60" s="7" t="n">
        <f aca="false">BF59*(1+AY60)*(1+BA60)*(1-BE60)</f>
        <v>107.654681998166</v>
      </c>
      <c r="BG60" s="7"/>
      <c r="BH60" s="7"/>
      <c r="BI60" s="39" t="n">
        <f aca="false">T67/AG67</f>
        <v>0.0108569646280706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4" t="n">
        <f aca="false">'Low pensions'!Q61</f>
        <v>113540516.21416</v>
      </c>
      <c r="E61" s="9"/>
      <c r="F61" s="67" t="n">
        <f aca="false">'Low pensions'!I61</f>
        <v>20637332.8265621</v>
      </c>
      <c r="G61" s="84" t="n">
        <f aca="false">'Low pensions'!K61</f>
        <v>1234482.76429155</v>
      </c>
      <c r="H61" s="84" t="n">
        <f aca="false">'Low pensions'!V61</f>
        <v>6791759.93783182</v>
      </c>
      <c r="I61" s="84" t="n">
        <f aca="false">'Low pensions'!M61</f>
        <v>38179.87930799</v>
      </c>
      <c r="J61" s="84" t="n">
        <f aca="false">'Low pensions'!W61</f>
        <v>210054.431066985</v>
      </c>
      <c r="K61" s="9"/>
      <c r="L61" s="84" t="n">
        <f aca="false">'Low pensions'!N61</f>
        <v>3110412.45326451</v>
      </c>
      <c r="M61" s="67"/>
      <c r="N61" s="84" t="n">
        <f aca="false">'Low pensions'!L61</f>
        <v>913626.833535511</v>
      </c>
      <c r="O61" s="9"/>
      <c r="P61" s="84" t="n">
        <f aca="false">'Low pensions'!X61</f>
        <v>21166450.2808848</v>
      </c>
      <c r="Q61" s="67"/>
      <c r="R61" s="84" t="n">
        <f aca="false">'Low SIPA income'!G56</f>
        <v>17281394.7327877</v>
      </c>
      <c r="S61" s="67"/>
      <c r="T61" s="84" t="n">
        <f aca="false">'Low SIPA income'!J56</f>
        <v>66076910.5686738</v>
      </c>
      <c r="U61" s="9"/>
      <c r="V61" s="84" t="n">
        <f aca="false">'Low SIPA income'!F56</f>
        <v>122626.084435387</v>
      </c>
      <c r="W61" s="67"/>
      <c r="X61" s="84" t="n">
        <f aca="false">'Low SIPA income'!M56</f>
        <v>308001.370020541</v>
      </c>
      <c r="Y61" s="9"/>
      <c r="Z61" s="9" t="n">
        <f aca="false">R61+V61-N61-L61-F61</f>
        <v>-7257351.29613905</v>
      </c>
      <c r="AA61" s="9"/>
      <c r="AB61" s="9" t="n">
        <f aca="false">T61-P61-D61</f>
        <v>-68630055.9263713</v>
      </c>
      <c r="AC61" s="50"/>
      <c r="AD61" s="9"/>
      <c r="AE61" s="9"/>
      <c r="AF61" s="9"/>
      <c r="AG61" s="9" t="n">
        <f aca="false">BF61/100*$AG$53</f>
        <v>6013623421.02583</v>
      </c>
      <c r="AH61" s="39" t="n">
        <f aca="false">(AG61-AG60)/AG60</f>
        <v>0.0111181036658679</v>
      </c>
      <c r="AI61" s="39" t="n">
        <f aca="false">(AG61-AG57)/AG57</f>
        <v>0.0482032596465536</v>
      </c>
      <c r="AJ61" s="39" t="n">
        <f aca="false">AB61/AG61</f>
        <v>-0.0114124299314146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12457117</v>
      </c>
      <c r="AX61" s="7"/>
      <c r="AY61" s="39" t="n">
        <f aca="false">(AW61-AW60)/AW60</f>
        <v>-0.00184349129864415</v>
      </c>
      <c r="AZ61" s="38" t="n">
        <f aca="false">workers_and_wage_low!B49</f>
        <v>6172.12388056228</v>
      </c>
      <c r="BA61" s="39" t="n">
        <f aca="false">(AZ61-AZ60)/AZ60</f>
        <v>0.0129855336828647</v>
      </c>
      <c r="BB61" s="39"/>
      <c r="BC61" s="39"/>
      <c r="BD61" s="39"/>
      <c r="BE61" s="39"/>
      <c r="BF61" s="7" t="n">
        <f aca="false">BF60*(1+AY61)*(1+BA61)*(1-BE61)</f>
        <v>108.851597912738</v>
      </c>
      <c r="BG61" s="7"/>
      <c r="BH61" s="7"/>
      <c r="BI61" s="39" t="n">
        <f aca="false">T68/AG68</f>
        <v>0.00939200239578807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3" t="n">
        <f aca="false">'Low pensions'!Q62</f>
        <v>113871171.638851</v>
      </c>
      <c r="E62" s="6"/>
      <c r="F62" s="8" t="n">
        <f aca="false">'Low pensions'!I62</f>
        <v>20697433.3640424</v>
      </c>
      <c r="G62" s="83" t="n">
        <f aca="false">'Low pensions'!K62</f>
        <v>1301967.48499127</v>
      </c>
      <c r="H62" s="83" t="n">
        <f aca="false">'Low pensions'!V62</f>
        <v>7163040.95991005</v>
      </c>
      <c r="I62" s="83" t="n">
        <f aca="false">'Low pensions'!M62</f>
        <v>40267.0356182801</v>
      </c>
      <c r="J62" s="83" t="n">
        <f aca="false">'Low pensions'!W62</f>
        <v>221537.349275532</v>
      </c>
      <c r="K62" s="6"/>
      <c r="L62" s="83" t="n">
        <f aca="false">'Low pensions'!N62</f>
        <v>3698797.50708539</v>
      </c>
      <c r="M62" s="8"/>
      <c r="N62" s="83" t="n">
        <f aca="false">'Low pensions'!L62</f>
        <v>918129.865353923</v>
      </c>
      <c r="O62" s="6"/>
      <c r="P62" s="83" t="n">
        <f aca="false">'Low pensions'!X62</f>
        <v>24244357.4746819</v>
      </c>
      <c r="Q62" s="8"/>
      <c r="R62" s="83" t="n">
        <f aca="false">'Low SIPA income'!G57</f>
        <v>14672417.2272587</v>
      </c>
      <c r="S62" s="8"/>
      <c r="T62" s="83" t="n">
        <f aca="false">'Low SIPA income'!J57</f>
        <v>56101258.9517677</v>
      </c>
      <c r="U62" s="6"/>
      <c r="V62" s="83" t="n">
        <f aca="false">'Low SIPA income'!F57</f>
        <v>122778.913368185</v>
      </c>
      <c r="W62" s="8"/>
      <c r="X62" s="83" t="n">
        <f aca="false">'Low SIPA income'!M57</f>
        <v>308385.232237925</v>
      </c>
      <c r="Y62" s="6"/>
      <c r="Z62" s="6" t="n">
        <f aca="false">R62+V62-N62-L62-F62</f>
        <v>-10519164.5958549</v>
      </c>
      <c r="AA62" s="6"/>
      <c r="AB62" s="6" t="n">
        <f aca="false">T62-P62-D62</f>
        <v>-82014270.1617656</v>
      </c>
      <c r="AC62" s="50"/>
      <c r="AD62" s="6"/>
      <c r="AE62" s="6"/>
      <c r="AF62" s="6"/>
      <c r="AG62" s="6" t="n">
        <f aca="false">BF62/100*$AG$53</f>
        <v>6059820442.18122</v>
      </c>
      <c r="AH62" s="61" t="n">
        <f aca="false">(AG62-AG61)/AG61</f>
        <v>0.00768206086764001</v>
      </c>
      <c r="AI62" s="61"/>
      <c r="AJ62" s="61" t="n">
        <f aca="false">AB62/AG62</f>
        <v>-0.0135341089631766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0.00994066911236711</v>
      </c>
      <c r="AV62" s="5"/>
      <c r="AW62" s="65" t="n">
        <f aca="false">workers_and_wage_low!C50</f>
        <v>12462186</v>
      </c>
      <c r="AX62" s="5"/>
      <c r="AY62" s="61" t="n">
        <f aca="false">(AW62-AW61)/AW61</f>
        <v>0.00040691598224533</v>
      </c>
      <c r="AZ62" s="66" t="n">
        <f aca="false">workers_and_wage_low!B50</f>
        <v>6217.00871168883</v>
      </c>
      <c r="BA62" s="61" t="n">
        <f aca="false">(AZ62-AZ61)/AZ61</f>
        <v>0.0072721857168008</v>
      </c>
      <c r="BB62" s="61"/>
      <c r="BC62" s="61"/>
      <c r="BD62" s="61"/>
      <c r="BE62" s="61"/>
      <c r="BF62" s="5" t="n">
        <f aca="false">BF61*(1+AY62)*(1+BA62)*(1-BE62)</f>
        <v>109.687802513443</v>
      </c>
      <c r="BG62" s="5"/>
      <c r="BH62" s="5"/>
      <c r="BI62" s="61" t="n">
        <f aca="false">T69/AG69</f>
        <v>0.0110050838174777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4" t="n">
        <f aca="false">'Low pensions'!Q63</f>
        <v>114467717.941709</v>
      </c>
      <c r="E63" s="9"/>
      <c r="F63" s="67" t="n">
        <f aca="false">'Low pensions'!I63</f>
        <v>20805862.7160396</v>
      </c>
      <c r="G63" s="84" t="n">
        <f aca="false">'Low pensions'!K63</f>
        <v>1333991.64412855</v>
      </c>
      <c r="H63" s="84" t="n">
        <f aca="false">'Low pensions'!V63</f>
        <v>7339228.43482886</v>
      </c>
      <c r="I63" s="84" t="n">
        <f aca="false">'Low pensions'!M63</f>
        <v>41257.47352975</v>
      </c>
      <c r="J63" s="84" t="n">
        <f aca="false">'Low pensions'!W63</f>
        <v>226986.446438012</v>
      </c>
      <c r="K63" s="9"/>
      <c r="L63" s="84" t="n">
        <f aca="false">'Low pensions'!N63</f>
        <v>3094514.94847257</v>
      </c>
      <c r="M63" s="67"/>
      <c r="N63" s="84" t="n">
        <f aca="false">'Low pensions'!L63</f>
        <v>923772.95339065</v>
      </c>
      <c r="O63" s="9"/>
      <c r="P63" s="84" t="n">
        <f aca="false">'Low pensions'!X63</f>
        <v>21139779.0107995</v>
      </c>
      <c r="Q63" s="67"/>
      <c r="R63" s="84" t="n">
        <f aca="false">'Low SIPA income'!G58</f>
        <v>17379874.4975981</v>
      </c>
      <c r="S63" s="67"/>
      <c r="T63" s="84" t="n">
        <f aca="false">'Low SIPA income'!J58</f>
        <v>66453456.4848346</v>
      </c>
      <c r="U63" s="9"/>
      <c r="V63" s="84" t="n">
        <f aca="false">'Low SIPA income'!F58</f>
        <v>125528.876272504</v>
      </c>
      <c r="W63" s="67"/>
      <c r="X63" s="84" t="n">
        <f aca="false">'Low SIPA income'!M58</f>
        <v>315292.34621727</v>
      </c>
      <c r="Y63" s="9"/>
      <c r="Z63" s="9" t="n">
        <f aca="false">R63+V63-N63-L63-F63</f>
        <v>-7318747.24403222</v>
      </c>
      <c r="AA63" s="9"/>
      <c r="AB63" s="9" t="n">
        <f aca="false">T63-P63-D63</f>
        <v>-69154040.4676735</v>
      </c>
      <c r="AC63" s="50"/>
      <c r="AD63" s="9"/>
      <c r="AE63" s="9"/>
      <c r="AF63" s="9"/>
      <c r="AG63" s="9" t="n">
        <f aca="false">BF63/100*$AG$53</f>
        <v>6123295523.05339</v>
      </c>
      <c r="AH63" s="39" t="n">
        <f aca="false">(AG63-AG62)/AG62</f>
        <v>0.010474746154248</v>
      </c>
      <c r="AI63" s="39"/>
      <c r="AJ63" s="39" t="n">
        <f aca="false">AB63/AG63</f>
        <v>-0.011293598391147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12538266</v>
      </c>
      <c r="AX63" s="7"/>
      <c r="AY63" s="39" t="n">
        <f aca="false">(AW63-AW62)/AW62</f>
        <v>0.00610486795815758</v>
      </c>
      <c r="AZ63" s="38" t="n">
        <f aca="false">workers_and_wage_low!B51</f>
        <v>6244.011434446</v>
      </c>
      <c r="BA63" s="39" t="n">
        <f aca="false">(AZ63-AZ62)/AZ62</f>
        <v>0.00434336254128149</v>
      </c>
      <c r="BB63" s="39"/>
      <c r="BC63" s="39"/>
      <c r="BD63" s="39"/>
      <c r="BE63" s="39"/>
      <c r="BF63" s="7" t="n">
        <f aca="false">BF62*(1+AY63)*(1+BA63)*(1-BE63)</f>
        <v>110.836754400989</v>
      </c>
      <c r="BG63" s="7"/>
      <c r="BH63" s="7"/>
      <c r="BI63" s="39" t="n">
        <f aca="false">T70/AG70</f>
        <v>0.009298899289842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4" t="n">
        <f aca="false">'Low pensions'!Q64</f>
        <v>115382354.943871</v>
      </c>
      <c r="E64" s="9"/>
      <c r="F64" s="67" t="n">
        <f aca="false">'Low pensions'!I64</f>
        <v>20972108.8179465</v>
      </c>
      <c r="G64" s="84" t="n">
        <f aca="false">'Low pensions'!K64</f>
        <v>1429299.38769567</v>
      </c>
      <c r="H64" s="84" t="n">
        <f aca="false">'Low pensions'!V64</f>
        <v>7863583.51960462</v>
      </c>
      <c r="I64" s="84" t="n">
        <f aca="false">'Low pensions'!M64</f>
        <v>44205.1357019201</v>
      </c>
      <c r="J64" s="84" t="n">
        <f aca="false">'Low pensions'!W64</f>
        <v>243203.614008348</v>
      </c>
      <c r="K64" s="9"/>
      <c r="L64" s="84" t="n">
        <f aca="false">'Low pensions'!N64</f>
        <v>3101699.50787958</v>
      </c>
      <c r="M64" s="67"/>
      <c r="N64" s="84" t="n">
        <f aca="false">'Low pensions'!L64</f>
        <v>932336.934888877</v>
      </c>
      <c r="O64" s="9"/>
      <c r="P64" s="84" t="n">
        <f aca="false">'Low pensions'!X64</f>
        <v>21224176.2231366</v>
      </c>
      <c r="Q64" s="67"/>
      <c r="R64" s="84" t="n">
        <f aca="false">'Low SIPA income'!G59</f>
        <v>15141989.9604664</v>
      </c>
      <c r="S64" s="67"/>
      <c r="T64" s="84" t="n">
        <f aca="false">'Low SIPA income'!J59</f>
        <v>57896710.9958546</v>
      </c>
      <c r="U64" s="9"/>
      <c r="V64" s="84" t="n">
        <f aca="false">'Low SIPA income'!F59</f>
        <v>126490.965498547</v>
      </c>
      <c r="W64" s="67"/>
      <c r="X64" s="84" t="n">
        <f aca="false">'Low SIPA income'!M59</f>
        <v>317708.836975069</v>
      </c>
      <c r="Y64" s="9"/>
      <c r="Z64" s="9" t="n">
        <f aca="false">R64+V64-N64-L64-F64</f>
        <v>-9737664.33475002</v>
      </c>
      <c r="AA64" s="9"/>
      <c r="AB64" s="9" t="n">
        <f aca="false">T64-P64-D64</f>
        <v>-78709820.1711529</v>
      </c>
      <c r="AC64" s="50"/>
      <c r="AD64" s="9"/>
      <c r="AE64" s="9"/>
      <c r="AF64" s="9"/>
      <c r="AG64" s="9" t="n">
        <f aca="false">BF64/100*$AG$53</f>
        <v>6169830483.27829</v>
      </c>
      <c r="AH64" s="39" t="n">
        <f aca="false">(AG64-AG63)/AG63</f>
        <v>0.00759965937454718</v>
      </c>
      <c r="AI64" s="39"/>
      <c r="AJ64" s="39" t="n">
        <f aca="false">AB64/AG64</f>
        <v>-0.0127572095188799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12575479</v>
      </c>
      <c r="AX64" s="7"/>
      <c r="AY64" s="39" t="n">
        <f aca="false">(AW64-AW63)/AW63</f>
        <v>0.00296795426097995</v>
      </c>
      <c r="AZ64" s="38" t="n">
        <f aca="false">workers_and_wage_low!B52</f>
        <v>6272.84627365221</v>
      </c>
      <c r="BA64" s="39" t="n">
        <f aca="false">(AZ64-AZ63)/AZ63</f>
        <v>0.00461799910345107</v>
      </c>
      <c r="BB64" s="39"/>
      <c r="BC64" s="39"/>
      <c r="BD64" s="39"/>
      <c r="BE64" s="39"/>
      <c r="BF64" s="7" t="n">
        <f aca="false">BF63*(1+AY64)*(1+BA64)*(1-BE64)</f>
        <v>111.679075980617</v>
      </c>
      <c r="BG64" s="7"/>
      <c r="BH64" s="7"/>
      <c r="BI64" s="39" t="n">
        <f aca="false">T71/AG71</f>
        <v>0.0109540904045576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4" t="n">
        <f aca="false">'Low pensions'!Q65</f>
        <v>115808506.980109</v>
      </c>
      <c r="E65" s="9"/>
      <c r="F65" s="67" t="n">
        <f aca="false">'Low pensions'!I65</f>
        <v>21049566.9949904</v>
      </c>
      <c r="G65" s="84" t="n">
        <f aca="false">'Low pensions'!K65</f>
        <v>1489177.30256263</v>
      </c>
      <c r="H65" s="84" t="n">
        <f aca="false">'Low pensions'!V65</f>
        <v>8193014.14036158</v>
      </c>
      <c r="I65" s="84" t="n">
        <f aca="false">'Low pensions'!M65</f>
        <v>46057.02997617</v>
      </c>
      <c r="J65" s="84" t="n">
        <f aca="false">'Low pensions'!W65</f>
        <v>253392.189908124</v>
      </c>
      <c r="K65" s="9"/>
      <c r="L65" s="84" t="n">
        <f aca="false">'Low pensions'!N65</f>
        <v>3069865.31833956</v>
      </c>
      <c r="M65" s="67"/>
      <c r="N65" s="84" t="n">
        <f aca="false">'Low pensions'!L65</f>
        <v>937251.798271835</v>
      </c>
      <c r="O65" s="9"/>
      <c r="P65" s="84" t="n">
        <f aca="false">'Low pensions'!X65</f>
        <v>21086028.590494</v>
      </c>
      <c r="Q65" s="67"/>
      <c r="R65" s="84" t="n">
        <f aca="false">'Low SIPA income'!G60</f>
        <v>18015396.2510414</v>
      </c>
      <c r="S65" s="67"/>
      <c r="T65" s="84" t="n">
        <f aca="false">'Low SIPA income'!J60</f>
        <v>68883428.9908761</v>
      </c>
      <c r="U65" s="9"/>
      <c r="V65" s="84" t="n">
        <f aca="false">'Low SIPA income'!F60</f>
        <v>128226.960688537</v>
      </c>
      <c r="W65" s="67"/>
      <c r="X65" s="84" t="n">
        <f aca="false">'Low SIPA income'!M60</f>
        <v>322069.156391023</v>
      </c>
      <c r="Y65" s="9"/>
      <c r="Z65" s="9" t="n">
        <f aca="false">R65+V65-N65-L65-F65</f>
        <v>-6913060.8998718</v>
      </c>
      <c r="AA65" s="9"/>
      <c r="AB65" s="9" t="n">
        <f aca="false">T65-P65-D65</f>
        <v>-68011106.5797269</v>
      </c>
      <c r="AC65" s="50"/>
      <c r="AD65" s="9"/>
      <c r="AE65" s="9"/>
      <c r="AF65" s="9"/>
      <c r="AG65" s="9" t="n">
        <f aca="false">BF65/100*$AG$53</f>
        <v>6256246425.01869</v>
      </c>
      <c r="AH65" s="39" t="n">
        <f aca="false">(AG65-AG64)/AG64</f>
        <v>0.0140062100530332</v>
      </c>
      <c r="AI65" s="39" t="n">
        <f aca="false">(AG65-AG61)/AG61</f>
        <v>0.040345559907286</v>
      </c>
      <c r="AJ65" s="39" t="n">
        <f aca="false">AB65/AG65</f>
        <v>-0.0108709123585272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12641171</v>
      </c>
      <c r="AX65" s="7"/>
      <c r="AY65" s="39" t="n">
        <f aca="false">(AW65-AW64)/AW64</f>
        <v>0.00522381692180473</v>
      </c>
      <c r="AZ65" s="38" t="n">
        <f aca="false">workers_and_wage_low!B53</f>
        <v>6327.65058797464</v>
      </c>
      <c r="BA65" s="39" t="n">
        <f aca="false">(AZ65-AZ64)/AZ64</f>
        <v>0.0087367539282167</v>
      </c>
      <c r="BB65" s="39"/>
      <c r="BC65" s="39"/>
      <c r="BD65" s="39"/>
      <c r="BE65" s="39"/>
      <c r="BF65" s="7" t="n">
        <f aca="false">BF64*(1+AY65)*(1+BA65)*(1-BE65)</f>
        <v>113.24327657733</v>
      </c>
      <c r="BG65" s="7"/>
      <c r="BH65" s="7"/>
      <c r="BI65" s="39" t="n">
        <f aca="false">T72/AG72</f>
        <v>0.00945345310514847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3" t="n">
        <f aca="false">'Low pensions'!Q66</f>
        <v>116413225.562057</v>
      </c>
      <c r="E66" s="6"/>
      <c r="F66" s="8" t="n">
        <f aca="false">'Low pensions'!I66</f>
        <v>21159481.7554493</v>
      </c>
      <c r="G66" s="83" t="n">
        <f aca="false">'Low pensions'!K66</f>
        <v>1562039.58001279</v>
      </c>
      <c r="H66" s="83" t="n">
        <f aca="false">'Low pensions'!V66</f>
        <v>8593880.89304498</v>
      </c>
      <c r="I66" s="83" t="n">
        <f aca="false">'Low pensions'!M66</f>
        <v>48310.50247463</v>
      </c>
      <c r="J66" s="83" t="n">
        <f aca="false">'Low pensions'!W66</f>
        <v>265790.130712773</v>
      </c>
      <c r="K66" s="6"/>
      <c r="L66" s="83" t="n">
        <f aca="false">'Low pensions'!N66</f>
        <v>3722591.7087187</v>
      </c>
      <c r="M66" s="8"/>
      <c r="N66" s="83" t="n">
        <f aca="false">'Low pensions'!L66</f>
        <v>943561.33915877</v>
      </c>
      <c r="O66" s="6"/>
      <c r="P66" s="83" t="n">
        <f aca="false">'Low pensions'!X66</f>
        <v>24507742.1654464</v>
      </c>
      <c r="Q66" s="8"/>
      <c r="R66" s="83" t="n">
        <f aca="false">'Low SIPA income'!G61</f>
        <v>15246506.5995232</v>
      </c>
      <c r="S66" s="8"/>
      <c r="T66" s="83" t="n">
        <f aca="false">'Low SIPA income'!J61</f>
        <v>58296339.423923</v>
      </c>
      <c r="U66" s="6"/>
      <c r="V66" s="83" t="n">
        <f aca="false">'Low SIPA income'!F61</f>
        <v>132076.465420728</v>
      </c>
      <c r="W66" s="8"/>
      <c r="X66" s="83" t="n">
        <f aca="false">'Low SIPA income'!M61</f>
        <v>331738.002435276</v>
      </c>
      <c r="Y66" s="6"/>
      <c r="Z66" s="6" t="n">
        <f aca="false">R66+V66-N66-L66-F66</f>
        <v>-10447051.7383829</v>
      </c>
      <c r="AA66" s="6"/>
      <c r="AB66" s="6" t="n">
        <f aca="false">T66-P66-D66</f>
        <v>-82624628.3035804</v>
      </c>
      <c r="AC66" s="50"/>
      <c r="AD66" s="6"/>
      <c r="AE66" s="6"/>
      <c r="AF66" s="6"/>
      <c r="AG66" s="6" t="n">
        <f aca="false">BF66/100*$AG$53</f>
        <v>6277982510.63606</v>
      </c>
      <c r="AH66" s="61" t="n">
        <f aca="false">(AG66-AG65)/AG65</f>
        <v>0.00347430138468401</v>
      </c>
      <c r="AI66" s="61"/>
      <c r="AJ66" s="61" t="n">
        <f aca="false">AB66/AG66</f>
        <v>-0.0131610160053169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0.00216846087424002</v>
      </c>
      <c r="AV66" s="5"/>
      <c r="AW66" s="65" t="n">
        <f aca="false">workers_and_wage_low!C54</f>
        <v>12633484</v>
      </c>
      <c r="AX66" s="5"/>
      <c r="AY66" s="61" t="n">
        <f aca="false">(AW66-AW65)/AW65</f>
        <v>-0.000608092399034868</v>
      </c>
      <c r="AZ66" s="66" t="n">
        <f aca="false">workers_and_wage_low!B54</f>
        <v>6353.49826717779</v>
      </c>
      <c r="BA66" s="61" t="n">
        <f aca="false">(AZ66-AZ65)/AZ65</f>
        <v>0.00408487776684001</v>
      </c>
      <c r="BB66" s="61"/>
      <c r="BC66" s="61"/>
      <c r="BD66" s="61"/>
      <c r="BE66" s="61"/>
      <c r="BF66" s="5" t="n">
        <f aca="false">BF65*(1+AY66)*(1+BA66)*(1-BE66)</f>
        <v>113.636717849949</v>
      </c>
      <c r="BG66" s="5"/>
      <c r="BH66" s="5"/>
      <c r="BI66" s="61" t="n">
        <f aca="false">T73/AG73</f>
        <v>0.011094368430032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4" t="n">
        <f aca="false">'Low pensions'!Q67</f>
        <v>116567368.922402</v>
      </c>
      <c r="E67" s="9"/>
      <c r="F67" s="67" t="n">
        <f aca="false">'Low pensions'!I67</f>
        <v>21187499.1358217</v>
      </c>
      <c r="G67" s="84" t="n">
        <f aca="false">'Low pensions'!K67</f>
        <v>1629700.84958966</v>
      </c>
      <c r="H67" s="84" t="n">
        <f aca="false">'Low pensions'!V67</f>
        <v>8966133.23495495</v>
      </c>
      <c r="I67" s="84" t="n">
        <f aca="false">'Low pensions'!M67</f>
        <v>50403.11905947</v>
      </c>
      <c r="J67" s="84" t="n">
        <f aca="false">'Low pensions'!W67</f>
        <v>277303.089740853</v>
      </c>
      <c r="K67" s="9"/>
      <c r="L67" s="84" t="n">
        <f aca="false">'Low pensions'!N67</f>
        <v>3079746.20746025</v>
      </c>
      <c r="M67" s="67"/>
      <c r="N67" s="84" t="n">
        <f aca="false">'Low pensions'!L67</f>
        <v>947363.517006028</v>
      </c>
      <c r="O67" s="9"/>
      <c r="P67" s="84" t="n">
        <f aca="false">'Low pensions'!X67</f>
        <v>21192932.2641492</v>
      </c>
      <c r="Q67" s="67"/>
      <c r="R67" s="84" t="n">
        <f aca="false">'Low SIPA income'!G62</f>
        <v>17796314.9996329</v>
      </c>
      <c r="S67" s="67"/>
      <c r="T67" s="84" t="n">
        <f aca="false">'Low SIPA income'!J62</f>
        <v>68045752.8379713</v>
      </c>
      <c r="U67" s="9"/>
      <c r="V67" s="84" t="n">
        <f aca="false">'Low SIPA income'!F62</f>
        <v>133169.3035208</v>
      </c>
      <c r="W67" s="67"/>
      <c r="X67" s="84" t="n">
        <f aca="false">'Low SIPA income'!M62</f>
        <v>334482.89666869</v>
      </c>
      <c r="Y67" s="9"/>
      <c r="Z67" s="9" t="n">
        <f aca="false">R67+V67-N67-L67-F67</f>
        <v>-7285124.55713428</v>
      </c>
      <c r="AA67" s="9"/>
      <c r="AB67" s="9" t="n">
        <f aca="false">T67-P67-D67</f>
        <v>-69714548.3485803</v>
      </c>
      <c r="AC67" s="50"/>
      <c r="AD67" s="9"/>
      <c r="AE67" s="9"/>
      <c r="AF67" s="9"/>
      <c r="AG67" s="9" t="n">
        <f aca="false">BF67/100*$AG$53</f>
        <v>6267474857.75532</v>
      </c>
      <c r="AH67" s="39" t="n">
        <f aca="false">(AG67-AG66)/AG66</f>
        <v>-0.00167373083039475</v>
      </c>
      <c r="AI67" s="39"/>
      <c r="AJ67" s="39" t="n">
        <f aca="false">AB67/AG67</f>
        <v>-0.0111232274449918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12668386</v>
      </c>
      <c r="AX67" s="7"/>
      <c r="AY67" s="39" t="n">
        <f aca="false">(AW67-AW66)/AW66</f>
        <v>0.00276265834507726</v>
      </c>
      <c r="AZ67" s="38" t="n">
        <f aca="false">workers_and_wage_low!B55</f>
        <v>6325.38933162428</v>
      </c>
      <c r="BA67" s="39" t="n">
        <f aca="false">(AZ67-AZ66)/AZ66</f>
        <v>-0.00442416671437852</v>
      </c>
      <c r="BB67" s="39"/>
      <c r="BC67" s="39"/>
      <c r="BD67" s="39"/>
      <c r="BE67" s="39"/>
      <c r="BF67" s="7" t="n">
        <f aca="false">BF66*(1+AY67)*(1+BA67)*(1-BE67)</f>
        <v>113.446520571818</v>
      </c>
      <c r="BG67" s="7"/>
      <c r="BH67" s="7"/>
      <c r="BI67" s="39" t="n">
        <f aca="false">T74/AG74</f>
        <v>0.00941484429349057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4" t="n">
        <f aca="false">'Low pensions'!Q68</f>
        <v>116671398.819764</v>
      </c>
      <c r="E68" s="9"/>
      <c r="F68" s="67" t="n">
        <f aca="false">'Low pensions'!I68</f>
        <v>21206407.8010925</v>
      </c>
      <c r="G68" s="84" t="n">
        <f aca="false">'Low pensions'!K68</f>
        <v>1689692.54899927</v>
      </c>
      <c r="H68" s="84" t="n">
        <f aca="false">'Low pensions'!V68</f>
        <v>9296189.86469369</v>
      </c>
      <c r="I68" s="84" t="n">
        <f aca="false">'Low pensions'!M68</f>
        <v>52258.5324432701</v>
      </c>
      <c r="J68" s="84" t="n">
        <f aca="false">'Low pensions'!W68</f>
        <v>287511.026743069</v>
      </c>
      <c r="K68" s="9"/>
      <c r="L68" s="84" t="n">
        <f aca="false">'Low pensions'!N68</f>
        <v>2989765.09433726</v>
      </c>
      <c r="M68" s="67"/>
      <c r="N68" s="84" t="n">
        <f aca="false">'Low pensions'!L68</f>
        <v>949664.990212832</v>
      </c>
      <c r="O68" s="9"/>
      <c r="P68" s="84" t="n">
        <f aca="false">'Low pensions'!X68</f>
        <v>20738681.8669412</v>
      </c>
      <c r="Q68" s="67"/>
      <c r="R68" s="84" t="n">
        <f aca="false">'Low SIPA income'!G63</f>
        <v>15464992.8425296</v>
      </c>
      <c r="S68" s="67"/>
      <c r="T68" s="84" t="n">
        <f aca="false">'Low SIPA income'!J63</f>
        <v>59131740.5106321</v>
      </c>
      <c r="U68" s="9"/>
      <c r="V68" s="84" t="n">
        <f aca="false">'Low SIPA income'!F63</f>
        <v>131821.992092977</v>
      </c>
      <c r="W68" s="67"/>
      <c r="X68" s="84" t="n">
        <f aca="false">'Low SIPA income'!M63</f>
        <v>331098.838802662</v>
      </c>
      <c r="Y68" s="9"/>
      <c r="Z68" s="9" t="n">
        <f aca="false">R68+V68-N68-L68-F68</f>
        <v>-9549023.05102003</v>
      </c>
      <c r="AA68" s="9"/>
      <c r="AB68" s="9" t="n">
        <f aca="false">T68-P68-D68</f>
        <v>-78278340.1760732</v>
      </c>
      <c r="AC68" s="50"/>
      <c r="AD68" s="9"/>
      <c r="AE68" s="9"/>
      <c r="AF68" s="9"/>
      <c r="AG68" s="9" t="n">
        <f aca="false">BF68/100*$AG$53</f>
        <v>6295967358.05245</v>
      </c>
      <c r="AH68" s="39" t="n">
        <f aca="false">(AG68-AG67)/AG67</f>
        <v>0.00454608928536383</v>
      </c>
      <c r="AI68" s="39"/>
      <c r="AJ68" s="39" t="n">
        <f aca="false">AB68/AG68</f>
        <v>-0.0124330918069256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12668854</v>
      </c>
      <c r="AX68" s="7"/>
      <c r="AY68" s="39" t="n">
        <f aca="false">(AW68-AW67)/AW67</f>
        <v>3.69423539825831E-005</v>
      </c>
      <c r="AZ68" s="38" t="n">
        <f aca="false">workers_and_wage_low!B56</f>
        <v>6353.91038788381</v>
      </c>
      <c r="BA68" s="39" t="n">
        <f aca="false">(AZ68-AZ67)/AZ67</f>
        <v>0.00450898035903278</v>
      </c>
      <c r="BB68" s="39"/>
      <c r="BC68" s="39"/>
      <c r="BD68" s="39"/>
      <c r="BE68" s="39"/>
      <c r="BF68" s="7" t="n">
        <f aca="false">BF67*(1+AY68)*(1+BA68)*(1-BE68)</f>
        <v>113.962258583452</v>
      </c>
      <c r="BG68" s="7"/>
      <c r="BH68" s="7"/>
      <c r="BI68" s="39" t="n">
        <f aca="false">T75/AG75</f>
        <v>0.0110201203896463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4" t="n">
        <f aca="false">'Low pensions'!Q69</f>
        <v>116685204.021556</v>
      </c>
      <c r="E69" s="9"/>
      <c r="F69" s="67" t="n">
        <f aca="false">'Low pensions'!I69</f>
        <v>21208917.0599334</v>
      </c>
      <c r="G69" s="84" t="n">
        <f aca="false">'Low pensions'!K69</f>
        <v>1769229.48090079</v>
      </c>
      <c r="H69" s="84" t="n">
        <f aca="false">'Low pensions'!V69</f>
        <v>9733778.59682704</v>
      </c>
      <c r="I69" s="84" t="n">
        <f aca="false">'Low pensions'!M69</f>
        <v>54718.43755364</v>
      </c>
      <c r="J69" s="84" t="n">
        <f aca="false">'Low pensions'!W69</f>
        <v>301044.698870979</v>
      </c>
      <c r="K69" s="9"/>
      <c r="L69" s="84" t="n">
        <f aca="false">'Low pensions'!N69</f>
        <v>3072831.94923509</v>
      </c>
      <c r="M69" s="67"/>
      <c r="N69" s="84" t="n">
        <f aca="false">'Low pensions'!L69</f>
        <v>951685.43832716</v>
      </c>
      <c r="O69" s="9"/>
      <c r="P69" s="84" t="n">
        <f aca="false">'Low pensions'!X69</f>
        <v>21180832.0812857</v>
      </c>
      <c r="Q69" s="67"/>
      <c r="R69" s="84" t="n">
        <f aca="false">'Low SIPA income'!G64</f>
        <v>18163284.7725685</v>
      </c>
      <c r="S69" s="67"/>
      <c r="T69" s="84" t="n">
        <f aca="false">'Low SIPA income'!J64</f>
        <v>69448893.5706843</v>
      </c>
      <c r="U69" s="9"/>
      <c r="V69" s="84" t="n">
        <f aca="false">'Low SIPA income'!F64</f>
        <v>132838.787177764</v>
      </c>
      <c r="W69" s="67"/>
      <c r="X69" s="84" t="n">
        <f aca="false">'Low SIPA income'!M64</f>
        <v>333652.734905489</v>
      </c>
      <c r="Y69" s="9"/>
      <c r="Z69" s="9" t="n">
        <f aca="false">R69+V69-N69-L69-F69</f>
        <v>-6937310.88774943</v>
      </c>
      <c r="AA69" s="9"/>
      <c r="AB69" s="9" t="n">
        <f aca="false">T69-P69-D69</f>
        <v>-68417142.532157</v>
      </c>
      <c r="AC69" s="50"/>
      <c r="AD69" s="9"/>
      <c r="AE69" s="9"/>
      <c r="AF69" s="9"/>
      <c r="AG69" s="9" t="n">
        <f aca="false">BF69/100*$AG$53</f>
        <v>6310619230.39505</v>
      </c>
      <c r="AH69" s="39" t="n">
        <f aca="false">(AG69-AG68)/AG68</f>
        <v>0.00232718365730699</v>
      </c>
      <c r="AI69" s="39" t="n">
        <f aca="false">(AG69-AG65)/AG65</f>
        <v>0.00869096286855427</v>
      </c>
      <c r="AJ69" s="39" t="n">
        <f aca="false">AB69/AG69</f>
        <v>-0.0108415893962713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12731852</v>
      </c>
      <c r="AX69" s="7"/>
      <c r="AY69" s="39" t="n">
        <f aca="false">(AW69-AW68)/AW68</f>
        <v>0.00497266761460824</v>
      </c>
      <c r="AZ69" s="38" t="n">
        <f aca="false">workers_and_wage_low!B57</f>
        <v>6337.1843927011</v>
      </c>
      <c r="BA69" s="39" t="n">
        <f aca="false">(AZ69-AZ68)/AZ68</f>
        <v>-0.00263239393722086</v>
      </c>
      <c r="BB69" s="39"/>
      <c r="BC69" s="39"/>
      <c r="BD69" s="39"/>
      <c r="BE69" s="39"/>
      <c r="BF69" s="7" t="n">
        <f aca="false">BF68*(1+AY69)*(1+BA69)*(1-BE69)</f>
        <v>114.227469689177</v>
      </c>
      <c r="BG69" s="7"/>
      <c r="BH69" s="7"/>
      <c r="BI69" s="39" t="n">
        <f aca="false">T76/AG76</f>
        <v>0.00950472905068296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3" t="n">
        <f aca="false">'Low pensions'!Q70</f>
        <v>117178673.597978</v>
      </c>
      <c r="E70" s="6"/>
      <c r="F70" s="8" t="n">
        <f aca="false">'Low pensions'!I70</f>
        <v>21298610.9967585</v>
      </c>
      <c r="G70" s="83" t="n">
        <f aca="false">'Low pensions'!K70</f>
        <v>1841765.2622322</v>
      </c>
      <c r="H70" s="83" t="n">
        <f aca="false">'Low pensions'!V70</f>
        <v>10132849.064197</v>
      </c>
      <c r="I70" s="83" t="n">
        <f aca="false">'Low pensions'!M70</f>
        <v>56961.8122339901</v>
      </c>
      <c r="J70" s="83" t="n">
        <f aca="false">'Low pensions'!W70</f>
        <v>313387.084459726</v>
      </c>
      <c r="K70" s="6"/>
      <c r="L70" s="83" t="n">
        <f aca="false">'Low pensions'!N70</f>
        <v>3788968.2757338</v>
      </c>
      <c r="M70" s="8"/>
      <c r="N70" s="83" t="n">
        <f aca="false">'Low pensions'!L70</f>
        <v>957418.596592605</v>
      </c>
      <c r="O70" s="6"/>
      <c r="P70" s="83" t="n">
        <f aca="false">'Low pensions'!X70</f>
        <v>24928409.0290777</v>
      </c>
      <c r="Q70" s="8"/>
      <c r="R70" s="83" t="n">
        <f aca="false">'Low SIPA income'!G65</f>
        <v>15440801.7118645</v>
      </c>
      <c r="S70" s="8"/>
      <c r="T70" s="83" t="n">
        <f aca="false">'Low SIPA income'!J65</f>
        <v>59039243.6258476</v>
      </c>
      <c r="U70" s="6"/>
      <c r="V70" s="83" t="n">
        <f aca="false">'Low SIPA income'!F65</f>
        <v>133051.090794598</v>
      </c>
      <c r="W70" s="8"/>
      <c r="X70" s="83" t="n">
        <f aca="false">'Low SIPA income'!M65</f>
        <v>334185.980382145</v>
      </c>
      <c r="Y70" s="6"/>
      <c r="Z70" s="6" t="n">
        <f aca="false">R70+V70-N70-L70-F70</f>
        <v>-10471145.0664258</v>
      </c>
      <c r="AA70" s="6"/>
      <c r="AB70" s="6" t="n">
        <f aca="false">T70-P70-D70</f>
        <v>-83067839.0012076</v>
      </c>
      <c r="AC70" s="50"/>
      <c r="AD70" s="6"/>
      <c r="AE70" s="6"/>
      <c r="AF70" s="6"/>
      <c r="AG70" s="6" t="n">
        <f aca="false">BF70/100*$AG$53</f>
        <v>6349057214.7976</v>
      </c>
      <c r="AH70" s="61" t="n">
        <f aca="false">(AG70-AG69)/AG69</f>
        <v>0.00609100042312943</v>
      </c>
      <c r="AI70" s="61"/>
      <c r="AJ70" s="61" t="n">
        <f aca="false">AB70/AG70</f>
        <v>-0.0130834919565071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0.003806966317825</v>
      </c>
      <c r="AV70" s="5"/>
      <c r="AW70" s="65" t="n">
        <f aca="false">workers_and_wage_low!C58</f>
        <v>12750923</v>
      </c>
      <c r="AX70" s="5"/>
      <c r="AY70" s="61" t="n">
        <f aca="false">(AW70-AW69)/AW69</f>
        <v>0.0014978967710275</v>
      </c>
      <c r="AZ70" s="66" t="n">
        <f aca="false">workers_and_wage_low!B58</f>
        <v>6366.24820289182</v>
      </c>
      <c r="BA70" s="61" t="n">
        <f aca="false">(AZ70-AZ69)/AZ69</f>
        <v>0.00458623394708148</v>
      </c>
      <c r="BB70" s="61"/>
      <c r="BC70" s="61"/>
      <c r="BD70" s="61"/>
      <c r="BE70" s="61"/>
      <c r="BF70" s="5" t="n">
        <f aca="false">BF69*(1+AY70)*(1+BA70)*(1-BE70)</f>
        <v>114.923229255387</v>
      </c>
      <c r="BG70" s="5"/>
      <c r="BH70" s="5"/>
      <c r="BI70" s="61" t="n">
        <f aca="false">T77/AG77</f>
        <v>0.0111255584325896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4" t="n">
        <f aca="false">'Low pensions'!Q71</f>
        <v>117244450.505155</v>
      </c>
      <c r="E71" s="9"/>
      <c r="F71" s="67" t="n">
        <f aca="false">'Low pensions'!I71</f>
        <v>21310566.7282541</v>
      </c>
      <c r="G71" s="84" t="n">
        <f aca="false">'Low pensions'!K71</f>
        <v>1898827.10260378</v>
      </c>
      <c r="H71" s="84" t="n">
        <f aca="false">'Low pensions'!V71</f>
        <v>10446786.4739567</v>
      </c>
      <c r="I71" s="84" t="n">
        <f aca="false">'Low pensions'!M71</f>
        <v>58726.6114207399</v>
      </c>
      <c r="J71" s="84" t="n">
        <f aca="false">'Low pensions'!W71</f>
        <v>323096.488885282</v>
      </c>
      <c r="K71" s="9"/>
      <c r="L71" s="84" t="n">
        <f aca="false">'Low pensions'!N71</f>
        <v>3143973.59637996</v>
      </c>
      <c r="M71" s="67"/>
      <c r="N71" s="84" t="n">
        <f aca="false">'Low pensions'!L71</f>
        <v>959206.708161563</v>
      </c>
      <c r="O71" s="9"/>
      <c r="P71" s="84" t="n">
        <f aca="false">'Low pensions'!X71</f>
        <v>21591366.2340091</v>
      </c>
      <c r="Q71" s="67"/>
      <c r="R71" s="84" t="n">
        <f aca="false">'Low SIPA income'!G66</f>
        <v>18257541.5492734</v>
      </c>
      <c r="S71" s="67"/>
      <c r="T71" s="84" t="n">
        <f aca="false">'Low SIPA income'!J66</f>
        <v>69809292.5258106</v>
      </c>
      <c r="U71" s="9"/>
      <c r="V71" s="84" t="n">
        <f aca="false">'Low SIPA income'!F66</f>
        <v>133710.055044914</v>
      </c>
      <c r="W71" s="67"/>
      <c r="X71" s="84" t="n">
        <f aca="false">'Low SIPA income'!M66</f>
        <v>335841.108594274</v>
      </c>
      <c r="Y71" s="9"/>
      <c r="Z71" s="9" t="n">
        <f aca="false">R71+V71-N71-L71-F71</f>
        <v>-7022495.42847736</v>
      </c>
      <c r="AA71" s="9"/>
      <c r="AB71" s="9" t="n">
        <f aca="false">T71-P71-D71</f>
        <v>-69026524.2133538</v>
      </c>
      <c r="AC71" s="50"/>
      <c r="AD71" s="9"/>
      <c r="AE71" s="9"/>
      <c r="AF71" s="9"/>
      <c r="AG71" s="9" t="n">
        <f aca="false">BF71/100*$AG$53</f>
        <v>6372897241.81622</v>
      </c>
      <c r="AH71" s="39" t="n">
        <f aca="false">(AG71-AG70)/AG70</f>
        <v>0.00375489245286071</v>
      </c>
      <c r="AI71" s="39"/>
      <c r="AJ71" s="39" t="n">
        <f aca="false">AB71/AG71</f>
        <v>-0.0108312627042582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12809491</v>
      </c>
      <c r="AX71" s="7"/>
      <c r="AY71" s="39" t="n">
        <f aca="false">(AW71-AW70)/AW70</f>
        <v>0.00459323611318177</v>
      </c>
      <c r="AZ71" s="38" t="n">
        <f aca="false">workers_and_wage_low!B59</f>
        <v>6360.9355015625</v>
      </c>
      <c r="BA71" s="39" t="n">
        <f aca="false">(AZ71-AZ70)/AZ70</f>
        <v>-0.000834510556297088</v>
      </c>
      <c r="BB71" s="39"/>
      <c r="BC71" s="39"/>
      <c r="BD71" s="39"/>
      <c r="BE71" s="39"/>
      <c r="BF71" s="7" t="n">
        <f aca="false">BF70*(1+AY71)*(1+BA71)*(1-BE71)</f>
        <v>115.354753621576</v>
      </c>
      <c r="BG71" s="7"/>
      <c r="BH71" s="7"/>
      <c r="BI71" s="39" t="n">
        <f aca="false">T78/AG78</f>
        <v>0.00937368611137876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4" t="n">
        <f aca="false">'Low pensions'!Q72</f>
        <v>117149606.943089</v>
      </c>
      <c r="E72" s="9"/>
      <c r="F72" s="67" t="n">
        <f aca="false">'Low pensions'!I72</f>
        <v>21293327.7881639</v>
      </c>
      <c r="G72" s="84" t="n">
        <f aca="false">'Low pensions'!K72</f>
        <v>1931281.47596959</v>
      </c>
      <c r="H72" s="84" t="n">
        <f aca="false">'Low pensions'!V72</f>
        <v>10625340.8606271</v>
      </c>
      <c r="I72" s="84" t="n">
        <f aca="false">'Low pensions'!M72</f>
        <v>59730.3549269</v>
      </c>
      <c r="J72" s="84" t="n">
        <f aca="false">'Low pensions'!W72</f>
        <v>328618.789503962</v>
      </c>
      <c r="K72" s="9"/>
      <c r="L72" s="84" t="n">
        <f aca="false">'Low pensions'!N72</f>
        <v>3107709.37337339</v>
      </c>
      <c r="M72" s="67"/>
      <c r="N72" s="84" t="n">
        <f aca="false">'Low pensions'!L72</f>
        <v>959408.069197997</v>
      </c>
      <c r="O72" s="9"/>
      <c r="P72" s="84" t="n">
        <f aca="false">'Low pensions'!X72</f>
        <v>21404298.8374465</v>
      </c>
      <c r="Q72" s="67"/>
      <c r="R72" s="84" t="n">
        <f aca="false">'Low SIPA income'!G67</f>
        <v>15813129.5381568</v>
      </c>
      <c r="S72" s="67"/>
      <c r="T72" s="84" t="n">
        <f aca="false">'Low SIPA income'!J67</f>
        <v>60462871.339962</v>
      </c>
      <c r="U72" s="9"/>
      <c r="V72" s="84" t="n">
        <f aca="false">'Low SIPA income'!F67</f>
        <v>131938.426532415</v>
      </c>
      <c r="W72" s="67"/>
      <c r="X72" s="84" t="n">
        <f aca="false">'Low SIPA income'!M67</f>
        <v>331391.28854555</v>
      </c>
      <c r="Y72" s="9"/>
      <c r="Z72" s="9" t="n">
        <f aca="false">R72+V72-N72-L72-F72</f>
        <v>-9415377.26604607</v>
      </c>
      <c r="AA72" s="9"/>
      <c r="AB72" s="9" t="n">
        <f aca="false">T72-P72-D72</f>
        <v>-78091034.4405732</v>
      </c>
      <c r="AC72" s="50"/>
      <c r="AD72" s="9"/>
      <c r="AE72" s="9"/>
      <c r="AF72" s="9"/>
      <c r="AG72" s="9" t="n">
        <f aca="false">BF72/100*$AG$53</f>
        <v>6395850348.80356</v>
      </c>
      <c r="AH72" s="39" t="n">
        <f aca="false">(AG72-AG71)/AG71</f>
        <v>0.0036016753630874</v>
      </c>
      <c r="AI72" s="39"/>
      <c r="AJ72" s="39" t="n">
        <f aca="false">AB72/AG72</f>
        <v>-0.0122096406547694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12762460</v>
      </c>
      <c r="AX72" s="7"/>
      <c r="AY72" s="39" t="n">
        <f aca="false">(AW72-AW71)/AW71</f>
        <v>-0.00367157445990633</v>
      </c>
      <c r="AZ72" s="38" t="n">
        <f aca="false">workers_and_wage_low!B60</f>
        <v>6407.37066473245</v>
      </c>
      <c r="BA72" s="39" t="n">
        <f aca="false">(AZ72-AZ71)/AZ71</f>
        <v>0.00730005250934297</v>
      </c>
      <c r="BB72" s="39"/>
      <c r="BC72" s="39"/>
      <c r="BD72" s="39"/>
      <c r="BE72" s="39"/>
      <c r="BF72" s="7" t="n">
        <f aca="false">BF71*(1+AY72)*(1+BA72)*(1-BE72)</f>
        <v>115.77022399571</v>
      </c>
      <c r="BG72" s="7"/>
      <c r="BH72" s="7"/>
      <c r="BI72" s="39" t="n">
        <f aca="false">T79/AG79</f>
        <v>0.010971201562994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4" t="n">
        <f aca="false">'Low pensions'!Q73</f>
        <v>117060675.986296</v>
      </c>
      <c r="E73" s="9"/>
      <c r="F73" s="67" t="n">
        <f aca="false">'Low pensions'!I73</f>
        <v>21277163.5340711</v>
      </c>
      <c r="G73" s="84" t="n">
        <f aca="false">'Low pensions'!K73</f>
        <v>1995973.62914648</v>
      </c>
      <c r="H73" s="84" t="n">
        <f aca="false">'Low pensions'!V73</f>
        <v>10981258.0001354</v>
      </c>
      <c r="I73" s="84" t="n">
        <f aca="false">'Low pensions'!M73</f>
        <v>61731.1431694799</v>
      </c>
      <c r="J73" s="84" t="n">
        <f aca="false">'Low pensions'!W73</f>
        <v>339626.536086668</v>
      </c>
      <c r="K73" s="9"/>
      <c r="L73" s="84" t="n">
        <f aca="false">'Low pensions'!N73</f>
        <v>3083810.72073396</v>
      </c>
      <c r="M73" s="67"/>
      <c r="N73" s="84" t="n">
        <f aca="false">'Low pensions'!L73</f>
        <v>959399.235052217</v>
      </c>
      <c r="O73" s="9"/>
      <c r="P73" s="84" t="n">
        <f aca="false">'Low pensions'!X73</f>
        <v>21280240.0124275</v>
      </c>
      <c r="Q73" s="67"/>
      <c r="R73" s="84" t="n">
        <f aca="false">'Low SIPA income'!G68</f>
        <v>18590986.0220594</v>
      </c>
      <c r="S73" s="67"/>
      <c r="T73" s="84" t="n">
        <f aca="false">'Low SIPA income'!J68</f>
        <v>71084246.3677075</v>
      </c>
      <c r="U73" s="9"/>
      <c r="V73" s="84" t="n">
        <f aca="false">'Low SIPA income'!F68</f>
        <v>128242.687526531</v>
      </c>
      <c r="W73" s="67"/>
      <c r="X73" s="84" t="n">
        <f aca="false">'Low SIPA income'!M68</f>
        <v>322108.65767389</v>
      </c>
      <c r="Y73" s="9"/>
      <c r="Z73" s="9" t="n">
        <f aca="false">R73+V73-N73-L73-F73</f>
        <v>-6601144.78027134</v>
      </c>
      <c r="AA73" s="9"/>
      <c r="AB73" s="9" t="n">
        <f aca="false">T73-P73-D73</f>
        <v>-67256669.6310162</v>
      </c>
      <c r="AC73" s="50"/>
      <c r="AD73" s="9"/>
      <c r="AE73" s="9"/>
      <c r="AF73" s="9"/>
      <c r="AG73" s="9" t="n">
        <f aca="false">BF73/100*$AG$53</f>
        <v>6407236862.19807</v>
      </c>
      <c r="AH73" s="39" t="n">
        <f aca="false">(AG73-AG72)/AG72</f>
        <v>0.00178029703222248</v>
      </c>
      <c r="AI73" s="39" t="n">
        <f aca="false">(AG73-AG69)/AG69</f>
        <v>0.0153103250688399</v>
      </c>
      <c r="AJ73" s="39" t="n">
        <f aca="false">AB73/AG73</f>
        <v>-0.010496985061973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12776860</v>
      </c>
      <c r="AX73" s="7"/>
      <c r="AY73" s="39" t="n">
        <f aca="false">(AW73-AW72)/AW72</f>
        <v>0.00112830911908833</v>
      </c>
      <c r="AZ73" s="38" t="n">
        <f aca="false">workers_and_wage_low!B61</f>
        <v>6411.54348472997</v>
      </c>
      <c r="BA73" s="39" t="n">
        <f aca="false">(AZ73-AZ72)/AZ72</f>
        <v>0.000651253098324496</v>
      </c>
      <c r="BB73" s="39"/>
      <c r="BC73" s="39"/>
      <c r="BD73" s="39"/>
      <c r="BE73" s="39"/>
      <c r="BF73" s="7" t="n">
        <f aca="false">BF72*(1+AY73)*(1+BA73)*(1-BE73)</f>
        <v>115.976329381909</v>
      </c>
      <c r="BG73" s="7"/>
      <c r="BH73" s="7"/>
      <c r="BI73" s="39" t="n">
        <f aca="false">T80/AG80</f>
        <v>0.00944937490216483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3" t="n">
        <f aca="false">'Low pensions'!Q74</f>
        <v>116938932.072899</v>
      </c>
      <c r="E74" s="6"/>
      <c r="F74" s="8" t="n">
        <f aca="false">'Low pensions'!I74</f>
        <v>21255035.1367011</v>
      </c>
      <c r="G74" s="83" t="n">
        <f aca="false">'Low pensions'!K74</f>
        <v>2056376.45749738</v>
      </c>
      <c r="H74" s="83" t="n">
        <f aca="false">'Low pensions'!V74</f>
        <v>11313576.5400065</v>
      </c>
      <c r="I74" s="83" t="n">
        <f aca="false">'Low pensions'!M74</f>
        <v>63599.2718813701</v>
      </c>
      <c r="J74" s="83" t="n">
        <f aca="false">'Low pensions'!W74</f>
        <v>349904.429072408</v>
      </c>
      <c r="K74" s="6"/>
      <c r="L74" s="83" t="n">
        <f aca="false">'Low pensions'!N74</f>
        <v>3758589.9479805</v>
      </c>
      <c r="M74" s="8"/>
      <c r="N74" s="83" t="n">
        <f aca="false">'Low pensions'!L74</f>
        <v>958961.397977233</v>
      </c>
      <c r="O74" s="6"/>
      <c r="P74" s="83" t="n">
        <f aca="false">'Low pensions'!X74</f>
        <v>24779263.7799716</v>
      </c>
      <c r="Q74" s="8"/>
      <c r="R74" s="83" t="n">
        <f aca="false">'Low SIPA income'!G69</f>
        <v>15903511.2004842</v>
      </c>
      <c r="S74" s="8"/>
      <c r="T74" s="83" t="n">
        <f aca="false">'Low SIPA income'!J69</f>
        <v>60808453.4594031</v>
      </c>
      <c r="U74" s="6"/>
      <c r="V74" s="83" t="n">
        <f aca="false">'Low SIPA income'!F69</f>
        <v>128307.56827097</v>
      </c>
      <c r="W74" s="8"/>
      <c r="X74" s="83" t="n">
        <f aca="false">'Low SIPA income'!M69</f>
        <v>322271.619398284</v>
      </c>
      <c r="Y74" s="6"/>
      <c r="Z74" s="6" t="n">
        <f aca="false">R74+V74-N74-L74-F74</f>
        <v>-9940767.71390366</v>
      </c>
      <c r="AA74" s="6"/>
      <c r="AB74" s="6" t="n">
        <f aca="false">T74-P74-D74</f>
        <v>-80909742.3934675</v>
      </c>
      <c r="AC74" s="50"/>
      <c r="AD74" s="6"/>
      <c r="AE74" s="6"/>
      <c r="AF74" s="6"/>
      <c r="AG74" s="6" t="n">
        <f aca="false">BF74/100*$AG$53</f>
        <v>6458784825.72953</v>
      </c>
      <c r="AH74" s="61" t="n">
        <f aca="false">(AG74-AG73)/AG73</f>
        <v>0.00804527203225197</v>
      </c>
      <c r="AI74" s="61"/>
      <c r="AJ74" s="61" t="n">
        <f aca="false">AB74/AG74</f>
        <v>-0.012527084362859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0.00456476402513786</v>
      </c>
      <c r="AV74" s="5"/>
      <c r="AW74" s="65" t="n">
        <f aca="false">workers_and_wage_low!C62</f>
        <v>12778891</v>
      </c>
      <c r="AX74" s="5"/>
      <c r="AY74" s="61" t="n">
        <f aca="false">(AW74-AW73)/AW73</f>
        <v>0.000158959243507403</v>
      </c>
      <c r="AZ74" s="66" t="n">
        <f aca="false">workers_and_wage_low!B62</f>
        <v>6462.09888586087</v>
      </c>
      <c r="BA74" s="61" t="n">
        <f aca="false">(AZ74-AZ73)/AZ73</f>
        <v>0.00788505938566971</v>
      </c>
      <c r="BB74" s="61"/>
      <c r="BC74" s="61"/>
      <c r="BD74" s="61"/>
      <c r="BE74" s="61"/>
      <c r="BF74" s="5" t="n">
        <f aca="false">BF73*(1+AY74)*(1+BA74)*(1-BE74)</f>
        <v>116.909390501089</v>
      </c>
      <c r="BG74" s="5"/>
      <c r="BH74" s="5"/>
      <c r="BI74" s="61" t="n">
        <f aca="false">T81/AG81</f>
        <v>0.0111042059378408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4" t="n">
        <f aca="false">'Low pensions'!Q75</f>
        <v>117658486.755926</v>
      </c>
      <c r="E75" s="9"/>
      <c r="F75" s="67" t="n">
        <f aca="false">'Low pensions'!I75</f>
        <v>21385822.717872</v>
      </c>
      <c r="G75" s="84" t="n">
        <f aca="false">'Low pensions'!K75</f>
        <v>2093813.49154102</v>
      </c>
      <c r="H75" s="84" t="n">
        <f aca="false">'Low pensions'!V75</f>
        <v>11519544.0556038</v>
      </c>
      <c r="I75" s="84" t="n">
        <f aca="false">'Low pensions'!M75</f>
        <v>64757.1182950898</v>
      </c>
      <c r="J75" s="84" t="n">
        <f aca="false">'Low pensions'!W75</f>
        <v>356274.558420773</v>
      </c>
      <c r="K75" s="9"/>
      <c r="L75" s="84" t="n">
        <f aca="false">'Low pensions'!N75</f>
        <v>3082323.63024204</v>
      </c>
      <c r="M75" s="67"/>
      <c r="N75" s="84" t="n">
        <f aca="false">'Low pensions'!L75</f>
        <v>967467.692313313</v>
      </c>
      <c r="O75" s="9"/>
      <c r="P75" s="84" t="n">
        <f aca="false">'Low pensions'!X75</f>
        <v>21316913.7640664</v>
      </c>
      <c r="Q75" s="67"/>
      <c r="R75" s="84" t="n">
        <f aca="false">'Low SIPA income'!G70</f>
        <v>18687095.2650623</v>
      </c>
      <c r="S75" s="67"/>
      <c r="T75" s="84" t="n">
        <f aca="false">'Low SIPA income'!J70</f>
        <v>71451728.3882803</v>
      </c>
      <c r="U75" s="9"/>
      <c r="V75" s="84" t="n">
        <f aca="false">'Low SIPA income'!F70</f>
        <v>131811.163947758</v>
      </c>
      <c r="W75" s="67"/>
      <c r="X75" s="84" t="n">
        <f aca="false">'Low SIPA income'!M70</f>
        <v>331071.641623713</v>
      </c>
      <c r="Y75" s="9"/>
      <c r="Z75" s="9" t="n">
        <f aca="false">R75+V75-N75-L75-F75</f>
        <v>-6616707.61141731</v>
      </c>
      <c r="AA75" s="9"/>
      <c r="AB75" s="9" t="n">
        <f aca="false">T75-P75-D75</f>
        <v>-67523672.1317123</v>
      </c>
      <c r="AC75" s="50"/>
      <c r="AD75" s="9"/>
      <c r="AE75" s="9"/>
      <c r="AF75" s="9"/>
      <c r="AG75" s="9" t="n">
        <f aca="false">BF75/100*$AG$53</f>
        <v>6483752070.02374</v>
      </c>
      <c r="AH75" s="39" t="n">
        <f aca="false">(AG75-AG74)/AG74</f>
        <v>0.00386562565062529</v>
      </c>
      <c r="AI75" s="39"/>
      <c r="AJ75" s="39" t="n">
        <f aca="false">AB75/AG75</f>
        <v>-0.0104142896585904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12808352</v>
      </c>
      <c r="AX75" s="7"/>
      <c r="AY75" s="39" t="n">
        <f aca="false">(AW75-AW74)/AW74</f>
        <v>0.00230544262408999</v>
      </c>
      <c r="AZ75" s="38" t="n">
        <f aca="false">workers_and_wage_low!B63</f>
        <v>6472.15775271798</v>
      </c>
      <c r="BA75" s="39" t="n">
        <f aca="false">(AZ75-AZ74)/AZ74</f>
        <v>0.0015565943874859</v>
      </c>
      <c r="BB75" s="39"/>
      <c r="BC75" s="39"/>
      <c r="BD75" s="39"/>
      <c r="BE75" s="39"/>
      <c r="BF75" s="7" t="n">
        <f aca="false">BF74*(1+AY75)*(1+BA75)*(1-BE75)</f>
        <v>117.361318439809</v>
      </c>
      <c r="BG75" s="7"/>
      <c r="BH75" s="7"/>
      <c r="BI75" s="39" t="n">
        <f aca="false">T82/AG82</f>
        <v>0.00942907644173559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4" t="n">
        <f aca="false">'Low pensions'!Q76</f>
        <v>117980772.789086</v>
      </c>
      <c r="E76" s="9"/>
      <c r="F76" s="67" t="n">
        <f aca="false">'Low pensions'!I76</f>
        <v>21444402.0193711</v>
      </c>
      <c r="G76" s="84" t="n">
        <f aca="false">'Low pensions'!K76</f>
        <v>2127797.10755569</v>
      </c>
      <c r="H76" s="84" t="n">
        <f aca="false">'Low pensions'!V76</f>
        <v>11706511.8841288</v>
      </c>
      <c r="I76" s="84" t="n">
        <f aca="false">'Low pensions'!M76</f>
        <v>65808.1579656396</v>
      </c>
      <c r="J76" s="84" t="n">
        <f aca="false">'Low pensions'!W76</f>
        <v>362057.0685813</v>
      </c>
      <c r="K76" s="9"/>
      <c r="L76" s="84" t="n">
        <f aca="false">'Low pensions'!N76</f>
        <v>3086148.8148336</v>
      </c>
      <c r="M76" s="67"/>
      <c r="N76" s="84" t="n">
        <f aca="false">'Low pensions'!L76</f>
        <v>972117.345419664</v>
      </c>
      <c r="O76" s="9"/>
      <c r="P76" s="84" t="n">
        <f aca="false">'Low pensions'!X76</f>
        <v>21362343.6846179</v>
      </c>
      <c r="Q76" s="67"/>
      <c r="R76" s="84" t="n">
        <f aca="false">'Low SIPA income'!G71</f>
        <v>16192558.4618437</v>
      </c>
      <c r="S76" s="67"/>
      <c r="T76" s="84" t="n">
        <f aca="false">'Low SIPA income'!J71</f>
        <v>61913650.7154286</v>
      </c>
      <c r="U76" s="9"/>
      <c r="V76" s="84" t="n">
        <f aca="false">'Low SIPA income'!F71</f>
        <v>135277.726816165</v>
      </c>
      <c r="W76" s="67"/>
      <c r="X76" s="84" t="n">
        <f aca="false">'Low SIPA income'!M71</f>
        <v>339778.648111344</v>
      </c>
      <c r="Y76" s="9"/>
      <c r="Z76" s="9" t="n">
        <f aca="false">R76+V76-N76-L76-F76</f>
        <v>-9174831.99096452</v>
      </c>
      <c r="AA76" s="9"/>
      <c r="AB76" s="9" t="n">
        <f aca="false">T76-P76-D76</f>
        <v>-77429465.7582754</v>
      </c>
      <c r="AC76" s="50"/>
      <c r="AD76" s="9"/>
      <c r="AE76" s="9"/>
      <c r="AF76" s="9"/>
      <c r="AG76" s="9" t="n">
        <f aca="false">BF76/100*$AG$53</f>
        <v>6513983763.79596</v>
      </c>
      <c r="AH76" s="39" t="n">
        <f aca="false">(AG76-AG75)/AG75</f>
        <v>0.0046626850388047</v>
      </c>
      <c r="AI76" s="39"/>
      <c r="AJ76" s="39" t="n">
        <f aca="false">AB76/AG76</f>
        <v>-0.0118866531704639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12817087</v>
      </c>
      <c r="AX76" s="7"/>
      <c r="AY76" s="39" t="n">
        <f aca="false">(AW76-AW75)/AW75</f>
        <v>0.000681976885082484</v>
      </c>
      <c r="AZ76" s="38" t="n">
        <f aca="false">workers_and_wage_low!B64</f>
        <v>6497.90396553438</v>
      </c>
      <c r="BA76" s="39" t="n">
        <f aca="false">(AZ76-AZ75)/AZ75</f>
        <v>0.0039779952529106</v>
      </c>
      <c r="BB76" s="39"/>
      <c r="BC76" s="39"/>
      <c r="BD76" s="39"/>
      <c r="BE76" s="39"/>
      <c r="BF76" s="7" t="n">
        <f aca="false">BF75*(1+AY76)*(1+BA76)*(1-BE76)</f>
        <v>117.908537303432</v>
      </c>
      <c r="BG76" s="7"/>
      <c r="BH76" s="7"/>
      <c r="BI76" s="39" t="n">
        <f aca="false">T83/AG83</f>
        <v>0.0110730548073231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4" t="n">
        <f aca="false">'Low pensions'!Q77</f>
        <v>118354708.777224</v>
      </c>
      <c r="E77" s="9"/>
      <c r="F77" s="67" t="n">
        <f aca="false">'Low pensions'!I77</f>
        <v>21512369.3115795</v>
      </c>
      <c r="G77" s="84" t="n">
        <f aca="false">'Low pensions'!K77</f>
        <v>2163285.04666595</v>
      </c>
      <c r="H77" s="84" t="n">
        <f aca="false">'Low pensions'!V77</f>
        <v>11901756.0544786</v>
      </c>
      <c r="I77" s="84" t="n">
        <f aca="false">'Low pensions'!M77</f>
        <v>66905.72309276</v>
      </c>
      <c r="J77" s="84" t="n">
        <f aca="false">'Low pensions'!W77</f>
        <v>368095.54807665</v>
      </c>
      <c r="K77" s="9"/>
      <c r="L77" s="84" t="n">
        <f aca="false">'Low pensions'!N77</f>
        <v>2975720.50730172</v>
      </c>
      <c r="M77" s="67"/>
      <c r="N77" s="84" t="n">
        <f aca="false">'Low pensions'!L77</f>
        <v>977672.856725842</v>
      </c>
      <c r="O77" s="9"/>
      <c r="P77" s="84" t="n">
        <f aca="false">'Low pensions'!X77</f>
        <v>20819895.4559466</v>
      </c>
      <c r="Q77" s="67"/>
      <c r="R77" s="84" t="n">
        <f aca="false">'Low SIPA income'!G72</f>
        <v>18985801.1231204</v>
      </c>
      <c r="S77" s="67"/>
      <c r="T77" s="84" t="n">
        <f aca="false">'Low SIPA income'!J72</f>
        <v>72593856.1259099</v>
      </c>
      <c r="U77" s="9"/>
      <c r="V77" s="84" t="n">
        <f aca="false">'Low SIPA income'!F72</f>
        <v>135426.566692775</v>
      </c>
      <c r="W77" s="67"/>
      <c r="X77" s="84" t="n">
        <f aca="false">'Low SIPA income'!M72</f>
        <v>340152.490969661</v>
      </c>
      <c r="Y77" s="9"/>
      <c r="Z77" s="9" t="n">
        <f aca="false">R77+V77-N77-L77-F77</f>
        <v>-6344534.98579398</v>
      </c>
      <c r="AA77" s="9"/>
      <c r="AB77" s="9" t="n">
        <f aca="false">T77-P77-D77</f>
        <v>-66580748.1072605</v>
      </c>
      <c r="AC77" s="50"/>
      <c r="AD77" s="9"/>
      <c r="AE77" s="9"/>
      <c r="AF77" s="9"/>
      <c r="AG77" s="9" t="n">
        <f aca="false">BF77/100*$AG$53</f>
        <v>6524962910.02022</v>
      </c>
      <c r="AH77" s="39" t="n">
        <f aca="false">(AG77-AG76)/AG76</f>
        <v>0.00168547337886947</v>
      </c>
      <c r="AI77" s="39" t="n">
        <f aca="false">(AG77-AG73)/AG73</f>
        <v>0.0183739184853177</v>
      </c>
      <c r="AJ77" s="39" t="n">
        <f aca="false">AB77/AG77</f>
        <v>-0.010204004072577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12854264</v>
      </c>
      <c r="AX77" s="7"/>
      <c r="AY77" s="39" t="n">
        <f aca="false">(AW77-AW76)/AW76</f>
        <v>0.00290058107587161</v>
      </c>
      <c r="AZ77" s="38" t="n">
        <f aca="false">workers_and_wage_low!B65</f>
        <v>6490.03114815658</v>
      </c>
      <c r="BA77" s="39" t="n">
        <f aca="false">(AZ77-AZ76)/AZ76</f>
        <v>-0.00121159337219497</v>
      </c>
      <c r="BB77" s="39"/>
      <c r="BC77" s="39"/>
      <c r="BD77" s="39"/>
      <c r="BE77" s="39"/>
      <c r="BF77" s="7" t="n">
        <f aca="false">BF76*(1+AY77)*(1+BA77)*(1-BE77)</f>
        <v>118.107269004199</v>
      </c>
      <c r="BG77" s="7"/>
      <c r="BH77" s="7"/>
      <c r="BI77" s="39" t="n">
        <f aca="false">T84/AG84</f>
        <v>0.00953119731702147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3" t="n">
        <f aca="false">'Low pensions'!Q78</f>
        <v>118916983.093515</v>
      </c>
      <c r="E78" s="6"/>
      <c r="F78" s="8" t="n">
        <f aca="false">'Low pensions'!I78</f>
        <v>21614569.324333</v>
      </c>
      <c r="G78" s="83" t="n">
        <f aca="false">'Low pensions'!K78</f>
        <v>2232048.72336105</v>
      </c>
      <c r="H78" s="83" t="n">
        <f aca="false">'Low pensions'!V78</f>
        <v>12280073.5150904</v>
      </c>
      <c r="I78" s="83" t="n">
        <f aca="false">'Low pensions'!M78</f>
        <v>69032.4347431301</v>
      </c>
      <c r="J78" s="83" t="n">
        <f aca="false">'Low pensions'!W78</f>
        <v>379796.088095606</v>
      </c>
      <c r="K78" s="6"/>
      <c r="L78" s="83" t="n">
        <f aca="false">'Low pensions'!N78</f>
        <v>3538757.88349169</v>
      </c>
      <c r="M78" s="8"/>
      <c r="N78" s="83" t="n">
        <f aca="false">'Low pensions'!L78</f>
        <v>983320.856359668</v>
      </c>
      <c r="O78" s="6"/>
      <c r="P78" s="83" t="n">
        <f aca="false">'Low pensions'!X78</f>
        <v>23772572.7051195</v>
      </c>
      <c r="Q78" s="8"/>
      <c r="R78" s="83" t="n">
        <f aca="false">'Low SIPA income'!G73</f>
        <v>15942219.6479845</v>
      </c>
      <c r="S78" s="8"/>
      <c r="T78" s="83" t="n">
        <f aca="false">'Low SIPA income'!J73</f>
        <v>60956458.5633474</v>
      </c>
      <c r="U78" s="6"/>
      <c r="V78" s="83" t="n">
        <f aca="false">'Low SIPA income'!F73</f>
        <v>142040.638722736</v>
      </c>
      <c r="W78" s="8"/>
      <c r="X78" s="83" t="n">
        <f aca="false">'Low SIPA income'!M73</f>
        <v>356765.133019044</v>
      </c>
      <c r="Y78" s="6"/>
      <c r="Z78" s="6" t="n">
        <f aca="false">R78+V78-N78-L78-F78</f>
        <v>-10052387.7774772</v>
      </c>
      <c r="AA78" s="6"/>
      <c r="AB78" s="6" t="n">
        <f aca="false">T78-P78-D78</f>
        <v>-81733097.2352869</v>
      </c>
      <c r="AC78" s="50"/>
      <c r="AD78" s="6"/>
      <c r="AE78" s="6"/>
      <c r="AF78" s="6"/>
      <c r="AG78" s="6" t="n">
        <f aca="false">BF78/100*$AG$53</f>
        <v>6502933620.67587</v>
      </c>
      <c r="AH78" s="61" t="n">
        <f aca="false">(AG78-AG77)/AG77</f>
        <v>-0.00337615548902611</v>
      </c>
      <c r="AI78" s="61"/>
      <c r="AJ78" s="61" t="n">
        <f aca="false">AB78/AG78</f>
        <v>-0.0125686500897717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3.94357999402724E-005</v>
      </c>
      <c r="AV78" s="5"/>
      <c r="AW78" s="65" t="n">
        <f aca="false">workers_and_wage_low!C66</f>
        <v>12813097</v>
      </c>
      <c r="AX78" s="5"/>
      <c r="AY78" s="61" t="n">
        <f aca="false">(AW78-AW77)/AW77</f>
        <v>-0.00320259487435453</v>
      </c>
      <c r="AZ78" s="66" t="n">
        <f aca="false">workers_and_wage_low!B66</f>
        <v>6488.90111532391</v>
      </c>
      <c r="BA78" s="61" t="n">
        <f aca="false">(AZ78-AZ77)/AZ77</f>
        <v>-0.000174118244870163</v>
      </c>
      <c r="BB78" s="61"/>
      <c r="BC78" s="61"/>
      <c r="BD78" s="61"/>
      <c r="BE78" s="61"/>
      <c r="BF78" s="5" t="n">
        <f aca="false">BF77*(1+AY78)*(1+BA78)*(1-BE78)</f>
        <v>117.708520499656</v>
      </c>
      <c r="BG78" s="5"/>
      <c r="BH78" s="5"/>
      <c r="BI78" s="61" t="n">
        <f aca="false">T85/AG85</f>
        <v>0.0111659180925717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4" t="n">
        <f aca="false">'Low pensions'!Q79</f>
        <v>118918997.655645</v>
      </c>
      <c r="E79" s="9"/>
      <c r="F79" s="67" t="n">
        <f aca="false">'Low pensions'!I79</f>
        <v>21614935.4948471</v>
      </c>
      <c r="G79" s="84" t="n">
        <f aca="false">'Low pensions'!K79</f>
        <v>2274095.63281964</v>
      </c>
      <c r="H79" s="84" t="n">
        <f aca="false">'Low pensions'!V79</f>
        <v>12511403.2050876</v>
      </c>
      <c r="I79" s="84" t="n">
        <f aca="false">'Low pensions'!M79</f>
        <v>70332.8546232902</v>
      </c>
      <c r="J79" s="84" t="n">
        <f aca="false">'Low pensions'!W79</f>
        <v>386950.614590352</v>
      </c>
      <c r="K79" s="9"/>
      <c r="L79" s="84" t="n">
        <f aca="false">'Low pensions'!N79</f>
        <v>2941452.95580474</v>
      </c>
      <c r="M79" s="67"/>
      <c r="N79" s="84" t="n">
        <f aca="false">'Low pensions'!L79</f>
        <v>983992.519015212</v>
      </c>
      <c r="O79" s="9"/>
      <c r="P79" s="84" t="n">
        <f aca="false">'Low pensions'!X79</f>
        <v>20676849.885642</v>
      </c>
      <c r="Q79" s="67"/>
      <c r="R79" s="84" t="n">
        <f aca="false">'Low SIPA income'!G74</f>
        <v>18740478.4929421</v>
      </c>
      <c r="S79" s="67"/>
      <c r="T79" s="84" t="n">
        <f aca="false">'Low SIPA income'!J74</f>
        <v>71655843.7868941</v>
      </c>
      <c r="U79" s="9"/>
      <c r="V79" s="84" t="n">
        <f aca="false">'Low SIPA income'!F74</f>
        <v>143881.518163509</v>
      </c>
      <c r="W79" s="67"/>
      <c r="X79" s="84" t="n">
        <f aca="false">'Low SIPA income'!M74</f>
        <v>361388.891433996</v>
      </c>
      <c r="Y79" s="9"/>
      <c r="Z79" s="9" t="n">
        <f aca="false">R79+V79-N79-L79-F79</f>
        <v>-6656020.95856136</v>
      </c>
      <c r="AA79" s="9"/>
      <c r="AB79" s="9" t="n">
        <f aca="false">T79-P79-D79</f>
        <v>-67940003.754393</v>
      </c>
      <c r="AC79" s="50"/>
      <c r="AD79" s="9"/>
      <c r="AE79" s="9"/>
      <c r="AF79" s="9"/>
      <c r="AG79" s="9" t="n">
        <f aca="false">BF79/100*$AG$53</f>
        <v>6531266732.76974</v>
      </c>
      <c r="AH79" s="39" t="n">
        <f aca="false">(AG79-AG78)/AG78</f>
        <v>0.00435697390540599</v>
      </c>
      <c r="AI79" s="39"/>
      <c r="AJ79" s="39" t="n">
        <f aca="false">AB79/AG79</f>
        <v>-0.0104022705754021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12824881</v>
      </c>
      <c r="AX79" s="7"/>
      <c r="AY79" s="39" t="n">
        <f aca="false">(AW79-AW78)/AW78</f>
        <v>0.000919683976481252</v>
      </c>
      <c r="AZ79" s="38" t="n">
        <f aca="false">workers_and_wage_low!B67</f>
        <v>6511.18485577837</v>
      </c>
      <c r="BA79" s="39" t="n">
        <f aca="false">(AZ79-AZ78)/AZ78</f>
        <v>0.00343413161310711</v>
      </c>
      <c r="BB79" s="39"/>
      <c r="BC79" s="39"/>
      <c r="BD79" s="39"/>
      <c r="BE79" s="39"/>
      <c r="BF79" s="7" t="n">
        <f aca="false">BF78*(1+AY79)*(1+BA79)*(1-BE79)</f>
        <v>118.221373451917</v>
      </c>
      <c r="BG79" s="7"/>
      <c r="BH79" s="7"/>
      <c r="BI79" s="39" t="n">
        <f aca="false">T86/AG86</f>
        <v>0.00943728360999637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4" t="n">
        <f aca="false">'Low pensions'!Q80</f>
        <v>119027325.664436</v>
      </c>
      <c r="E80" s="9"/>
      <c r="F80" s="67" t="n">
        <f aca="false">'Low pensions'!I80</f>
        <v>21634625.3927477</v>
      </c>
      <c r="G80" s="84" t="n">
        <f aca="false">'Low pensions'!K80</f>
        <v>2339855.82237785</v>
      </c>
      <c r="H80" s="84" t="n">
        <f aca="false">'Low pensions'!V80</f>
        <v>12873196.3656442</v>
      </c>
      <c r="I80" s="84" t="n">
        <f aca="false">'Low pensions'!M80</f>
        <v>72366.6749189002</v>
      </c>
      <c r="J80" s="84" t="n">
        <f aca="false">'Low pensions'!W80</f>
        <v>398140.093782798</v>
      </c>
      <c r="K80" s="9"/>
      <c r="L80" s="84" t="n">
        <f aca="false">'Low pensions'!N80</f>
        <v>2941167.40510971</v>
      </c>
      <c r="M80" s="67"/>
      <c r="N80" s="84" t="n">
        <f aca="false">'Low pensions'!L80</f>
        <v>986687.959538296</v>
      </c>
      <c r="O80" s="9"/>
      <c r="P80" s="84" t="n">
        <f aca="false">'Low pensions'!X80</f>
        <v>20690197.6802025</v>
      </c>
      <c r="Q80" s="67"/>
      <c r="R80" s="84" t="n">
        <f aca="false">'Low SIPA income'!G75</f>
        <v>16122359.1154874</v>
      </c>
      <c r="S80" s="67"/>
      <c r="T80" s="84" t="n">
        <f aca="false">'Low SIPA income'!J75</f>
        <v>61645237.4303388</v>
      </c>
      <c r="U80" s="9"/>
      <c r="V80" s="84" t="n">
        <f aca="false">'Low SIPA income'!F75</f>
        <v>139039.67633452</v>
      </c>
      <c r="W80" s="67"/>
      <c r="X80" s="84" t="n">
        <f aca="false">'Low SIPA income'!M75</f>
        <v>349227.58070131</v>
      </c>
      <c r="Y80" s="9"/>
      <c r="Z80" s="9" t="n">
        <f aca="false">R80+V80-N80-L80-F80</f>
        <v>-9301081.9655738</v>
      </c>
      <c r="AA80" s="9"/>
      <c r="AB80" s="9" t="n">
        <f aca="false">T80-P80-D80</f>
        <v>-78072285.9142994</v>
      </c>
      <c r="AC80" s="50"/>
      <c r="AD80" s="9"/>
      <c r="AE80" s="9"/>
      <c r="AF80" s="9"/>
      <c r="AG80" s="9" t="n">
        <f aca="false">BF80/100*$AG$53</f>
        <v>6523737079.81635</v>
      </c>
      <c r="AH80" s="39" t="n">
        <f aca="false">(AG80-AG79)/AG79</f>
        <v>-0.00115286257038079</v>
      </c>
      <c r="AI80" s="39"/>
      <c r="AJ80" s="39" t="n">
        <f aca="false">AB80/AG80</f>
        <v>-0.0119674175950232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12867816</v>
      </c>
      <c r="AX80" s="7"/>
      <c r="AY80" s="39" t="n">
        <f aca="false">(AW80-AW79)/AW79</f>
        <v>0.00334778934790896</v>
      </c>
      <c r="AZ80" s="38" t="n">
        <f aca="false">workers_and_wage_low!B68</f>
        <v>6481.97805737545</v>
      </c>
      <c r="BA80" s="39" t="n">
        <f aca="false">(AZ80-AZ79)/AZ79</f>
        <v>-0.00448563495736115</v>
      </c>
      <c r="BB80" s="39"/>
      <c r="BC80" s="39"/>
      <c r="BD80" s="39"/>
      <c r="BE80" s="39"/>
      <c r="BF80" s="7" t="n">
        <f aca="false">BF79*(1+AY80)*(1+BA80)*(1-BE80)</f>
        <v>118.085080455445</v>
      </c>
      <c r="BG80" s="7"/>
      <c r="BH80" s="7"/>
      <c r="BI80" s="39" t="n">
        <f aca="false">T87/AG87</f>
        <v>0.0111110900830261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4" t="n">
        <f aca="false">'Low pensions'!Q81</f>
        <v>119248613.341494</v>
      </c>
      <c r="E81" s="9"/>
      <c r="F81" s="67" t="n">
        <f aca="false">'Low pensions'!I81</f>
        <v>21674847.0474851</v>
      </c>
      <c r="G81" s="84" t="n">
        <f aca="false">'Low pensions'!K81</f>
        <v>2372301.82860339</v>
      </c>
      <c r="H81" s="84" t="n">
        <f aca="false">'Low pensions'!V81</f>
        <v>13051704.7187776</v>
      </c>
      <c r="I81" s="84" t="n">
        <f aca="false">'Low pensions'!M81</f>
        <v>73370.15964753</v>
      </c>
      <c r="J81" s="84" t="n">
        <f aca="false">'Low pensions'!W81</f>
        <v>403660.970683857</v>
      </c>
      <c r="K81" s="9"/>
      <c r="L81" s="84" t="n">
        <f aca="false">'Low pensions'!N81</f>
        <v>2912609.10410272</v>
      </c>
      <c r="M81" s="67"/>
      <c r="N81" s="84" t="n">
        <f aca="false">'Low pensions'!L81</f>
        <v>988564.85783267</v>
      </c>
      <c r="O81" s="9"/>
      <c r="P81" s="84" t="n">
        <f aca="false">'Low pensions'!X81</f>
        <v>20552334.6611579</v>
      </c>
      <c r="Q81" s="67"/>
      <c r="R81" s="84" t="n">
        <f aca="false">'Low SIPA income'!G76</f>
        <v>18952051.1341535</v>
      </c>
      <c r="S81" s="67"/>
      <c r="T81" s="84" t="n">
        <f aca="false">'Low SIPA income'!J76</f>
        <v>72464810.117926</v>
      </c>
      <c r="U81" s="9"/>
      <c r="V81" s="84" t="n">
        <f aca="false">'Low SIPA income'!F76</f>
        <v>135791.08088106</v>
      </c>
      <c r="W81" s="67"/>
      <c r="X81" s="84" t="n">
        <f aca="false">'Low SIPA income'!M76</f>
        <v>341068.045518276</v>
      </c>
      <c r="Y81" s="9"/>
      <c r="Z81" s="9" t="n">
        <f aca="false">R81+V81-N81-L81-F81</f>
        <v>-6488178.79438598</v>
      </c>
      <c r="AA81" s="9"/>
      <c r="AB81" s="9" t="n">
        <f aca="false">T81-P81-D81</f>
        <v>-67336137.8847257</v>
      </c>
      <c r="AC81" s="50"/>
      <c r="AD81" s="9"/>
      <c r="AE81" s="9"/>
      <c r="AF81" s="9"/>
      <c r="AG81" s="9" t="n">
        <f aca="false">BF81/100*$AG$53</f>
        <v>6525888525.80455</v>
      </c>
      <c r="AH81" s="39" t="n">
        <f aca="false">(AG81-AG80)/AG80</f>
        <v>0.00032978735376199</v>
      </c>
      <c r="AI81" s="39" t="n">
        <f aca="false">(AG81-AG77)/AG77</f>
        <v>0.000141857631543353</v>
      </c>
      <c r="AJ81" s="39" t="n">
        <f aca="false">AB81/AG81</f>
        <v>-0.0103183095479591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12855141</v>
      </c>
      <c r="AX81" s="7"/>
      <c r="AY81" s="39" t="n">
        <f aca="false">(AW81-AW80)/AW80</f>
        <v>-0.00098501563901753</v>
      </c>
      <c r="AZ81" s="38" t="n">
        <f aca="false">workers_and_wage_low!B69</f>
        <v>6490.50898462117</v>
      </c>
      <c r="BA81" s="39" t="n">
        <f aca="false">(AZ81-AZ80)/AZ80</f>
        <v>0.00131609937124268</v>
      </c>
      <c r="BB81" s="39"/>
      <c r="BC81" s="39"/>
      <c r="BD81" s="39"/>
      <c r="BE81" s="39"/>
      <c r="BF81" s="7" t="n">
        <f aca="false">BF80*(1+AY81)*(1+BA81)*(1-BE81)</f>
        <v>118.124023421648</v>
      </c>
      <c r="BG81" s="7"/>
      <c r="BH81" s="7"/>
      <c r="BI81" s="39" t="n">
        <f aca="false">T88/AG88</f>
        <v>0.00947105971836347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3" t="n">
        <f aca="false">'Low pensions'!Q82</f>
        <v>119167702.830045</v>
      </c>
      <c r="E82" s="6"/>
      <c r="F82" s="8" t="n">
        <f aca="false">'Low pensions'!I82</f>
        <v>21660140.6042734</v>
      </c>
      <c r="G82" s="83" t="n">
        <f aca="false">'Low pensions'!K82</f>
        <v>2443426.50464425</v>
      </c>
      <c r="H82" s="83" t="n">
        <f aca="false">'Low pensions'!V82</f>
        <v>13443011.7011823</v>
      </c>
      <c r="I82" s="83" t="n">
        <f aca="false">'Low pensions'!M82</f>
        <v>75569.8918962101</v>
      </c>
      <c r="J82" s="83" t="n">
        <f aca="false">'Low pensions'!W82</f>
        <v>415763.248490155</v>
      </c>
      <c r="K82" s="6"/>
      <c r="L82" s="83" t="n">
        <f aca="false">'Low pensions'!N82</f>
        <v>3520186.64553538</v>
      </c>
      <c r="M82" s="8"/>
      <c r="N82" s="83" t="n">
        <f aca="false">'Low pensions'!L82</f>
        <v>989458.157878589</v>
      </c>
      <c r="O82" s="6"/>
      <c r="P82" s="83" t="n">
        <f aca="false">'Low pensions'!X82</f>
        <v>23709972.0852406</v>
      </c>
      <c r="Q82" s="8"/>
      <c r="R82" s="83" t="n">
        <f aca="false">'Low SIPA income'!G77</f>
        <v>16150206.5101946</v>
      </c>
      <c r="S82" s="8"/>
      <c r="T82" s="83" t="n">
        <f aca="false">'Low SIPA income'!J77</f>
        <v>61751714.3575826</v>
      </c>
      <c r="U82" s="6"/>
      <c r="V82" s="83" t="n">
        <f aca="false">'Low SIPA income'!F77</f>
        <v>136946.194725179</v>
      </c>
      <c r="W82" s="8"/>
      <c r="X82" s="83" t="n">
        <f aca="false">'Low SIPA income'!M77</f>
        <v>343969.358466141</v>
      </c>
      <c r="Y82" s="6"/>
      <c r="Z82" s="6" t="n">
        <f aca="false">R82+V82-N82-L82-F82</f>
        <v>-9882632.70276757</v>
      </c>
      <c r="AA82" s="6"/>
      <c r="AB82" s="6" t="n">
        <f aca="false">T82-P82-D82</f>
        <v>-81125960.5577031</v>
      </c>
      <c r="AC82" s="50"/>
      <c r="AD82" s="6"/>
      <c r="AE82" s="6"/>
      <c r="AF82" s="6"/>
      <c r="AG82" s="6" t="n">
        <f aca="false">BF82/100*$AG$53</f>
        <v>6549073468.55871</v>
      </c>
      <c r="AH82" s="61" t="n">
        <f aca="false">(AG82-AG81)/AG81</f>
        <v>0.00355276414276631</v>
      </c>
      <c r="AI82" s="61"/>
      <c r="AJ82" s="61" t="n">
        <f aca="false">AB82/AG82</f>
        <v>-0.0123873950944632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0.00133003033927087</v>
      </c>
      <c r="AV82" s="5"/>
      <c r="AW82" s="65" t="n">
        <f aca="false">workers_and_wage_low!C70</f>
        <v>12888312</v>
      </c>
      <c r="AX82" s="5"/>
      <c r="AY82" s="61" t="n">
        <f aca="false">(AW82-AW81)/AW81</f>
        <v>0.00258036843003122</v>
      </c>
      <c r="AZ82" s="66" t="n">
        <f aca="false">workers_and_wage_low!B70</f>
        <v>6496.80408405544</v>
      </c>
      <c r="BA82" s="61" t="n">
        <f aca="false">(AZ82-AZ81)/AZ81</f>
        <v>0.000969893031376404</v>
      </c>
      <c r="BB82" s="61"/>
      <c r="BC82" s="61"/>
      <c r="BD82" s="61"/>
      <c r="BE82" s="61"/>
      <c r="BF82" s="5" t="n">
        <f aca="false">BF81*(1+AY82)*(1+BA82)*(1-BE82)</f>
        <v>118.543690216459</v>
      </c>
      <c r="BG82" s="5"/>
      <c r="BH82" s="5"/>
      <c r="BI82" s="61" t="n">
        <f aca="false">T89/AG89</f>
        <v>0.0111769184021434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4" t="n">
        <f aca="false">'Low pensions'!Q83</f>
        <v>119127865.860564</v>
      </c>
      <c r="E83" s="9"/>
      <c r="F83" s="67" t="n">
        <f aca="false">'Low pensions'!I83</f>
        <v>21652899.763511</v>
      </c>
      <c r="G83" s="84" t="n">
        <f aca="false">'Low pensions'!K83</f>
        <v>2481373.849642</v>
      </c>
      <c r="H83" s="84" t="n">
        <f aca="false">'Low pensions'!V83</f>
        <v>13651786.7970831</v>
      </c>
      <c r="I83" s="84" t="n">
        <f aca="false">'Low pensions'!M83</f>
        <v>76743.5211229497</v>
      </c>
      <c r="J83" s="84" t="n">
        <f aca="false">'Low pensions'!W83</f>
        <v>422220.210219072</v>
      </c>
      <c r="K83" s="9"/>
      <c r="L83" s="84" t="n">
        <f aca="false">'Low pensions'!N83</f>
        <v>2936006.4615748</v>
      </c>
      <c r="M83" s="67"/>
      <c r="N83" s="84" t="n">
        <f aca="false">'Low pensions'!L83</f>
        <v>989625.504878853</v>
      </c>
      <c r="O83" s="9"/>
      <c r="P83" s="84" t="n">
        <f aca="false">'Low pensions'!X83</f>
        <v>20679579.0274135</v>
      </c>
      <c r="Q83" s="67"/>
      <c r="R83" s="84" t="n">
        <f aca="false">'Low SIPA income'!G78</f>
        <v>19006321.1912548</v>
      </c>
      <c r="S83" s="67"/>
      <c r="T83" s="84" t="n">
        <f aca="false">'Low SIPA income'!J78</f>
        <v>72672316.3849313</v>
      </c>
      <c r="U83" s="9"/>
      <c r="V83" s="84" t="n">
        <f aca="false">'Low SIPA income'!F78</f>
        <v>139529.877530079</v>
      </c>
      <c r="W83" s="67"/>
      <c r="X83" s="84" t="n">
        <f aca="false">'Low SIPA income'!M78</f>
        <v>350458.824775627</v>
      </c>
      <c r="Y83" s="9"/>
      <c r="Z83" s="9" t="n">
        <f aca="false">R83+V83-N83-L83-F83</f>
        <v>-6432680.66117973</v>
      </c>
      <c r="AA83" s="9"/>
      <c r="AB83" s="9" t="n">
        <f aca="false">T83-P83-D83</f>
        <v>-67135128.5030462</v>
      </c>
      <c r="AC83" s="50"/>
      <c r="AD83" s="9"/>
      <c r="AE83" s="9"/>
      <c r="AF83" s="9"/>
      <c r="AG83" s="9" t="n">
        <f aca="false">BF83/100*$AG$53</f>
        <v>6562987147.58189</v>
      </c>
      <c r="AH83" s="39" t="n">
        <f aca="false">(AG83-AG82)/AG82</f>
        <v>0.00212452633032294</v>
      </c>
      <c r="AI83" s="39"/>
      <c r="AJ83" s="39" t="n">
        <f aca="false">AB83/AG83</f>
        <v>-0.0102293554738686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12910201</v>
      </c>
      <c r="AX83" s="7"/>
      <c r="AY83" s="39" t="n">
        <f aca="false">(AW83-AW82)/AW82</f>
        <v>0.00169836049903199</v>
      </c>
      <c r="AZ83" s="38" t="n">
        <f aca="false">workers_and_wage_low!B71</f>
        <v>6499.56810566354</v>
      </c>
      <c r="BA83" s="39" t="n">
        <f aca="false">(AZ83-AZ82)/AZ82</f>
        <v>0.000425443275237966</v>
      </c>
      <c r="BB83" s="39"/>
      <c r="BC83" s="39"/>
      <c r="BD83" s="39"/>
      <c r="BE83" s="39"/>
      <c r="BF83" s="7" t="n">
        <f aca="false">BF82*(1+AY83)*(1+BA83)*(1-BE83)</f>
        <v>118.795539407618</v>
      </c>
      <c r="BG83" s="7"/>
      <c r="BH83" s="7"/>
      <c r="BI83" s="39" t="n">
        <f aca="false">T90/AG90</f>
        <v>0.00949977544396856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4" t="n">
        <f aca="false">'Low pensions'!Q84</f>
        <v>119596930.555983</v>
      </c>
      <c r="E84" s="9"/>
      <c r="F84" s="67" t="n">
        <f aca="false">'Low pensions'!I84</f>
        <v>21738157.8243277</v>
      </c>
      <c r="G84" s="84" t="n">
        <f aca="false">'Low pensions'!K84</f>
        <v>2564955.06854389</v>
      </c>
      <c r="H84" s="84" t="n">
        <f aca="false">'Low pensions'!V84</f>
        <v>14111626.0030349</v>
      </c>
      <c r="I84" s="84" t="n">
        <f aca="false">'Low pensions'!M84</f>
        <v>79328.5072745602</v>
      </c>
      <c r="J84" s="84" t="n">
        <f aca="false">'Low pensions'!W84</f>
        <v>436442.041331014</v>
      </c>
      <c r="K84" s="9"/>
      <c r="L84" s="84" t="n">
        <f aca="false">'Low pensions'!N84</f>
        <v>2906156.53967782</v>
      </c>
      <c r="M84" s="67"/>
      <c r="N84" s="84" t="n">
        <f aca="false">'Low pensions'!L84</f>
        <v>995208.983174741</v>
      </c>
      <c r="O84" s="9"/>
      <c r="P84" s="84" t="n">
        <f aca="false">'Low pensions'!X84</f>
        <v>20555406.2909811</v>
      </c>
      <c r="Q84" s="67"/>
      <c r="R84" s="84" t="n">
        <f aca="false">'Low SIPA income'!G79</f>
        <v>16329478.0532271</v>
      </c>
      <c r="S84" s="67"/>
      <c r="T84" s="84" t="n">
        <f aca="false">'Low SIPA income'!J79</f>
        <v>62437174.6401367</v>
      </c>
      <c r="U84" s="9"/>
      <c r="V84" s="84" t="n">
        <f aca="false">'Low SIPA income'!F79</f>
        <v>136857.391227187</v>
      </c>
      <c r="W84" s="67"/>
      <c r="X84" s="84" t="n">
        <f aca="false">'Low SIPA income'!M79</f>
        <v>343746.309681944</v>
      </c>
      <c r="Y84" s="9"/>
      <c r="Z84" s="9" t="n">
        <f aca="false">R84+V84-N84-L84-F84</f>
        <v>-9173187.90272601</v>
      </c>
      <c r="AA84" s="9"/>
      <c r="AB84" s="9" t="n">
        <f aca="false">T84-P84-D84</f>
        <v>-77715162.2068272</v>
      </c>
      <c r="AC84" s="50"/>
      <c r="AD84" s="9"/>
      <c r="AE84" s="9"/>
      <c r="AF84" s="9"/>
      <c r="AG84" s="9" t="n">
        <f aca="false">BF84/100*$AG$53</f>
        <v>6550821744.99022</v>
      </c>
      <c r="AH84" s="39" t="n">
        <f aca="false">(AG84-AG83)/AG83</f>
        <v>-0.0018536380337343</v>
      </c>
      <c r="AI84" s="39"/>
      <c r="AJ84" s="39" t="n">
        <f aca="false">AB84/AG84</f>
        <v>-0.0118634219082912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12876169</v>
      </c>
      <c r="AX84" s="7"/>
      <c r="AY84" s="39" t="n">
        <f aca="false">(AW84-AW83)/AW83</f>
        <v>-0.00263605500797393</v>
      </c>
      <c r="AZ84" s="38" t="n">
        <f aca="false">workers_and_wage_low!B72</f>
        <v>6504.66691882661</v>
      </c>
      <c r="BA84" s="39" t="n">
        <f aca="false">(AZ84-AZ83)/AZ83</f>
        <v>0.000784484919640479</v>
      </c>
      <c r="BB84" s="39"/>
      <c r="BC84" s="39"/>
      <c r="BD84" s="39"/>
      <c r="BE84" s="39"/>
      <c r="BF84" s="7" t="n">
        <f aca="false">BF83*(1+AY84)*(1+BA84)*(1-BE84)</f>
        <v>118.575335477534</v>
      </c>
      <c r="BG84" s="7"/>
      <c r="BH84" s="7"/>
      <c r="BI84" s="39" t="n">
        <f aca="false">T91/AG91</f>
        <v>0.0110378567296607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4" t="n">
        <f aca="false">'Low pensions'!Q85</f>
        <v>119982668.152801</v>
      </c>
      <c r="E85" s="9"/>
      <c r="F85" s="67" t="n">
        <f aca="false">'Low pensions'!I85</f>
        <v>21808270.1986122</v>
      </c>
      <c r="G85" s="84" t="n">
        <f aca="false">'Low pensions'!K85</f>
        <v>2602508.02732149</v>
      </c>
      <c r="H85" s="84" t="n">
        <f aca="false">'Low pensions'!V85</f>
        <v>14318231.3023151</v>
      </c>
      <c r="I85" s="84" t="n">
        <f aca="false">'Low pensions'!M85</f>
        <v>80489.9389893301</v>
      </c>
      <c r="J85" s="84" t="n">
        <f aca="false">'Low pensions'!W85</f>
        <v>442831.895947922</v>
      </c>
      <c r="K85" s="9"/>
      <c r="L85" s="84" t="n">
        <f aca="false">'Low pensions'!N85</f>
        <v>2956669.42493456</v>
      </c>
      <c r="M85" s="67"/>
      <c r="N85" s="84" t="n">
        <f aca="false">'Low pensions'!L85</f>
        <v>999997.307594769</v>
      </c>
      <c r="O85" s="9"/>
      <c r="P85" s="84" t="n">
        <f aca="false">'Low pensions'!X85</f>
        <v>20843861.8408813</v>
      </c>
      <c r="Q85" s="67"/>
      <c r="R85" s="84" t="n">
        <f aca="false">'Low SIPA income'!G80</f>
        <v>19158817.6122774</v>
      </c>
      <c r="S85" s="67"/>
      <c r="T85" s="84" t="n">
        <f aca="false">'Low SIPA income'!J80</f>
        <v>73255399.6678351</v>
      </c>
      <c r="U85" s="9"/>
      <c r="V85" s="84" t="n">
        <f aca="false">'Low SIPA income'!F80</f>
        <v>136496.570748694</v>
      </c>
      <c r="W85" s="67"/>
      <c r="X85" s="84" t="n">
        <f aca="false">'Low SIPA income'!M80</f>
        <v>342840.0326674</v>
      </c>
      <c r="Y85" s="9"/>
      <c r="Z85" s="9" t="n">
        <f aca="false">R85+V85-N85-L85-F85</f>
        <v>-6469622.74811543</v>
      </c>
      <c r="AA85" s="9"/>
      <c r="AB85" s="9" t="n">
        <f aca="false">T85-P85-D85</f>
        <v>-67571130.3258475</v>
      </c>
      <c r="AC85" s="50"/>
      <c r="AD85" s="9"/>
      <c r="AE85" s="9"/>
      <c r="AF85" s="9"/>
      <c r="AG85" s="9" t="n">
        <f aca="false">BF85/100*$AG$53</f>
        <v>6560624846.11718</v>
      </c>
      <c r="AH85" s="39" t="n">
        <f aca="false">(AG85-AG84)/AG84</f>
        <v>0.00149646891772851</v>
      </c>
      <c r="AI85" s="39" t="n">
        <f aca="false">(AG85-AG81)/AG81</f>
        <v>0.00532284916839721</v>
      </c>
      <c r="AJ85" s="39" t="n">
        <f aca="false">AB85/AG85</f>
        <v>-0.010299496147206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12865286</v>
      </c>
      <c r="AX85" s="7"/>
      <c r="AY85" s="39" t="n">
        <f aca="false">(AW85-AW84)/AW84</f>
        <v>-0.00084520481208347</v>
      </c>
      <c r="AZ85" s="38" t="n">
        <f aca="false">workers_and_wage_low!B73</f>
        <v>6519.91161135909</v>
      </c>
      <c r="BA85" s="39" t="n">
        <f aca="false">(AZ85-AZ84)/AZ84</f>
        <v>0.002343654597956</v>
      </c>
      <c r="BB85" s="39"/>
      <c r="BC85" s="39"/>
      <c r="BD85" s="39"/>
      <c r="BE85" s="39"/>
      <c r="BF85" s="7" t="n">
        <f aca="false">BF84*(1+AY85)*(1+BA85)*(1-BE85)</f>
        <v>118.752779781485</v>
      </c>
      <c r="BG85" s="7"/>
      <c r="BH85" s="7"/>
      <c r="BI85" s="39" t="n">
        <f aca="false">T92/AG92</f>
        <v>0.00948942260397083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3" t="n">
        <f aca="false">'Low pensions'!Q86</f>
        <v>120027649.887442</v>
      </c>
      <c r="E86" s="6"/>
      <c r="F86" s="8" t="n">
        <f aca="false">'Low pensions'!I86</f>
        <v>21816446.161342</v>
      </c>
      <c r="G86" s="83" t="n">
        <f aca="false">'Low pensions'!K86</f>
        <v>2681733.1465297</v>
      </c>
      <c r="H86" s="83" t="n">
        <f aca="false">'Low pensions'!V86</f>
        <v>14754104.5330095</v>
      </c>
      <c r="I86" s="83" t="n">
        <f aca="false">'Low pensions'!M86</f>
        <v>82940.2004081397</v>
      </c>
      <c r="J86" s="83" t="n">
        <f aca="false">'Low pensions'!W86</f>
        <v>456312.511330217</v>
      </c>
      <c r="K86" s="6"/>
      <c r="L86" s="83" t="n">
        <f aca="false">'Low pensions'!N86</f>
        <v>3538250.23016359</v>
      </c>
      <c r="M86" s="8"/>
      <c r="N86" s="83" t="n">
        <f aca="false">'Low pensions'!L86</f>
        <v>1002239.91184036</v>
      </c>
      <c r="O86" s="6"/>
      <c r="P86" s="83" t="n">
        <f aca="false">'Low pensions'!X86</f>
        <v>23874025.5508176</v>
      </c>
      <c r="Q86" s="8"/>
      <c r="R86" s="83" t="n">
        <f aca="false">'Low SIPA income'!G81</f>
        <v>16311977.9525142</v>
      </c>
      <c r="S86" s="8"/>
      <c r="T86" s="83" t="n">
        <f aca="false">'Low SIPA income'!J81</f>
        <v>62370261.4882974</v>
      </c>
      <c r="U86" s="6"/>
      <c r="V86" s="83" t="n">
        <f aca="false">'Low SIPA income'!F81</f>
        <v>139782.352667349</v>
      </c>
      <c r="W86" s="8"/>
      <c r="X86" s="83" t="n">
        <f aca="false">'Low SIPA income'!M81</f>
        <v>351092.969529848</v>
      </c>
      <c r="Y86" s="6"/>
      <c r="Z86" s="6" t="n">
        <f aca="false">R86+V86-N86-L86-F86</f>
        <v>-9905175.99816445</v>
      </c>
      <c r="AA86" s="6"/>
      <c r="AB86" s="6" t="n">
        <f aca="false">T86-P86-D86</f>
        <v>-81531413.9499619</v>
      </c>
      <c r="AC86" s="50"/>
      <c r="AD86" s="6"/>
      <c r="AE86" s="6"/>
      <c r="AF86" s="6"/>
      <c r="AG86" s="6" t="n">
        <f aca="false">BF86/100*$AG$53</f>
        <v>6608920963.46794</v>
      </c>
      <c r="AH86" s="61" t="n">
        <f aca="false">(AG86-AG85)/AG85</f>
        <v>0.00736151181992137</v>
      </c>
      <c r="AI86" s="61"/>
      <c r="AJ86" s="61" t="n">
        <f aca="false">AB86/AG86</f>
        <v>-0.0123365696761456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0.00201896358784473</v>
      </c>
      <c r="AV86" s="5"/>
      <c r="AW86" s="65" t="n">
        <f aca="false">workers_and_wage_low!C74</f>
        <v>12856854</v>
      </c>
      <c r="AX86" s="5"/>
      <c r="AY86" s="61" t="n">
        <f aca="false">(AW86-AW85)/AW85</f>
        <v>-0.000655407116483847</v>
      </c>
      <c r="AZ86" s="66" t="n">
        <f aca="false">workers_and_wage_low!B74</f>
        <v>6572.21549455715</v>
      </c>
      <c r="BA86" s="61" t="n">
        <f aca="false">(AZ86-AZ85)/AZ85</f>
        <v>0.00802217672812245</v>
      </c>
      <c r="BB86" s="61"/>
      <c r="BC86" s="61"/>
      <c r="BD86" s="61"/>
      <c r="BE86" s="61"/>
      <c r="BF86" s="5" t="n">
        <f aca="false">BF85*(1+AY86)*(1+BA86)*(1-BE86)</f>
        <v>119.626979773495</v>
      </c>
      <c r="BG86" s="5"/>
      <c r="BH86" s="5"/>
      <c r="BI86" s="61" t="n">
        <f aca="false">T93/AG93</f>
        <v>0.0111552675985961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4" t="n">
        <f aca="false">'Low pensions'!Q87</f>
        <v>119505105.286185</v>
      </c>
      <c r="E87" s="9"/>
      <c r="F87" s="67" t="n">
        <f aca="false">'Low pensions'!I87</f>
        <v>21721467.4945856</v>
      </c>
      <c r="G87" s="84" t="n">
        <f aca="false">'Low pensions'!K87</f>
        <v>2732294.82036678</v>
      </c>
      <c r="H87" s="84" t="n">
        <f aca="false">'Low pensions'!V87</f>
        <v>15032279.9443556</v>
      </c>
      <c r="I87" s="84" t="n">
        <f aca="false">'Low pensions'!M87</f>
        <v>84503.9635165003</v>
      </c>
      <c r="J87" s="84" t="n">
        <f aca="false">'Low pensions'!W87</f>
        <v>464915.874567708</v>
      </c>
      <c r="K87" s="9"/>
      <c r="L87" s="84" t="n">
        <f aca="false">'Low pensions'!N87</f>
        <v>2901373.91324332</v>
      </c>
      <c r="M87" s="67"/>
      <c r="N87" s="84" t="n">
        <f aca="false">'Low pensions'!L87</f>
        <v>998253.711631302</v>
      </c>
      <c r="O87" s="9"/>
      <c r="P87" s="84" t="n">
        <f aca="false">'Low pensions'!X87</f>
        <v>20547340.4173047</v>
      </c>
      <c r="Q87" s="67"/>
      <c r="R87" s="84" t="n">
        <f aca="false">'Low SIPA income'!G82</f>
        <v>19257304.6345441</v>
      </c>
      <c r="S87" s="67"/>
      <c r="T87" s="84" t="n">
        <f aca="false">'Low SIPA income'!J82</f>
        <v>73631973.3335096</v>
      </c>
      <c r="U87" s="9"/>
      <c r="V87" s="84" t="n">
        <f aca="false">'Low SIPA income'!F82</f>
        <v>141862.416589673</v>
      </c>
      <c r="W87" s="67"/>
      <c r="X87" s="84" t="n">
        <f aca="false">'Low SIPA income'!M82</f>
        <v>356317.490403656</v>
      </c>
      <c r="Y87" s="9"/>
      <c r="Z87" s="9" t="n">
        <f aca="false">R87+V87-N87-L87-F87</f>
        <v>-6221928.06832644</v>
      </c>
      <c r="AA87" s="9"/>
      <c r="AB87" s="9" t="n">
        <f aca="false">T87-P87-D87</f>
        <v>-66420472.3699803</v>
      </c>
      <c r="AC87" s="50"/>
      <c r="AD87" s="9"/>
      <c r="AE87" s="9"/>
      <c r="AF87" s="9"/>
      <c r="AG87" s="9" t="n">
        <f aca="false">BF87/100*$AG$53</f>
        <v>6626890141.58867</v>
      </c>
      <c r="AH87" s="39" t="n">
        <f aca="false">(AG87-AG86)/AG86</f>
        <v>0.0027189276767061</v>
      </c>
      <c r="AI87" s="39"/>
      <c r="AJ87" s="39" t="n">
        <f aca="false">AB87/AG87</f>
        <v>-0.010022872109067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12929673</v>
      </c>
      <c r="AX87" s="7"/>
      <c r="AY87" s="39" t="n">
        <f aca="false">(AW87-AW86)/AW86</f>
        <v>0.00566382724731882</v>
      </c>
      <c r="AZ87" s="38" t="n">
        <f aca="false">workers_and_wage_low!B75</f>
        <v>6552.96998322075</v>
      </c>
      <c r="BA87" s="39" t="n">
        <f aca="false">(AZ87-AZ86)/AZ86</f>
        <v>-0.00292831410539394</v>
      </c>
      <c r="BB87" s="39"/>
      <c r="BC87" s="39"/>
      <c r="BD87" s="39"/>
      <c r="BE87" s="39"/>
      <c r="BF87" s="7" t="n">
        <f aca="false">BF86*(1+AY87)*(1+BA87)*(1-BE87)</f>
        <v>119.952236879682</v>
      </c>
      <c r="BG87" s="7"/>
      <c r="BH87" s="7"/>
      <c r="BI87" s="39" t="n">
        <f aca="false">T94/AG94</f>
        <v>0.00947742329667843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4" t="n">
        <f aca="false">'Low pensions'!Q88</f>
        <v>119306555.29781</v>
      </c>
      <c r="E88" s="9"/>
      <c r="F88" s="67" t="n">
        <f aca="false">'Low pensions'!I88</f>
        <v>21685378.6839175</v>
      </c>
      <c r="G88" s="84" t="n">
        <f aca="false">'Low pensions'!K88</f>
        <v>2791274.78285427</v>
      </c>
      <c r="H88" s="84" t="n">
        <f aca="false">'Low pensions'!V88</f>
        <v>15356770.2960594</v>
      </c>
      <c r="I88" s="84" t="n">
        <f aca="false">'Low pensions'!M88</f>
        <v>86328.08606765</v>
      </c>
      <c r="J88" s="84" t="n">
        <f aca="false">'Low pensions'!W88</f>
        <v>474951.658640971</v>
      </c>
      <c r="K88" s="9"/>
      <c r="L88" s="84" t="n">
        <f aca="false">'Low pensions'!N88</f>
        <v>2921437.10487999</v>
      </c>
      <c r="M88" s="67"/>
      <c r="N88" s="84" t="n">
        <f aca="false">'Low pensions'!L88</f>
        <v>996132.83235905</v>
      </c>
      <c r="O88" s="9"/>
      <c r="P88" s="84" t="n">
        <f aca="false">'Low pensions'!X88</f>
        <v>20639779.9620884</v>
      </c>
      <c r="Q88" s="67"/>
      <c r="R88" s="84" t="n">
        <f aca="false">'Low SIPA income'!G83</f>
        <v>16353961.0715085</v>
      </c>
      <c r="S88" s="67"/>
      <c r="T88" s="84" t="n">
        <f aca="false">'Low SIPA income'!J83</f>
        <v>62530787.5825207</v>
      </c>
      <c r="U88" s="9"/>
      <c r="V88" s="84" t="n">
        <f aca="false">'Low SIPA income'!F83</f>
        <v>142672.207992224</v>
      </c>
      <c r="W88" s="67"/>
      <c r="X88" s="84" t="n">
        <f aca="false">'Low SIPA income'!M83</f>
        <v>358351.452937525</v>
      </c>
      <c r="Y88" s="9"/>
      <c r="Z88" s="9" t="n">
        <f aca="false">R88+V88-N88-L88-F88</f>
        <v>-9106315.3416558</v>
      </c>
      <c r="AA88" s="9"/>
      <c r="AB88" s="9" t="n">
        <f aca="false">T88-P88-D88</f>
        <v>-77415547.6773776</v>
      </c>
      <c r="AC88" s="50"/>
      <c r="AD88" s="9"/>
      <c r="AE88" s="9"/>
      <c r="AF88" s="9"/>
      <c r="AG88" s="9" t="n">
        <f aca="false">BF88/100*$AG$53</f>
        <v>6602301056.26719</v>
      </c>
      <c r="AH88" s="39" t="n">
        <f aca="false">(AG88-AG87)/AG87</f>
        <v>-0.0037105014261778</v>
      </c>
      <c r="AI88" s="39"/>
      <c r="AJ88" s="39" t="n">
        <f aca="false">AB88/AG88</f>
        <v>-0.0117255403862403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12935999</v>
      </c>
      <c r="AX88" s="7"/>
      <c r="AY88" s="39" t="n">
        <f aca="false">(AW88-AW87)/AW87</f>
        <v>0.000489262180103085</v>
      </c>
      <c r="AZ88" s="38" t="n">
        <f aca="false">workers_and_wage_low!B76</f>
        <v>6525.46251673519</v>
      </c>
      <c r="BA88" s="39" t="n">
        <f aca="false">(AZ88-AZ87)/AZ87</f>
        <v>-0.00419770982562023</v>
      </c>
      <c r="BB88" s="39"/>
      <c r="BC88" s="39"/>
      <c r="BD88" s="39"/>
      <c r="BE88" s="39"/>
      <c r="BF88" s="7" t="n">
        <f aca="false">BF87*(1+AY88)*(1+BA88)*(1-BE88)</f>
        <v>119.507153933667</v>
      </c>
      <c r="BG88" s="7"/>
      <c r="BH88" s="7"/>
      <c r="BI88" s="39" t="n">
        <f aca="false">T95/AG95</f>
        <v>0.0110790375225676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4" t="n">
        <f aca="false">'Low pensions'!Q89</f>
        <v>119369818.188103</v>
      </c>
      <c r="E89" s="9"/>
      <c r="F89" s="67" t="n">
        <f aca="false">'Low pensions'!I89</f>
        <v>21696877.4630853</v>
      </c>
      <c r="G89" s="84" t="n">
        <f aca="false">'Low pensions'!K89</f>
        <v>2851427.95405246</v>
      </c>
      <c r="H89" s="84" t="n">
        <f aca="false">'Low pensions'!V89</f>
        <v>15687715.2959371</v>
      </c>
      <c r="I89" s="84" t="n">
        <f aca="false">'Low pensions'!M89</f>
        <v>88188.4934243001</v>
      </c>
      <c r="J89" s="84" t="n">
        <f aca="false">'Low pensions'!W89</f>
        <v>485187.071008348</v>
      </c>
      <c r="K89" s="9"/>
      <c r="L89" s="84" t="n">
        <f aca="false">'Low pensions'!N89</f>
        <v>2872538.06303681</v>
      </c>
      <c r="M89" s="67"/>
      <c r="N89" s="84" t="n">
        <f aca="false">'Low pensions'!L89</f>
        <v>997497.659466997</v>
      </c>
      <c r="O89" s="9"/>
      <c r="P89" s="84" t="n">
        <f aca="false">'Low pensions'!X89</f>
        <v>20393551.4775667</v>
      </c>
      <c r="Q89" s="67"/>
      <c r="R89" s="84" t="n">
        <f aca="false">'Low SIPA income'!G84</f>
        <v>19332441.4608023</v>
      </c>
      <c r="S89" s="67"/>
      <c r="T89" s="84" t="n">
        <f aca="false">'Low SIPA income'!J84</f>
        <v>73919265.5009443</v>
      </c>
      <c r="U89" s="9"/>
      <c r="V89" s="84" t="n">
        <f aca="false">'Low SIPA income'!F84</f>
        <v>137245.402161246</v>
      </c>
      <c r="W89" s="67"/>
      <c r="X89" s="84" t="n">
        <f aca="false">'Low SIPA income'!M84</f>
        <v>344720.881281644</v>
      </c>
      <c r="Y89" s="9"/>
      <c r="Z89" s="9" t="n">
        <f aca="false">R89+V89-N89-L89-F89</f>
        <v>-6097226.32262558</v>
      </c>
      <c r="AA89" s="9"/>
      <c r="AB89" s="9" t="n">
        <f aca="false">T89-P89-D89</f>
        <v>-65844104.1647253</v>
      </c>
      <c r="AC89" s="50"/>
      <c r="AD89" s="9"/>
      <c r="AE89" s="9"/>
      <c r="AF89" s="9"/>
      <c r="AG89" s="9" t="n">
        <f aca="false">BF89/100*$AG$53</f>
        <v>6613564029.13067</v>
      </c>
      <c r="AH89" s="39" t="n">
        <f aca="false">(AG89-AG88)/AG88</f>
        <v>0.00170591628092923</v>
      </c>
      <c r="AI89" s="39" t="n">
        <f aca="false">(AG89-AG85)/AG85</f>
        <v>0.00806922880902465</v>
      </c>
      <c r="AJ89" s="39" t="n">
        <f aca="false">AB89/AG89</f>
        <v>-0.00995591845405938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12900816</v>
      </c>
      <c r="AX89" s="7"/>
      <c r="AY89" s="39" t="n">
        <f aca="false">(AW89-AW88)/AW88</f>
        <v>-0.00271977448359419</v>
      </c>
      <c r="AZ89" s="38" t="n">
        <f aca="false">workers_and_wage_low!B77</f>
        <v>6554.42095635491</v>
      </c>
      <c r="BA89" s="39" t="n">
        <f aca="false">(AZ89-AZ88)/AZ88</f>
        <v>0.00443776047221999</v>
      </c>
      <c r="BB89" s="39"/>
      <c r="BC89" s="39"/>
      <c r="BD89" s="39"/>
      <c r="BE89" s="39"/>
      <c r="BF89" s="7" t="n">
        <f aca="false">BF88*(1+AY89)*(1+BA89)*(1-BE89)</f>
        <v>119.71102313325</v>
      </c>
      <c r="BG89" s="7"/>
      <c r="BH89" s="7"/>
      <c r="BI89" s="39" t="n">
        <f aca="false">T96/AG96</f>
        <v>0.00951031118469099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3" t="n">
        <f aca="false">'Low pensions'!Q90</f>
        <v>119566428.174022</v>
      </c>
      <c r="E90" s="6"/>
      <c r="F90" s="8" t="n">
        <f aca="false">'Low pensions'!I90</f>
        <v>21732613.6553428</v>
      </c>
      <c r="G90" s="83" t="n">
        <f aca="false">'Low pensions'!K90</f>
        <v>2933211.70579414</v>
      </c>
      <c r="H90" s="83" t="n">
        <f aca="false">'Low pensions'!V90</f>
        <v>16137665.367912</v>
      </c>
      <c r="I90" s="83" t="n">
        <f aca="false">'Low pensions'!M90</f>
        <v>90717.8878080696</v>
      </c>
      <c r="J90" s="83" t="n">
        <f aca="false">'Low pensions'!W90</f>
        <v>499103.052615852</v>
      </c>
      <c r="K90" s="6"/>
      <c r="L90" s="83" t="n">
        <f aca="false">'Low pensions'!N90</f>
        <v>3496301.83158231</v>
      </c>
      <c r="M90" s="8"/>
      <c r="N90" s="83" t="n">
        <f aca="false">'Low pensions'!L90</f>
        <v>999816.033954333</v>
      </c>
      <c r="O90" s="6"/>
      <c r="P90" s="83" t="n">
        <f aca="false">'Low pensions'!X90</f>
        <v>23643019.6501958</v>
      </c>
      <c r="Q90" s="8"/>
      <c r="R90" s="83" t="n">
        <f aca="false">'Low SIPA income'!G85</f>
        <v>16432765.9739135</v>
      </c>
      <c r="S90" s="8"/>
      <c r="T90" s="83" t="n">
        <f aca="false">'Low SIPA income'!J85</f>
        <v>62832104.9570209</v>
      </c>
      <c r="U90" s="6"/>
      <c r="V90" s="83" t="n">
        <f aca="false">'Low SIPA income'!F85</f>
        <v>135313.002719296</v>
      </c>
      <c r="W90" s="8"/>
      <c r="X90" s="83" t="n">
        <f aca="false">'Low SIPA income'!M85</f>
        <v>339867.251009684</v>
      </c>
      <c r="Y90" s="6"/>
      <c r="Z90" s="6" t="n">
        <f aca="false">R90+V90-N90-L90-F90</f>
        <v>-9660652.54424661</v>
      </c>
      <c r="AA90" s="6"/>
      <c r="AB90" s="6" t="n">
        <f aca="false">T90-P90-D90</f>
        <v>-80377342.8671967</v>
      </c>
      <c r="AC90" s="50"/>
      <c r="AD90" s="6"/>
      <c r="AE90" s="6"/>
      <c r="AF90" s="6"/>
      <c r="AG90" s="6" t="n">
        <f aca="false">BF90/100*$AG$53</f>
        <v>6614062124.69088</v>
      </c>
      <c r="AH90" s="61" t="n">
        <f aca="false">(AG90-AG89)/AG89</f>
        <v>7.53142417634979E-005</v>
      </c>
      <c r="AI90" s="61"/>
      <c r="AJ90" s="61" t="n">
        <f aca="false">AB90/AG90</f>
        <v>-0.0121524928783389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0.000480596621452188</v>
      </c>
      <c r="AV90" s="5"/>
      <c r="AW90" s="65" t="n">
        <f aca="false">workers_and_wage_low!C78</f>
        <v>12898043</v>
      </c>
      <c r="AX90" s="5"/>
      <c r="AY90" s="61" t="n">
        <f aca="false">(AW90-AW89)/AW89</f>
        <v>-0.000214947643621923</v>
      </c>
      <c r="AZ90" s="66" t="n">
        <f aca="false">workers_and_wage_low!B78</f>
        <v>6556.32386396482</v>
      </c>
      <c r="BA90" s="61" t="n">
        <f aca="false">(AZ90-AZ89)/AZ89</f>
        <v>0.00029032428990765</v>
      </c>
      <c r="BB90" s="61"/>
      <c r="BC90" s="61"/>
      <c r="BD90" s="61"/>
      <c r="BE90" s="61"/>
      <c r="BF90" s="5" t="n">
        <f aca="false">BF89*(1+AY90)*(1+BA90)*(1-BE90)</f>
        <v>119.720039078188</v>
      </c>
      <c r="BG90" s="5"/>
      <c r="BH90" s="5"/>
      <c r="BI90" s="61" t="n">
        <f aca="false">T97/AG97</f>
        <v>0.0111694749925025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4" t="n">
        <f aca="false">'Low pensions'!Q91</f>
        <v>119780949.272079</v>
      </c>
      <c r="E91" s="9"/>
      <c r="F91" s="67" t="n">
        <f aca="false">'Low pensions'!I91</f>
        <v>21771605.4042491</v>
      </c>
      <c r="G91" s="84" t="n">
        <f aca="false">'Low pensions'!K91</f>
        <v>3016283.7429128</v>
      </c>
      <c r="H91" s="84" t="n">
        <f aca="false">'Low pensions'!V91</f>
        <v>16594703.2059253</v>
      </c>
      <c r="I91" s="84" t="n">
        <f aca="false">'Low pensions'!M91</f>
        <v>93287.1260694698</v>
      </c>
      <c r="J91" s="84" t="n">
        <f aca="false">'Low pensions'!W91</f>
        <v>513238.243482237</v>
      </c>
      <c r="K91" s="9"/>
      <c r="L91" s="84" t="n">
        <f aca="false">'Low pensions'!N91</f>
        <v>2860117.32331823</v>
      </c>
      <c r="M91" s="67"/>
      <c r="N91" s="84" t="n">
        <f aca="false">'Low pensions'!L91</f>
        <v>1002529.95853393</v>
      </c>
      <c r="O91" s="9"/>
      <c r="P91" s="84" t="n">
        <f aca="false">'Low pensions'!X91</f>
        <v>20356786.4248192</v>
      </c>
      <c r="Q91" s="67"/>
      <c r="R91" s="84" t="n">
        <f aca="false">'Low SIPA income'!G86</f>
        <v>19103353.9232798</v>
      </c>
      <c r="S91" s="67"/>
      <c r="T91" s="84" t="n">
        <f aca="false">'Low SIPA income'!J86</f>
        <v>73043329.4458206</v>
      </c>
      <c r="U91" s="9"/>
      <c r="V91" s="84" t="n">
        <f aca="false">'Low SIPA income'!F86</f>
        <v>141229.470048713</v>
      </c>
      <c r="W91" s="67"/>
      <c r="X91" s="84" t="n">
        <f aca="false">'Low SIPA income'!M86</f>
        <v>354727.711176316</v>
      </c>
      <c r="Y91" s="9"/>
      <c r="Z91" s="9" t="n">
        <f aca="false">R91+V91-N91-L91-F91</f>
        <v>-6389669.29277274</v>
      </c>
      <c r="AA91" s="9"/>
      <c r="AB91" s="9" t="n">
        <f aca="false">T91-P91-D91</f>
        <v>-67094406.2510774</v>
      </c>
      <c r="AC91" s="50"/>
      <c r="AD91" s="9"/>
      <c r="AE91" s="9"/>
      <c r="AF91" s="9"/>
      <c r="AG91" s="9" t="n">
        <f aca="false">BF91/100*$AG$53</f>
        <v>6617528315.03421</v>
      </c>
      <c r="AH91" s="39" t="n">
        <f aca="false">(AG91-AG90)/AG90</f>
        <v>0.000524063771701456</v>
      </c>
      <c r="AI91" s="39"/>
      <c r="AJ91" s="39" t="n">
        <f aca="false">AB91/AG91</f>
        <v>-0.0101388922052131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12920242</v>
      </c>
      <c r="AX91" s="7"/>
      <c r="AY91" s="39" t="n">
        <f aca="false">(AW91-AW90)/AW90</f>
        <v>0.00172111381548348</v>
      </c>
      <c r="AZ91" s="38" t="n">
        <f aca="false">workers_and_wage_low!B79</f>
        <v>6548.48910071568</v>
      </c>
      <c r="BA91" s="39" t="n">
        <f aca="false">(AZ91-AZ90)/AZ90</f>
        <v>-0.0011949933242623</v>
      </c>
      <c r="BB91" s="39"/>
      <c r="BC91" s="39"/>
      <c r="BD91" s="39"/>
      <c r="BE91" s="39"/>
      <c r="BF91" s="7" t="n">
        <f aca="false">BF90*(1+AY91)*(1+BA91)*(1-BE91)</f>
        <v>119.782780013415</v>
      </c>
      <c r="BG91" s="7"/>
      <c r="BH91" s="7"/>
      <c r="BI91" s="39" t="n">
        <f aca="false">T98/AG98</f>
        <v>0.00939710842218055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4" t="n">
        <f aca="false">'Low pensions'!Q92</f>
        <v>119944783.14005</v>
      </c>
      <c r="E92" s="9"/>
      <c r="F92" s="67" t="n">
        <f aca="false">'Low pensions'!I92</f>
        <v>21801384.1490912</v>
      </c>
      <c r="G92" s="84" t="n">
        <f aca="false">'Low pensions'!K92</f>
        <v>3047156.69855929</v>
      </c>
      <c r="H92" s="84" t="n">
        <f aca="false">'Low pensions'!V92</f>
        <v>16764557.0988978</v>
      </c>
      <c r="I92" s="84" t="n">
        <f aca="false">'Low pensions'!M92</f>
        <v>94241.95974926</v>
      </c>
      <c r="J92" s="84" t="n">
        <f aca="false">'Low pensions'!W92</f>
        <v>518491.456666961</v>
      </c>
      <c r="K92" s="9"/>
      <c r="L92" s="84" t="n">
        <f aca="false">'Low pensions'!N92</f>
        <v>2923387.1921798</v>
      </c>
      <c r="M92" s="67"/>
      <c r="N92" s="84" t="n">
        <f aca="false">'Low pensions'!L92</f>
        <v>1004246.49715564</v>
      </c>
      <c r="O92" s="9"/>
      <c r="P92" s="84" t="n">
        <f aca="false">'Low pensions'!X92</f>
        <v>20694537.9641501</v>
      </c>
      <c r="Q92" s="67"/>
      <c r="R92" s="84" t="n">
        <f aca="false">'Low SIPA income'!G87</f>
        <v>16406229.7703406</v>
      </c>
      <c r="S92" s="67"/>
      <c r="T92" s="84" t="n">
        <f aca="false">'Low SIPA income'!J87</f>
        <v>62730641.4827222</v>
      </c>
      <c r="U92" s="9"/>
      <c r="V92" s="84" t="n">
        <f aca="false">'Low SIPA income'!F87</f>
        <v>148701.659159801</v>
      </c>
      <c r="W92" s="67"/>
      <c r="X92" s="84" t="n">
        <f aca="false">'Low SIPA income'!M87</f>
        <v>373495.695931471</v>
      </c>
      <c r="Y92" s="9"/>
      <c r="Z92" s="9" t="n">
        <f aca="false">R92+V92-N92-L92-F92</f>
        <v>-9174086.40892621</v>
      </c>
      <c r="AA92" s="9"/>
      <c r="AB92" s="9" t="n">
        <f aca="false">T92-P92-D92</f>
        <v>-77908679.6214777</v>
      </c>
      <c r="AC92" s="50"/>
      <c r="AD92" s="9"/>
      <c r="AE92" s="9"/>
      <c r="AF92" s="9"/>
      <c r="AG92" s="9" t="n">
        <f aca="false">BF92/100*$AG$53</f>
        <v>6610585712.18787</v>
      </c>
      <c r="AH92" s="39" t="n">
        <f aca="false">(AG92-AG91)/AG91</f>
        <v>-0.0010491232550627</v>
      </c>
      <c r="AI92" s="39"/>
      <c r="AJ92" s="39" t="n">
        <f aca="false">AB92/AG92</f>
        <v>-0.0117854427751898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12953412</v>
      </c>
      <c r="AX92" s="7"/>
      <c r="AY92" s="39" t="n">
        <f aca="false">(AW92-AW91)/AW91</f>
        <v>0.00256728937430119</v>
      </c>
      <c r="AZ92" s="38" t="n">
        <f aca="false">workers_and_wage_low!B80</f>
        <v>6524.86770498686</v>
      </c>
      <c r="BA92" s="39" t="n">
        <f aca="false">(AZ92-AZ91)/AZ91</f>
        <v>-0.00360715202629542</v>
      </c>
      <c r="BB92" s="39"/>
      <c r="BC92" s="39"/>
      <c r="BD92" s="39"/>
      <c r="BE92" s="39"/>
      <c r="BF92" s="7" t="n">
        <f aca="false">BF91*(1+AY92)*(1+BA92)*(1-BE92)</f>
        <v>119.657113113347</v>
      </c>
      <c r="BG92" s="7"/>
      <c r="BH92" s="7"/>
      <c r="BI92" s="39" t="n">
        <f aca="false">T99/AG99</f>
        <v>0.0109961597834133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4" t="n">
        <f aca="false">'Low pensions'!Q93</f>
        <v>119748697.301513</v>
      </c>
      <c r="E93" s="9"/>
      <c r="F93" s="67" t="n">
        <f aca="false">'Low pensions'!I93</f>
        <v>21765743.226825</v>
      </c>
      <c r="G93" s="84" t="n">
        <f aca="false">'Low pensions'!K93</f>
        <v>3092721.60433872</v>
      </c>
      <c r="H93" s="84" t="n">
        <f aca="false">'Low pensions'!V93</f>
        <v>17015241.7666755</v>
      </c>
      <c r="I93" s="84" t="n">
        <f aca="false">'Low pensions'!M93</f>
        <v>95651.1836393401</v>
      </c>
      <c r="J93" s="84" t="n">
        <f aca="false">'Low pensions'!W93</f>
        <v>526244.590721914</v>
      </c>
      <c r="K93" s="9"/>
      <c r="L93" s="84" t="n">
        <f aca="false">'Low pensions'!N93</f>
        <v>2927262.12154799</v>
      </c>
      <c r="M93" s="67"/>
      <c r="N93" s="84" t="n">
        <f aca="false">'Low pensions'!L93</f>
        <v>1002933.16307896</v>
      </c>
      <c r="O93" s="9"/>
      <c r="P93" s="84" t="n">
        <f aca="false">'Low pensions'!X93</f>
        <v>20707419.4144686</v>
      </c>
      <c r="Q93" s="67"/>
      <c r="R93" s="84" t="n">
        <f aca="false">'Low SIPA income'!G88</f>
        <v>19332053.0459888</v>
      </c>
      <c r="S93" s="67"/>
      <c r="T93" s="84" t="n">
        <f aca="false">'Low SIPA income'!J88</f>
        <v>73917780.3632402</v>
      </c>
      <c r="U93" s="9"/>
      <c r="V93" s="84" t="n">
        <f aca="false">'Low SIPA income'!F88</f>
        <v>142234.032508693</v>
      </c>
      <c r="W93" s="67"/>
      <c r="X93" s="84" t="n">
        <f aca="false">'Low SIPA income'!M88</f>
        <v>357250.882452392</v>
      </c>
      <c r="Y93" s="9"/>
      <c r="Z93" s="9" t="n">
        <f aca="false">R93+V93-N93-L93-F93</f>
        <v>-6221651.43295442</v>
      </c>
      <c r="AA93" s="9"/>
      <c r="AB93" s="9" t="n">
        <f aca="false">T93-P93-D93</f>
        <v>-66538336.3527416</v>
      </c>
      <c r="AC93" s="50"/>
      <c r="AD93" s="9"/>
      <c r="AE93" s="9"/>
      <c r="AF93" s="9"/>
      <c r="AG93" s="9" t="n">
        <f aca="false">BF93/100*$AG$53</f>
        <v>6626266892.29249</v>
      </c>
      <c r="AH93" s="39" t="n">
        <f aca="false">(AG93-AG92)/AG92</f>
        <v>0.0023721317274065</v>
      </c>
      <c r="AI93" s="39" t="n">
        <f aca="false">(AG93-AG89)/AG89</f>
        <v>0.001920728839378</v>
      </c>
      <c r="AJ93" s="39" t="n">
        <f aca="false">AB93/AG93</f>
        <v>-0.0100416022225331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12982048</v>
      </c>
      <c r="AX93" s="7"/>
      <c r="AY93" s="39" t="n">
        <f aca="false">(AW93-AW92)/AW92</f>
        <v>0.0022106916694999</v>
      </c>
      <c r="AZ93" s="38" t="n">
        <f aca="false">workers_and_wage_low!B81</f>
        <v>6525.91875645626</v>
      </c>
      <c r="BA93" s="39" t="n">
        <f aca="false">(AZ93-AZ92)/AZ92</f>
        <v>0.000161083950958328</v>
      </c>
      <c r="BB93" s="39"/>
      <c r="BC93" s="39"/>
      <c r="BD93" s="39"/>
      <c r="BE93" s="39"/>
      <c r="BF93" s="7" t="n">
        <f aca="false">BF92*(1+AY93)*(1+BA93)*(1-BE93)</f>
        <v>119.940955547773</v>
      </c>
      <c r="BG93" s="7"/>
      <c r="BH93" s="7"/>
      <c r="BI93" s="39" t="n">
        <f aca="false">T100/AG100</f>
        <v>0.00948343786978613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3" t="n">
        <f aca="false">'Low pensions'!Q94</f>
        <v>119852205.896455</v>
      </c>
      <c r="E94" s="6"/>
      <c r="F94" s="8" t="n">
        <f aca="false">'Low pensions'!I94</f>
        <v>21784557.1392102</v>
      </c>
      <c r="G94" s="83" t="n">
        <f aca="false">'Low pensions'!K94</f>
        <v>3178650.44149971</v>
      </c>
      <c r="H94" s="83" t="n">
        <f aca="false">'Low pensions'!V94</f>
        <v>17487996.8756295</v>
      </c>
      <c r="I94" s="83" t="n">
        <f aca="false">'Low pensions'!M94</f>
        <v>98308.7765412298</v>
      </c>
      <c r="J94" s="83" t="n">
        <f aca="false">'Low pensions'!W94</f>
        <v>540865.882751438</v>
      </c>
      <c r="K94" s="6"/>
      <c r="L94" s="83" t="n">
        <f aca="false">'Low pensions'!N94</f>
        <v>3450330.8695467</v>
      </c>
      <c r="M94" s="8"/>
      <c r="N94" s="83" t="n">
        <f aca="false">'Low pensions'!L94</f>
        <v>1004260.16941497</v>
      </c>
      <c r="O94" s="6"/>
      <c r="P94" s="83" t="n">
        <f aca="false">'Low pensions'!X94</f>
        <v>23428926.4317287</v>
      </c>
      <c r="Q94" s="8"/>
      <c r="R94" s="83" t="n">
        <f aca="false">'Low SIPA income'!G89</f>
        <v>16473450.770061</v>
      </c>
      <c r="S94" s="8"/>
      <c r="T94" s="83" t="n">
        <f aca="false">'Low SIPA income'!J89</f>
        <v>62987666.8013115</v>
      </c>
      <c r="U94" s="6"/>
      <c r="V94" s="83" t="n">
        <f aca="false">'Low SIPA income'!F89</f>
        <v>139387.689647642</v>
      </c>
      <c r="W94" s="8"/>
      <c r="X94" s="83" t="n">
        <f aca="false">'Low SIPA income'!M89</f>
        <v>350101.68980885</v>
      </c>
      <c r="Y94" s="6"/>
      <c r="Z94" s="6" t="n">
        <f aca="false">R94+V94-N94-L94-F94</f>
        <v>-9626309.71846317</v>
      </c>
      <c r="AA94" s="6"/>
      <c r="AB94" s="6" t="n">
        <f aca="false">T94-P94-D94</f>
        <v>-80293465.5268722</v>
      </c>
      <c r="AC94" s="50"/>
      <c r="AD94" s="6"/>
      <c r="AE94" s="6"/>
      <c r="AF94" s="6"/>
      <c r="AG94" s="6" t="n">
        <f aca="false">BF94/100*$AG$53</f>
        <v>6646075080.7012</v>
      </c>
      <c r="AH94" s="61" t="n">
        <f aca="false">(AG94-AG93)/AG93</f>
        <v>0.00298934358224343</v>
      </c>
      <c r="AI94" s="61"/>
      <c r="AJ94" s="61" t="n">
        <f aca="false">AB94/AG94</f>
        <v>-0.0120813359090732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0.00208165277793675</v>
      </c>
      <c r="AV94" s="5"/>
      <c r="AW94" s="65" t="n">
        <f aca="false">workers_and_wage_low!C82</f>
        <v>12980425</v>
      </c>
      <c r="AX94" s="5"/>
      <c r="AY94" s="61" t="n">
        <f aca="false">(AW94-AW93)/AW93</f>
        <v>-0.000125018795185475</v>
      </c>
      <c r="AZ94" s="66" t="n">
        <f aca="false">workers_and_wage_low!B82</f>
        <v>6546.2453735187</v>
      </c>
      <c r="BA94" s="61" t="n">
        <f aca="false">(AZ94-AZ93)/AZ93</f>
        <v>0.00311475177994371</v>
      </c>
      <c r="BB94" s="61"/>
      <c r="BC94" s="61"/>
      <c r="BD94" s="61"/>
      <c r="BE94" s="61"/>
      <c r="BF94" s="5" t="n">
        <f aca="false">BF93*(1+AY94)*(1+BA94)*(1-BE94)</f>
        <v>120.299500273488</v>
      </c>
      <c r="BG94" s="5"/>
      <c r="BH94" s="5"/>
      <c r="BI94" s="61" t="n">
        <f aca="false">T101/AG101</f>
        <v>0.0111613538622247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4" t="n">
        <f aca="false">'Low pensions'!Q95</f>
        <v>119700430.399382</v>
      </c>
      <c r="E95" s="9"/>
      <c r="F95" s="67" t="n">
        <f aca="false">'Low pensions'!I95</f>
        <v>21756970.1460164</v>
      </c>
      <c r="G95" s="84" t="n">
        <f aca="false">'Low pensions'!K95</f>
        <v>3263788.25984635</v>
      </c>
      <c r="H95" s="84" t="n">
        <f aca="false">'Low pensions'!V95</f>
        <v>17956400.0324553</v>
      </c>
      <c r="I95" s="84" t="n">
        <f aca="false">'Low pensions'!M95</f>
        <v>100941.9049437</v>
      </c>
      <c r="J95" s="84" t="n">
        <f aca="false">'Low pensions'!W95</f>
        <v>555352.57832335</v>
      </c>
      <c r="K95" s="9"/>
      <c r="L95" s="84" t="n">
        <f aca="false">'Low pensions'!N95</f>
        <v>2795353.54722417</v>
      </c>
      <c r="M95" s="67"/>
      <c r="N95" s="84" t="n">
        <f aca="false">'Low pensions'!L95</f>
        <v>1003456.7001592</v>
      </c>
      <c r="O95" s="9"/>
      <c r="P95" s="84" t="n">
        <f aca="false">'Low pensions'!X95</f>
        <v>20025825.5417824</v>
      </c>
      <c r="Q95" s="67"/>
      <c r="R95" s="84" t="n">
        <f aca="false">'Low SIPA income'!G90</f>
        <v>19368426.9520677</v>
      </c>
      <c r="S95" s="67"/>
      <c r="T95" s="84" t="n">
        <f aca="false">'Low SIPA income'!J90</f>
        <v>74056859.145721</v>
      </c>
      <c r="U95" s="9"/>
      <c r="V95" s="84" t="n">
        <f aca="false">'Low SIPA income'!F90</f>
        <v>140192.350268468</v>
      </c>
      <c r="W95" s="67"/>
      <c r="X95" s="84" t="n">
        <f aca="false">'Low SIPA income'!M90</f>
        <v>352122.76529827</v>
      </c>
      <c r="Y95" s="9"/>
      <c r="Z95" s="9" t="n">
        <f aca="false">R95+V95-N95-L95-F95</f>
        <v>-6047161.09106368</v>
      </c>
      <c r="AA95" s="9"/>
      <c r="AB95" s="9" t="n">
        <f aca="false">T95-P95-D95</f>
        <v>-65669396.7954434</v>
      </c>
      <c r="AC95" s="50"/>
      <c r="AD95" s="9"/>
      <c r="AE95" s="9"/>
      <c r="AF95" s="9"/>
      <c r="AG95" s="9" t="n">
        <f aca="false">BF95/100*$AG$53</f>
        <v>6684412702.35525</v>
      </c>
      <c r="AH95" s="39" t="n">
        <f aca="false">(AG95-AG94)/AG94</f>
        <v>0.00576846051068117</v>
      </c>
      <c r="AI95" s="39"/>
      <c r="AJ95" s="39" t="n">
        <f aca="false">AB95/AG95</f>
        <v>-0.00982425827362587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12991772</v>
      </c>
      <c r="AX95" s="7"/>
      <c r="AY95" s="39" t="n">
        <f aca="false">(AW95-AW94)/AW94</f>
        <v>0.000874162440752133</v>
      </c>
      <c r="AZ95" s="38" t="n">
        <f aca="false">workers_and_wage_low!B83</f>
        <v>6578.25666654555</v>
      </c>
      <c r="BA95" s="39" t="n">
        <f aca="false">(AZ95-AZ94)/AZ94</f>
        <v>0.00489002339514248</v>
      </c>
      <c r="BB95" s="39"/>
      <c r="BC95" s="39"/>
      <c r="BD95" s="39"/>
      <c r="BE95" s="39"/>
      <c r="BF95" s="7" t="n">
        <f aca="false">BF94*(1+AY95)*(1+BA95)*(1-BE95)</f>
        <v>120.99344319027</v>
      </c>
      <c r="BG95" s="7"/>
      <c r="BH95" s="7"/>
      <c r="BI95" s="39" t="n">
        <f aca="false">T102/AG102</f>
        <v>0.00942666023668683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4" t="n">
        <f aca="false">'Low pensions'!Q96</f>
        <v>119835931.860732</v>
      </c>
      <c r="E96" s="9"/>
      <c r="F96" s="67" t="n">
        <f aca="false">'Low pensions'!I96</f>
        <v>21781599.1405781</v>
      </c>
      <c r="G96" s="84" t="n">
        <f aca="false">'Low pensions'!K96</f>
        <v>3332631.25667607</v>
      </c>
      <c r="H96" s="84" t="n">
        <f aca="false">'Low pensions'!V96</f>
        <v>18335153.8890445</v>
      </c>
      <c r="I96" s="84" t="n">
        <f aca="false">'Low pensions'!M96</f>
        <v>103071.06979411</v>
      </c>
      <c r="J96" s="84" t="n">
        <f aca="false">'Low pensions'!W96</f>
        <v>567066.615125114</v>
      </c>
      <c r="K96" s="9"/>
      <c r="L96" s="84" t="n">
        <f aca="false">'Low pensions'!N96</f>
        <v>2878785.12083253</v>
      </c>
      <c r="M96" s="67"/>
      <c r="N96" s="84" t="n">
        <f aca="false">'Low pensions'!L96</f>
        <v>1005871.35678239</v>
      </c>
      <c r="O96" s="9"/>
      <c r="P96" s="84" t="n">
        <f aca="false">'Low pensions'!X96</f>
        <v>20472037.1021551</v>
      </c>
      <c r="Q96" s="67"/>
      <c r="R96" s="84" t="n">
        <f aca="false">'Low SIPA income'!G91</f>
        <v>16647016.5628387</v>
      </c>
      <c r="S96" s="67"/>
      <c r="T96" s="84" t="n">
        <f aca="false">'Low SIPA income'!J91</f>
        <v>63651310.6532393</v>
      </c>
      <c r="U96" s="9"/>
      <c r="V96" s="84" t="n">
        <f aca="false">'Low SIPA income'!F91</f>
        <v>136783.074075523</v>
      </c>
      <c r="W96" s="67"/>
      <c r="X96" s="84" t="n">
        <f aca="false">'Low SIPA income'!M91</f>
        <v>343559.646423193</v>
      </c>
      <c r="Y96" s="9"/>
      <c r="Z96" s="9" t="n">
        <f aca="false">R96+V96-N96-L96-F96</f>
        <v>-8882455.98127879</v>
      </c>
      <c r="AA96" s="9"/>
      <c r="AB96" s="9" t="n">
        <f aca="false">T96-P96-D96</f>
        <v>-76656658.3096479</v>
      </c>
      <c r="AC96" s="50"/>
      <c r="AD96" s="9"/>
      <c r="AE96" s="9"/>
      <c r="AF96" s="9"/>
      <c r="AG96" s="9" t="n">
        <f aca="false">BF96/100*$AG$53</f>
        <v>6692873599.73043</v>
      </c>
      <c r="AH96" s="39" t="n">
        <f aca="false">(AG96-AG95)/AG95</f>
        <v>0.00126576525895835</v>
      </c>
      <c r="AI96" s="39"/>
      <c r="AJ96" s="39" t="n">
        <f aca="false">AB96/AG96</f>
        <v>-0.011453474679805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13040821</v>
      </c>
      <c r="AX96" s="7"/>
      <c r="AY96" s="39" t="n">
        <f aca="false">(AW96-AW95)/AW95</f>
        <v>0.00377538953115864</v>
      </c>
      <c r="AZ96" s="38" t="n">
        <f aca="false">workers_and_wage_low!B84</f>
        <v>6561.80980724684</v>
      </c>
      <c r="BA96" s="39" t="n">
        <f aca="false">(AZ96-AZ95)/AZ95</f>
        <v>-0.00250018509954953</v>
      </c>
      <c r="BB96" s="39"/>
      <c r="BC96" s="39"/>
      <c r="BD96" s="39"/>
      <c r="BE96" s="39"/>
      <c r="BF96" s="7" t="n">
        <f aca="false">BF95*(1+AY96)*(1+BA96)*(1-BE96)</f>
        <v>121.146592487222</v>
      </c>
      <c r="BG96" s="7"/>
      <c r="BH96" s="7"/>
      <c r="BI96" s="39" t="n">
        <f aca="false">T103/AG103</f>
        <v>0.0110710425719312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4" t="n">
        <f aca="false">'Low pensions'!Q97</f>
        <v>120059373.138341</v>
      </c>
      <c r="E97" s="9"/>
      <c r="F97" s="67" t="n">
        <f aca="false">'Low pensions'!I97</f>
        <v>21822212.2377082</v>
      </c>
      <c r="G97" s="84" t="n">
        <f aca="false">'Low pensions'!K97</f>
        <v>3376746.08837515</v>
      </c>
      <c r="H97" s="84" t="n">
        <f aca="false">'Low pensions'!V97</f>
        <v>18577860.6770732</v>
      </c>
      <c r="I97" s="84" t="n">
        <f aca="false">'Low pensions'!M97</f>
        <v>104435.44603222</v>
      </c>
      <c r="J97" s="84" t="n">
        <f aca="false">'Low pensions'!W97</f>
        <v>574573.010631122</v>
      </c>
      <c r="K97" s="9"/>
      <c r="L97" s="84" t="n">
        <f aca="false">'Low pensions'!N97</f>
        <v>2844127.74097079</v>
      </c>
      <c r="M97" s="67"/>
      <c r="N97" s="84" t="n">
        <f aca="false">'Low pensions'!L97</f>
        <v>1008285.90835608</v>
      </c>
      <c r="O97" s="9"/>
      <c r="P97" s="84" t="n">
        <f aca="false">'Low pensions'!X97</f>
        <v>20305483.9436488</v>
      </c>
      <c r="Q97" s="67"/>
      <c r="R97" s="84" t="n">
        <f aca="false">'Low SIPA income'!G92</f>
        <v>19518068.5293911</v>
      </c>
      <c r="S97" s="67"/>
      <c r="T97" s="84" t="n">
        <f aca="false">'Low SIPA income'!J92</f>
        <v>74629026.6863072</v>
      </c>
      <c r="U97" s="9"/>
      <c r="V97" s="84" t="n">
        <f aca="false">'Low SIPA income'!F92</f>
        <v>139161.500824216</v>
      </c>
      <c r="W97" s="67"/>
      <c r="X97" s="84" t="n">
        <f aca="false">'Low SIPA income'!M92</f>
        <v>349533.568696451</v>
      </c>
      <c r="Y97" s="9"/>
      <c r="Z97" s="9" t="n">
        <f aca="false">R97+V97-N97-L97-F97</f>
        <v>-6017395.85681976</v>
      </c>
      <c r="AA97" s="9"/>
      <c r="AB97" s="9" t="n">
        <f aca="false">T97-P97-D97</f>
        <v>-65735830.3956828</v>
      </c>
      <c r="AC97" s="50"/>
      <c r="AD97" s="9"/>
      <c r="AE97" s="9"/>
      <c r="AF97" s="9"/>
      <c r="AG97" s="9" t="n">
        <f aca="false">BF97/100*$AG$53</f>
        <v>6681516072.72518</v>
      </c>
      <c r="AH97" s="39" t="n">
        <f aca="false">(AG97-AG96)/AG96</f>
        <v>-0.00169695824013595</v>
      </c>
      <c r="AI97" s="39" t="n">
        <f aca="false">(AG97-AG93)/AG93</f>
        <v>0.00833790448388796</v>
      </c>
      <c r="AJ97" s="39" t="n">
        <f aca="false">AB97/AG97</f>
        <v>-0.00983846026563118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13006210</v>
      </c>
      <c r="AX97" s="7"/>
      <c r="AY97" s="39" t="n">
        <f aca="false">(AW97-AW96)/AW96</f>
        <v>-0.00265405069205382</v>
      </c>
      <c r="AZ97" s="38" t="n">
        <f aca="false">workers_and_wage_low!B85</f>
        <v>6568.10677836483</v>
      </c>
      <c r="BA97" s="39" t="n">
        <f aca="false">(AZ97-AZ96)/AZ96</f>
        <v>0.000959639383487626</v>
      </c>
      <c r="BB97" s="39"/>
      <c r="BC97" s="39"/>
      <c r="BD97" s="39"/>
      <c r="BE97" s="39"/>
      <c r="BF97" s="7" t="n">
        <f aca="false">BF96*(1+AY97)*(1+BA97)*(1-BE97)</f>
        <v>120.941011778837</v>
      </c>
      <c r="BG97" s="7"/>
      <c r="BH97" s="7"/>
      <c r="BI97" s="39" t="n">
        <f aca="false">T104/AG104</f>
        <v>0.00953134012768981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3" t="n">
        <f aca="false">'Low pensions'!Q98</f>
        <v>120212866.05836</v>
      </c>
      <c r="E98" s="6"/>
      <c r="F98" s="8" t="n">
        <f aca="false">'Low pensions'!I98</f>
        <v>21850111.3928519</v>
      </c>
      <c r="G98" s="83" t="n">
        <f aca="false">'Low pensions'!K98</f>
        <v>3436402.34174212</v>
      </c>
      <c r="H98" s="83" t="n">
        <f aca="false">'Low pensions'!V98</f>
        <v>18906071.7816579</v>
      </c>
      <c r="I98" s="83" t="n">
        <f aca="false">'Low pensions'!M98</f>
        <v>106280.48479615</v>
      </c>
      <c r="J98" s="83" t="n">
        <f aca="false">'Low pensions'!W98</f>
        <v>584723.869535821</v>
      </c>
      <c r="K98" s="6"/>
      <c r="L98" s="83" t="n">
        <f aca="false">'Low pensions'!N98</f>
        <v>3453053.24085605</v>
      </c>
      <c r="M98" s="8"/>
      <c r="N98" s="83" t="n">
        <f aca="false">'Low pensions'!L98</f>
        <v>1009943.42892805</v>
      </c>
      <c r="O98" s="6"/>
      <c r="P98" s="83" t="n">
        <f aca="false">'Low pensions'!X98</f>
        <v>23474320.4464029</v>
      </c>
      <c r="Q98" s="8"/>
      <c r="R98" s="83" t="n">
        <f aca="false">'Low SIPA income'!G93</f>
        <v>16468731.3639956</v>
      </c>
      <c r="S98" s="8"/>
      <c r="T98" s="83" t="n">
        <f aca="false">'Low SIPA income'!J93</f>
        <v>62969621.7431814</v>
      </c>
      <c r="U98" s="6"/>
      <c r="V98" s="83" t="n">
        <f aca="false">'Low SIPA income'!F93</f>
        <v>141691.351406708</v>
      </c>
      <c r="W98" s="8"/>
      <c r="X98" s="83" t="n">
        <f aca="false">'Low SIPA income'!M93</f>
        <v>355887.823983509</v>
      </c>
      <c r="Y98" s="6"/>
      <c r="Z98" s="6" t="n">
        <f aca="false">R98+V98-N98-L98-F98</f>
        <v>-9702685.34723367</v>
      </c>
      <c r="AA98" s="6"/>
      <c r="AB98" s="6" t="n">
        <f aca="false">T98-P98-D98</f>
        <v>-80717564.7615813</v>
      </c>
      <c r="AC98" s="50"/>
      <c r="AD98" s="6"/>
      <c r="AE98" s="6"/>
      <c r="AF98" s="6"/>
      <c r="AG98" s="6" t="n">
        <f aca="false">BF98/100*$AG$53</f>
        <v>6700957242.82062</v>
      </c>
      <c r="AH98" s="61" t="n">
        <f aca="false">(AG98-AG97)/AG97</f>
        <v>0.00290969442920346</v>
      </c>
      <c r="AI98" s="61"/>
      <c r="AJ98" s="61" t="n">
        <f aca="false">AB98/AG98</f>
        <v>-0.0120456767349265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0.0022242561934454</v>
      </c>
      <c r="AV98" s="5"/>
      <c r="AW98" s="65" t="n">
        <f aca="false">workers_and_wage_low!C86</f>
        <v>13040579</v>
      </c>
      <c r="AX98" s="5"/>
      <c r="AY98" s="61" t="n">
        <f aca="false">(AW98-AW97)/AW97</f>
        <v>0.00264250692553788</v>
      </c>
      <c r="AZ98" s="66" t="n">
        <f aca="false">workers_and_wage_low!B86</f>
        <v>6569.85706926293</v>
      </c>
      <c r="BA98" s="61" t="n">
        <f aca="false">(AZ98-AZ97)/AZ97</f>
        <v>0.000266483319647895</v>
      </c>
      <c r="BB98" s="61"/>
      <c r="BC98" s="61"/>
      <c r="BD98" s="61"/>
      <c r="BE98" s="61"/>
      <c r="BF98" s="5" t="n">
        <f aca="false">BF97*(1+AY98)*(1+BA98)*(1-BE98)</f>
        <v>121.292913167072</v>
      </c>
      <c r="BG98" s="5"/>
      <c r="BH98" s="5"/>
      <c r="BI98" s="61" t="n">
        <f aca="false">T105/AG105</f>
        <v>0.0112097321228797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4" t="n">
        <f aca="false">'Low pensions'!Q99</f>
        <v>120078405.651289</v>
      </c>
      <c r="E99" s="9"/>
      <c r="F99" s="67" t="n">
        <f aca="false">'Low pensions'!I99</f>
        <v>21825671.6222287</v>
      </c>
      <c r="G99" s="84" t="n">
        <f aca="false">'Low pensions'!K99</f>
        <v>3523498.06206442</v>
      </c>
      <c r="H99" s="84" t="n">
        <f aca="false">'Low pensions'!V99</f>
        <v>19385246.7374793</v>
      </c>
      <c r="I99" s="84" t="n">
        <f aca="false">'Low pensions'!M99</f>
        <v>108974.16686797</v>
      </c>
      <c r="J99" s="84" t="n">
        <f aca="false">'Low pensions'!W99</f>
        <v>599543.713530277</v>
      </c>
      <c r="K99" s="9"/>
      <c r="L99" s="84" t="n">
        <f aca="false">'Low pensions'!N99</f>
        <v>2783939.44875335</v>
      </c>
      <c r="M99" s="67"/>
      <c r="N99" s="84" t="n">
        <f aca="false">'Low pensions'!L99</f>
        <v>1009561.25345053</v>
      </c>
      <c r="O99" s="9"/>
      <c r="P99" s="84" t="n">
        <f aca="false">'Low pensions'!X99</f>
        <v>20000183.1816315</v>
      </c>
      <c r="Q99" s="67"/>
      <c r="R99" s="84" t="n">
        <f aca="false">'Low SIPA income'!G94</f>
        <v>19336712.0202528</v>
      </c>
      <c r="S99" s="67"/>
      <c r="T99" s="84" t="n">
        <f aca="false">'Low SIPA income'!J94</f>
        <v>73935594.3551398</v>
      </c>
      <c r="U99" s="9"/>
      <c r="V99" s="84" t="n">
        <f aca="false">'Low SIPA income'!F94</f>
        <v>145350.487658576</v>
      </c>
      <c r="W99" s="67"/>
      <c r="X99" s="84" t="n">
        <f aca="false">'Low SIPA income'!M94</f>
        <v>365078.519289947</v>
      </c>
      <c r="Y99" s="9"/>
      <c r="Z99" s="9" t="n">
        <f aca="false">R99+V99-N99-L99-F99</f>
        <v>-6137109.81652119</v>
      </c>
      <c r="AA99" s="9"/>
      <c r="AB99" s="9" t="n">
        <f aca="false">T99-P99-D99</f>
        <v>-66142994.4777808</v>
      </c>
      <c r="AC99" s="50"/>
      <c r="AD99" s="9"/>
      <c r="AE99" s="9"/>
      <c r="AF99" s="9"/>
      <c r="AG99" s="9" t="n">
        <f aca="false">BF99/100*$AG$53</f>
        <v>6723765006.27653</v>
      </c>
      <c r="AH99" s="39" t="n">
        <f aca="false">(AG99-AG98)/AG98</f>
        <v>0.00340365751182066</v>
      </c>
      <c r="AI99" s="39"/>
      <c r="AJ99" s="39" t="n">
        <f aca="false">AB99/AG99</f>
        <v>-0.0098371960376422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13086598</v>
      </c>
      <c r="AX99" s="7"/>
      <c r="AY99" s="39" t="n">
        <f aca="false">(AW99-AW98)/AW98</f>
        <v>0.0035289077271799</v>
      </c>
      <c r="AZ99" s="38" t="n">
        <f aca="false">workers_and_wage_low!B87</f>
        <v>6569.03708689225</v>
      </c>
      <c r="BA99" s="39" t="n">
        <f aca="false">(AZ99-AZ98)/AZ98</f>
        <v>-0.000124809773186132</v>
      </c>
      <c r="BB99" s="39"/>
      <c r="BC99" s="39"/>
      <c r="BD99" s="39"/>
      <c r="BE99" s="39"/>
      <c r="BF99" s="7" t="n">
        <f aca="false">BF98*(1+AY99)*(1+BA99)*(1-BE99)</f>
        <v>121.705752702104</v>
      </c>
      <c r="BG99" s="7"/>
      <c r="BH99" s="7"/>
      <c r="BI99" s="39" t="n">
        <f aca="false">T106/AG106</f>
        <v>0.00952414666287518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4" t="n">
        <f aca="false">'Low pensions'!Q100</f>
        <v>120306581.083249</v>
      </c>
      <c r="E100" s="9"/>
      <c r="F100" s="67" t="n">
        <f aca="false">'Low pensions'!I100</f>
        <v>21867145.2079513</v>
      </c>
      <c r="G100" s="84" t="n">
        <f aca="false">'Low pensions'!K100</f>
        <v>3548395.57555158</v>
      </c>
      <c r="H100" s="84" t="n">
        <f aca="false">'Low pensions'!V100</f>
        <v>19522225.5107315</v>
      </c>
      <c r="I100" s="84" t="n">
        <f aca="false">'Low pensions'!M100</f>
        <v>109744.1930583</v>
      </c>
      <c r="J100" s="84" t="n">
        <f aca="false">'Low pensions'!W100</f>
        <v>603780.170435015</v>
      </c>
      <c r="K100" s="9"/>
      <c r="L100" s="84" t="n">
        <f aca="false">'Low pensions'!N100</f>
        <v>2866896.96582323</v>
      </c>
      <c r="M100" s="67"/>
      <c r="N100" s="84" t="n">
        <f aca="false">'Low pensions'!L100</f>
        <v>1011836.6533194</v>
      </c>
      <c r="O100" s="9"/>
      <c r="P100" s="84" t="n">
        <f aca="false">'Low pensions'!X100</f>
        <v>20443168.7107975</v>
      </c>
      <c r="Q100" s="67"/>
      <c r="R100" s="84" t="n">
        <f aca="false">'Low SIPA income'!G95</f>
        <v>16721470.3759703</v>
      </c>
      <c r="S100" s="67"/>
      <c r="T100" s="84" t="n">
        <f aca="false">'Low SIPA income'!J95</f>
        <v>63935991.2607864</v>
      </c>
      <c r="U100" s="9"/>
      <c r="V100" s="84" t="n">
        <f aca="false">'Low SIPA income'!F95</f>
        <v>144337.709120004</v>
      </c>
      <c r="W100" s="67"/>
      <c r="X100" s="84" t="n">
        <f aca="false">'Low SIPA income'!M95</f>
        <v>362534.711593209</v>
      </c>
      <c r="Y100" s="9"/>
      <c r="Z100" s="9" t="n">
        <f aca="false">R100+V100-N100-L100-F100</f>
        <v>-8880070.74200365</v>
      </c>
      <c r="AA100" s="9"/>
      <c r="AB100" s="9" t="n">
        <f aca="false">T100-P100-D100</f>
        <v>-76813758.5332601</v>
      </c>
      <c r="AC100" s="50"/>
      <c r="AD100" s="9"/>
      <c r="AE100" s="9"/>
      <c r="AF100" s="9"/>
      <c r="AG100" s="9" t="n">
        <f aca="false">BF100/100*$AG$53</f>
        <v>6741857977.94743</v>
      </c>
      <c r="AH100" s="39" t="n">
        <f aca="false">(AG100-AG99)/AG99</f>
        <v>0.00269089887198762</v>
      </c>
      <c r="AI100" s="39"/>
      <c r="AJ100" s="39" t="n">
        <f aca="false">AB100/AG100</f>
        <v>-0.0113935592806193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13077160</v>
      </c>
      <c r="AX100" s="7"/>
      <c r="AY100" s="39" t="n">
        <f aca="false">(AW100-AW99)/AW99</f>
        <v>-0.000721195837145758</v>
      </c>
      <c r="AZ100" s="38" t="n">
        <f aca="false">workers_and_wage_low!B88</f>
        <v>6591.46744025801</v>
      </c>
      <c r="BA100" s="39" t="n">
        <f aca="false">(AZ100-AZ99)/AZ99</f>
        <v>0.003414557273625</v>
      </c>
      <c r="BB100" s="39"/>
      <c r="BC100" s="39"/>
      <c r="BD100" s="39"/>
      <c r="BE100" s="39"/>
      <c r="BF100" s="7" t="n">
        <f aca="false">BF99*(1+AY100)*(1+BA100)*(1-BE100)</f>
        <v>122.033250574764</v>
      </c>
      <c r="BG100" s="7"/>
      <c r="BH100" s="7"/>
      <c r="BI100" s="39" t="n">
        <f aca="false">T107/AG107</f>
        <v>0.0112090301836401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4" t="n">
        <f aca="false">'Low pensions'!Q101</f>
        <v>120355019.713664</v>
      </c>
      <c r="E101" s="9"/>
      <c r="F101" s="67" t="n">
        <f aca="false">'Low pensions'!I101</f>
        <v>21875949.5024082</v>
      </c>
      <c r="G101" s="84" t="n">
        <f aca="false">'Low pensions'!K101</f>
        <v>3627656.0034268</v>
      </c>
      <c r="H101" s="84" t="n">
        <f aca="false">'Low pensions'!V101</f>
        <v>19958292.9992941</v>
      </c>
      <c r="I101" s="84" t="n">
        <f aca="false">'Low pensions'!M101</f>
        <v>112195.54649774</v>
      </c>
      <c r="J101" s="84" t="n">
        <f aca="false">'Low pensions'!W101</f>
        <v>617266.79379262</v>
      </c>
      <c r="K101" s="9"/>
      <c r="L101" s="84" t="n">
        <f aca="false">'Low pensions'!N101</f>
        <v>2793748.87189627</v>
      </c>
      <c r="M101" s="67"/>
      <c r="N101" s="84" t="n">
        <f aca="false">'Low pensions'!L101</f>
        <v>1013769.00146176</v>
      </c>
      <c r="O101" s="9"/>
      <c r="P101" s="84" t="n">
        <f aca="false">'Low pensions'!X101</f>
        <v>20074234.1130235</v>
      </c>
      <c r="Q101" s="67"/>
      <c r="R101" s="84" t="n">
        <f aca="false">'Low SIPA income'!G96</f>
        <v>19677909.8966066</v>
      </c>
      <c r="S101" s="67"/>
      <c r="T101" s="84" t="n">
        <f aca="false">'Low SIPA income'!J96</f>
        <v>75240194.0075784</v>
      </c>
      <c r="U101" s="9"/>
      <c r="V101" s="84" t="n">
        <f aca="false">'Low SIPA income'!F96</f>
        <v>144809.199988331</v>
      </c>
      <c r="W101" s="67"/>
      <c r="X101" s="84" t="n">
        <f aca="false">'Low SIPA income'!M96</f>
        <v>363718.960719857</v>
      </c>
      <c r="Y101" s="9"/>
      <c r="Z101" s="9" t="n">
        <f aca="false">R101+V101-N101-L101-F101</f>
        <v>-5860748.27917133</v>
      </c>
      <c r="AA101" s="9"/>
      <c r="AB101" s="9" t="n">
        <f aca="false">T101-P101-D101</f>
        <v>-65189059.819109</v>
      </c>
      <c r="AC101" s="50"/>
      <c r="AD101" s="9"/>
      <c r="AE101" s="9"/>
      <c r="AF101" s="9"/>
      <c r="AG101" s="9" t="n">
        <f aca="false">BF101/100*$AG$53</f>
        <v>6741135075.21941</v>
      </c>
      <c r="AH101" s="39" t="n">
        <f aca="false">(AG101-AG100)/AG100</f>
        <v>-0.000107226039230128</v>
      </c>
      <c r="AI101" s="39" t="n">
        <f aca="false">(AG101-AG97)/AG97</f>
        <v>0.0089229752417422</v>
      </c>
      <c r="AJ101" s="39" t="n">
        <f aca="false">AB101/AG101</f>
        <v>-0.00967033876219834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13064848</v>
      </c>
      <c r="AX101" s="7"/>
      <c r="AY101" s="39" t="n">
        <f aca="false">(AW101-AW100)/AW100</f>
        <v>-0.000941488824790704</v>
      </c>
      <c r="AZ101" s="38" t="n">
        <f aca="false">workers_and_wage_low!B89</f>
        <v>6596.97163838668</v>
      </c>
      <c r="BA101" s="39" t="n">
        <f aca="false">(AZ101-AZ100)/AZ100</f>
        <v>0.000835048974838604</v>
      </c>
      <c r="BB101" s="39"/>
      <c r="BC101" s="39"/>
      <c r="BD101" s="39"/>
      <c r="BE101" s="39"/>
      <c r="BF101" s="7" t="n">
        <f aca="false">BF100*(1+AY101)*(1+BA101)*(1-BE101)</f>
        <v>122.020165432651</v>
      </c>
      <c r="BG101" s="7"/>
      <c r="BH101" s="7"/>
      <c r="BI101" s="39" t="n">
        <f aca="false">T108/AG108</f>
        <v>0.00962035230205061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3" t="n">
        <f aca="false">'Low pensions'!Q102</f>
        <v>120834448.905723</v>
      </c>
      <c r="E102" s="6"/>
      <c r="F102" s="8" t="n">
        <f aca="false">'Low pensions'!I102</f>
        <v>21963091.4331762</v>
      </c>
      <c r="G102" s="83" t="n">
        <f aca="false">'Low pensions'!K102</f>
        <v>3697985.58362065</v>
      </c>
      <c r="H102" s="83" t="n">
        <f aca="false">'Low pensions'!V102</f>
        <v>20345225.5989397</v>
      </c>
      <c r="I102" s="83" t="n">
        <f aca="false">'Low pensions'!M102</f>
        <v>114370.68815321</v>
      </c>
      <c r="J102" s="83" t="n">
        <f aca="false">'Low pensions'!W102</f>
        <v>629233.781410472</v>
      </c>
      <c r="K102" s="6"/>
      <c r="L102" s="83" t="n">
        <f aca="false">'Low pensions'!N102</f>
        <v>3445313.24405924</v>
      </c>
      <c r="M102" s="8"/>
      <c r="N102" s="83" t="n">
        <f aca="false">'Low pensions'!L102</f>
        <v>1018282.56198629</v>
      </c>
      <c r="O102" s="6"/>
      <c r="P102" s="83" t="n">
        <f aca="false">'Low pensions'!X102</f>
        <v>23480037.0158742</v>
      </c>
      <c r="Q102" s="8"/>
      <c r="R102" s="83" t="n">
        <f aca="false">'Low SIPA income'!G97</f>
        <v>16630796.5200145</v>
      </c>
      <c r="S102" s="8"/>
      <c r="T102" s="83" t="n">
        <f aca="false">'Low SIPA income'!J97</f>
        <v>63589291.9136823</v>
      </c>
      <c r="U102" s="6"/>
      <c r="V102" s="83" t="n">
        <f aca="false">'Low SIPA income'!F97</f>
        <v>143724.821511957</v>
      </c>
      <c r="W102" s="8"/>
      <c r="X102" s="83" t="n">
        <f aca="false">'Low SIPA income'!M97</f>
        <v>360995.314622196</v>
      </c>
      <c r="Y102" s="6"/>
      <c r="Z102" s="6" t="n">
        <f aca="false">R102+V102-N102-L102-F102</f>
        <v>-9652165.89769519</v>
      </c>
      <c r="AA102" s="6"/>
      <c r="AB102" s="6" t="n">
        <f aca="false">T102-P102-D102</f>
        <v>-80725194.0079148</v>
      </c>
      <c r="AC102" s="50"/>
      <c r="AD102" s="6"/>
      <c r="AE102" s="6"/>
      <c r="AF102" s="6"/>
      <c r="AG102" s="6" t="n">
        <f aca="false">BF102/100*$AG$53</f>
        <v>6745686204.5589</v>
      </c>
      <c r="AH102" s="61" t="n">
        <f aca="false">(AG102-AG101)/AG101</f>
        <v>0.000675128044270145</v>
      </c>
      <c r="AI102" s="61"/>
      <c r="AJ102" s="61" t="n">
        <f aca="false">AB102/AG102</f>
        <v>-0.0119669358401757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0.0032932702614429</v>
      </c>
      <c r="AV102" s="5"/>
      <c r="AW102" s="65" t="n">
        <f aca="false">workers_and_wage_low!C90</f>
        <v>13092623</v>
      </c>
      <c r="AX102" s="5"/>
      <c r="AY102" s="61" t="n">
        <f aca="false">(AW102-AW101)/AW101</f>
        <v>0.00212593365035705</v>
      </c>
      <c r="AZ102" s="66" t="n">
        <f aca="false">workers_and_wage_low!B90</f>
        <v>6587.42101893379</v>
      </c>
      <c r="BA102" s="61" t="n">
        <f aca="false">(AZ102-AZ101)/AZ101</f>
        <v>-0.00144772783277047</v>
      </c>
      <c r="BB102" s="61"/>
      <c r="BC102" s="61"/>
      <c r="BD102" s="61"/>
      <c r="BE102" s="61"/>
      <c r="BF102" s="5" t="n">
        <f aca="false">BF101*(1+AY102)*(1+BA102)*(1-BE102)</f>
        <v>122.102544668301</v>
      </c>
      <c r="BG102" s="5"/>
      <c r="BH102" s="5"/>
      <c r="BI102" s="61" t="n">
        <f aca="false">T109/AG109</f>
        <v>0.011292928119621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4" t="n">
        <f aca="false">'Low pensions'!Q103</f>
        <v>121426884.369734</v>
      </c>
      <c r="E103" s="9"/>
      <c r="F103" s="67" t="n">
        <f aca="false">'Low pensions'!I103</f>
        <v>22070773.5915521</v>
      </c>
      <c r="G103" s="84" t="n">
        <f aca="false">'Low pensions'!K103</f>
        <v>3774323.61523181</v>
      </c>
      <c r="H103" s="84" t="n">
        <f aca="false">'Low pensions'!V103</f>
        <v>20765214.9255037</v>
      </c>
      <c r="I103" s="84" t="n">
        <f aca="false">'Low pensions'!M103</f>
        <v>116731.65820305</v>
      </c>
      <c r="J103" s="84" t="n">
        <f aca="false">'Low pensions'!W103</f>
        <v>642223.142025911</v>
      </c>
      <c r="K103" s="9"/>
      <c r="L103" s="84" t="n">
        <f aca="false">'Low pensions'!N103</f>
        <v>2740179.35509732</v>
      </c>
      <c r="M103" s="67"/>
      <c r="N103" s="84" t="n">
        <f aca="false">'Low pensions'!L103</f>
        <v>1023882.45101615</v>
      </c>
      <c r="O103" s="9"/>
      <c r="P103" s="84" t="n">
        <f aca="false">'Low pensions'!X103</f>
        <v>19851902.8511932</v>
      </c>
      <c r="Q103" s="67"/>
      <c r="R103" s="84" t="n">
        <f aca="false">'Low SIPA income'!G98</f>
        <v>19589206.3115043</v>
      </c>
      <c r="S103" s="67"/>
      <c r="T103" s="84" t="n">
        <f aca="false">'Low SIPA income'!J98</f>
        <v>74901028.1618492</v>
      </c>
      <c r="U103" s="9"/>
      <c r="V103" s="84" t="n">
        <f aca="false">'Low SIPA income'!F98</f>
        <v>144965.81554949</v>
      </c>
      <c r="W103" s="67"/>
      <c r="X103" s="84" t="n">
        <f aca="false">'Low SIPA income'!M98</f>
        <v>364112.333855969</v>
      </c>
      <c r="Y103" s="9"/>
      <c r="Z103" s="9" t="n">
        <f aca="false">R103+V103-N103-L103-F103</f>
        <v>-6100663.27061181</v>
      </c>
      <c r="AA103" s="9"/>
      <c r="AB103" s="9" t="n">
        <f aca="false">T103-P103-D103</f>
        <v>-66377759.0590782</v>
      </c>
      <c r="AC103" s="50"/>
      <c r="AD103" s="9"/>
      <c r="AE103" s="9"/>
      <c r="AF103" s="9"/>
      <c r="AG103" s="9" t="n">
        <f aca="false">BF103/100*$AG$53</f>
        <v>6765490031.78334</v>
      </c>
      <c r="AH103" s="39" t="n">
        <f aca="false">(AG103-AG102)/AG102</f>
        <v>0.00293577652797604</v>
      </c>
      <c r="AI103" s="39"/>
      <c r="AJ103" s="39" t="n">
        <f aca="false">AB103/AG103</f>
        <v>-0.00981122708735726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13098902</v>
      </c>
      <c r="AX103" s="7"/>
      <c r="AY103" s="39" t="n">
        <f aca="false">(AW103-AW102)/AW102</f>
        <v>0.000479583044589308</v>
      </c>
      <c r="AZ103" s="38" t="n">
        <f aca="false">workers_and_wage_low!B91</f>
        <v>6603.59324358808</v>
      </c>
      <c r="BA103" s="39" t="n">
        <f aca="false">(AZ103-AZ102)/AZ102</f>
        <v>0.002455016099291</v>
      </c>
      <c r="BB103" s="39"/>
      <c r="BC103" s="39"/>
      <c r="BD103" s="39"/>
      <c r="BE103" s="39"/>
      <c r="BF103" s="7" t="n">
        <f aca="false">BF102*(1+AY103)*(1+BA103)*(1-BE103)</f>
        <v>122.461010452944</v>
      </c>
      <c r="BG103" s="7"/>
      <c r="BH103" s="7"/>
      <c r="BI103" s="39" t="n">
        <f aca="false">T110/AG110</f>
        <v>0.00952327708378688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4" t="n">
        <f aca="false">'Low pensions'!Q104</f>
        <v>121509678.869511</v>
      </c>
      <c r="E104" s="9"/>
      <c r="F104" s="67" t="n">
        <f aca="false">'Low pensions'!I104</f>
        <v>22085822.4719437</v>
      </c>
      <c r="G104" s="84" t="n">
        <f aca="false">'Low pensions'!K104</f>
        <v>3853188.74504163</v>
      </c>
      <c r="H104" s="84" t="n">
        <f aca="false">'Low pensions'!V104</f>
        <v>21199107.6007422</v>
      </c>
      <c r="I104" s="84" t="n">
        <f aca="false">'Low pensions'!M104</f>
        <v>119170.78592912</v>
      </c>
      <c r="J104" s="84" t="n">
        <f aca="false">'Low pensions'!W104</f>
        <v>655642.503115721</v>
      </c>
      <c r="K104" s="9"/>
      <c r="L104" s="84" t="n">
        <f aca="false">'Low pensions'!N104</f>
        <v>2787498.81162164</v>
      </c>
      <c r="M104" s="67"/>
      <c r="N104" s="84" t="n">
        <f aca="false">'Low pensions'!L104</f>
        <v>1025314.64491868</v>
      </c>
      <c r="O104" s="9"/>
      <c r="P104" s="84" t="n">
        <f aca="false">'Low pensions'!X104</f>
        <v>20105323.2443314</v>
      </c>
      <c r="Q104" s="67"/>
      <c r="R104" s="84" t="n">
        <f aca="false">'Low SIPA income'!G99</f>
        <v>16945005.5216164</v>
      </c>
      <c r="S104" s="67"/>
      <c r="T104" s="84" t="n">
        <f aca="false">'Low SIPA income'!J99</f>
        <v>64790697.2643355</v>
      </c>
      <c r="U104" s="9"/>
      <c r="V104" s="84" t="n">
        <f aca="false">'Low SIPA income'!F99</f>
        <v>148202.54583937</v>
      </c>
      <c r="W104" s="67"/>
      <c r="X104" s="84" t="n">
        <f aca="false">'Low SIPA income'!M99</f>
        <v>372242.067168912</v>
      </c>
      <c r="Y104" s="9"/>
      <c r="Z104" s="9" t="n">
        <f aca="false">R104+V104-N104-L104-F104</f>
        <v>-8805427.86102818</v>
      </c>
      <c r="AA104" s="9"/>
      <c r="AB104" s="9" t="n">
        <f aca="false">T104-P104-D104</f>
        <v>-76824304.849507</v>
      </c>
      <c r="AC104" s="50"/>
      <c r="AD104" s="9"/>
      <c r="AE104" s="9"/>
      <c r="AF104" s="9"/>
      <c r="AG104" s="9" t="n">
        <f aca="false">BF104/100*$AG$53</f>
        <v>6797648221.16776</v>
      </c>
      <c r="AH104" s="39" t="n">
        <f aca="false">(AG104-AG103)/AG103</f>
        <v>0.00475326831217729</v>
      </c>
      <c r="AI104" s="39"/>
      <c r="AJ104" s="39" t="n">
        <f aca="false">AB104/AG104</f>
        <v>-0.0113016005462415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13110811</v>
      </c>
      <c r="AX104" s="7"/>
      <c r="AY104" s="39" t="n">
        <f aca="false">(AW104-AW103)/AW103</f>
        <v>0.000909160172356431</v>
      </c>
      <c r="AZ104" s="38" t="n">
        <f aca="false">workers_and_wage_low!B92</f>
        <v>6628.95511212705</v>
      </c>
      <c r="BA104" s="39" t="n">
        <f aca="false">(AZ104-AZ103)/AZ103</f>
        <v>0.00384061640434849</v>
      </c>
      <c r="BB104" s="39"/>
      <c r="BC104" s="39"/>
      <c r="BD104" s="39"/>
      <c r="BE104" s="39"/>
      <c r="BF104" s="7" t="n">
        <f aca="false">BF103*(1+AY104)*(1+BA104)*(1-BE104)</f>
        <v>123.043100493407</v>
      </c>
      <c r="BG104" s="7"/>
      <c r="BH104" s="7"/>
      <c r="BI104" s="39" t="n">
        <f aca="false">T111/AG111</f>
        <v>0.0111154314778644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4" t="n">
        <f aca="false">'Low pensions'!Q105</f>
        <v>121822992.059483</v>
      </c>
      <c r="E105" s="9"/>
      <c r="F105" s="67" t="n">
        <f aca="false">'Low pensions'!I105</f>
        <v>22142770.8529797</v>
      </c>
      <c r="G105" s="84" t="n">
        <f aca="false">'Low pensions'!K105</f>
        <v>3993872.67984588</v>
      </c>
      <c r="H105" s="84" t="n">
        <f aca="false">'Low pensions'!V105</f>
        <v>21973109.1015637</v>
      </c>
      <c r="I105" s="84" t="n">
        <f aca="false">'Low pensions'!M105</f>
        <v>123521.83545915</v>
      </c>
      <c r="J105" s="84" t="n">
        <f aca="false">'Low pensions'!W105</f>
        <v>679580.693862793</v>
      </c>
      <c r="K105" s="9"/>
      <c r="L105" s="84" t="n">
        <f aca="false">'Low pensions'!N105</f>
        <v>2772000.7119575</v>
      </c>
      <c r="M105" s="67"/>
      <c r="N105" s="84" t="n">
        <f aca="false">'Low pensions'!L105</f>
        <v>1029162.09292185</v>
      </c>
      <c r="O105" s="9"/>
      <c r="P105" s="84" t="n">
        <f aca="false">'Low pensions'!X105</f>
        <v>20046071.055232</v>
      </c>
      <c r="Q105" s="67"/>
      <c r="R105" s="84" t="n">
        <f aca="false">'Low SIPA income'!G100</f>
        <v>20024720.2729342</v>
      </c>
      <c r="S105" s="67"/>
      <c r="T105" s="84" t="n">
        <f aca="false">'Low SIPA income'!J100</f>
        <v>76566253.5401121</v>
      </c>
      <c r="U105" s="9"/>
      <c r="V105" s="84" t="n">
        <f aca="false">'Low SIPA income'!F100</f>
        <v>142394.063172394</v>
      </c>
      <c r="W105" s="67"/>
      <c r="X105" s="84" t="n">
        <f aca="false">'Low SIPA income'!M100</f>
        <v>357652.833341489</v>
      </c>
      <c r="Y105" s="9"/>
      <c r="Z105" s="9" t="n">
        <f aca="false">R105+V105-N105-L105-F105</f>
        <v>-5776819.32175245</v>
      </c>
      <c r="AA105" s="9"/>
      <c r="AB105" s="9" t="n">
        <f aca="false">T105-P105-D105</f>
        <v>-65302809.5746025</v>
      </c>
      <c r="AC105" s="50"/>
      <c r="AD105" s="9"/>
      <c r="AE105" s="9"/>
      <c r="AF105" s="9"/>
      <c r="AG105" s="9" t="n">
        <f aca="false">BF105/100*$AG$53</f>
        <v>6830337487.17651</v>
      </c>
      <c r="AH105" s="39" t="n">
        <f aca="false">(AG105-AG104)/AG104</f>
        <v>0.00480890816134811</v>
      </c>
      <c r="AI105" s="39" t="n">
        <f aca="false">(AG105-AG101)/AG101</f>
        <v>0.0132325507443122</v>
      </c>
      <c r="AJ105" s="39" t="n">
        <f aca="false">AB105/AG105</f>
        <v>-0.00956070028709476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13134404</v>
      </c>
      <c r="AX105" s="7"/>
      <c r="AY105" s="39" t="n">
        <f aca="false">(AW105-AW104)/AW104</f>
        <v>0.00179950729211183</v>
      </c>
      <c r="AZ105" s="38" t="n">
        <f aca="false">workers_and_wage_low!B93</f>
        <v>6648.86846118677</v>
      </c>
      <c r="BA105" s="39" t="n">
        <f aca="false">(AZ105-AZ104)/AZ104</f>
        <v>0.00300399515804398</v>
      </c>
      <c r="BB105" s="39"/>
      <c r="BC105" s="39"/>
      <c r="BD105" s="39"/>
      <c r="BE105" s="39"/>
      <c r="BF105" s="7" t="n">
        <f aca="false">BF104*(1+AY105)*(1+BA105)*(1-BE105)</f>
        <v>123.634803463568</v>
      </c>
      <c r="BG105" s="7"/>
      <c r="BH105" s="7"/>
      <c r="BI105" s="39" t="n">
        <f aca="false">T112/AG112</f>
        <v>0.00956876150520084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3" t="n">
        <f aca="false">'Low pensions'!Q106</f>
        <v>121967464.052625</v>
      </c>
      <c r="E106" s="6"/>
      <c r="F106" s="8" t="n">
        <f aca="false">'Low pensions'!I106</f>
        <v>22169030.3478808</v>
      </c>
      <c r="G106" s="83" t="n">
        <f aca="false">'Low pensions'!K106</f>
        <v>4066175.70328561</v>
      </c>
      <c r="H106" s="83" t="n">
        <f aca="false">'Low pensions'!V106</f>
        <v>22370899.0036884</v>
      </c>
      <c r="I106" s="83" t="n">
        <f aca="false">'Low pensions'!M106</f>
        <v>125758.01144182</v>
      </c>
      <c r="J106" s="83" t="n">
        <f aca="false">'Low pensions'!W106</f>
        <v>691883.474340863</v>
      </c>
      <c r="K106" s="6"/>
      <c r="L106" s="83" t="n">
        <f aca="false">'Low pensions'!N106</f>
        <v>3445553.78667358</v>
      </c>
      <c r="M106" s="8"/>
      <c r="N106" s="83" t="n">
        <f aca="false">'Low pensions'!L106</f>
        <v>1030915.18412198</v>
      </c>
      <c r="O106" s="6"/>
      <c r="P106" s="83" t="n">
        <f aca="false">'Low pensions'!X106</f>
        <v>23550786.1524079</v>
      </c>
      <c r="Q106" s="8"/>
      <c r="R106" s="83" t="n">
        <f aca="false">'Low SIPA income'!G101</f>
        <v>17032459.0223247</v>
      </c>
      <c r="S106" s="8"/>
      <c r="T106" s="83" t="n">
        <f aca="false">'Low SIPA income'!J101</f>
        <v>65125083.3040372</v>
      </c>
      <c r="U106" s="6"/>
      <c r="V106" s="83" t="n">
        <f aca="false">'Low SIPA income'!F101</f>
        <v>140028.52553011</v>
      </c>
      <c r="W106" s="8"/>
      <c r="X106" s="83" t="n">
        <f aca="false">'Low SIPA income'!M101</f>
        <v>351711.284787498</v>
      </c>
      <c r="Y106" s="6"/>
      <c r="Z106" s="6" t="n">
        <f aca="false">R106+V106-N106-L106-F106</f>
        <v>-9473011.77082152</v>
      </c>
      <c r="AA106" s="6"/>
      <c r="AB106" s="6" t="n">
        <f aca="false">T106-P106-D106</f>
        <v>-80393166.9009955</v>
      </c>
      <c r="AC106" s="50"/>
      <c r="AD106" s="6"/>
      <c r="AE106" s="6"/>
      <c r="AF106" s="6"/>
      <c r="AG106" s="6" t="n">
        <f aca="false">BF106/100*$AG$53</f>
        <v>6837891688.28035</v>
      </c>
      <c r="AH106" s="61" t="n">
        <f aca="false">(AG106-AG105)/AG105</f>
        <v>0.00110597772335868</v>
      </c>
      <c r="AI106" s="61"/>
      <c r="AJ106" s="61" t="n">
        <f aca="false">AB106/AG106</f>
        <v>-0.0117570108691226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0.00116874707100695</v>
      </c>
      <c r="AV106" s="5"/>
      <c r="AW106" s="65" t="n">
        <f aca="false">workers_and_wage_low!C94</f>
        <v>13082987</v>
      </c>
      <c r="AX106" s="5"/>
      <c r="AY106" s="61" t="n">
        <f aca="false">(AW106-AW105)/AW105</f>
        <v>-0.00391468086408793</v>
      </c>
      <c r="AZ106" s="66" t="n">
        <f aca="false">workers_and_wage_low!B94</f>
        <v>6682.38135199558</v>
      </c>
      <c r="BA106" s="61" t="n">
        <f aca="false">(AZ106-AZ105)/AZ105</f>
        <v>0.00504039010614269</v>
      </c>
      <c r="BB106" s="61"/>
      <c r="BC106" s="61"/>
      <c r="BD106" s="61"/>
      <c r="BE106" s="61"/>
      <c r="BF106" s="5" t="n">
        <f aca="false">BF105*(1+AY106)*(1+BA106)*(1-BE106)</f>
        <v>123.77154080203</v>
      </c>
      <c r="BG106" s="5"/>
      <c r="BH106" s="5"/>
      <c r="BI106" s="61" t="n">
        <f aca="false">T113/AG113</f>
        <v>0.0112276832424817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4" t="n">
        <f aca="false">'Low pensions'!Q107</f>
        <v>122137139.598403</v>
      </c>
      <c r="E107" s="9"/>
      <c r="F107" s="67" t="n">
        <f aca="false">'Low pensions'!I107</f>
        <v>22199870.8868137</v>
      </c>
      <c r="G107" s="84" t="n">
        <f aca="false">'Low pensions'!K107</f>
        <v>4088332.26974434</v>
      </c>
      <c r="H107" s="84" t="n">
        <f aca="false">'Low pensions'!V107</f>
        <v>22492797.8951003</v>
      </c>
      <c r="I107" s="84" t="n">
        <f aca="false">'Low pensions'!M107</f>
        <v>126443.26607457</v>
      </c>
      <c r="J107" s="84" t="n">
        <f aca="false">'Low pensions'!W107</f>
        <v>695653.54314745</v>
      </c>
      <c r="K107" s="9"/>
      <c r="L107" s="84" t="n">
        <f aca="false">'Low pensions'!N107</f>
        <v>2826378.04913109</v>
      </c>
      <c r="M107" s="67"/>
      <c r="N107" s="84" t="n">
        <f aca="false">'Low pensions'!L107</f>
        <v>1031860.71789893</v>
      </c>
      <c r="O107" s="9"/>
      <c r="P107" s="84" t="n">
        <f aca="false">'Low pensions'!X107</f>
        <v>20343082.3547256</v>
      </c>
      <c r="Q107" s="67"/>
      <c r="R107" s="84" t="n">
        <f aca="false">'Low SIPA income'!G102</f>
        <v>20191107.1326689</v>
      </c>
      <c r="S107" s="67"/>
      <c r="T107" s="84" t="n">
        <f aca="false">'Low SIPA income'!J102</f>
        <v>77202448.1193398</v>
      </c>
      <c r="U107" s="9"/>
      <c r="V107" s="84" t="n">
        <f aca="false">'Low SIPA income'!F102</f>
        <v>141676.326405084</v>
      </c>
      <c r="W107" s="67"/>
      <c r="X107" s="84" t="n">
        <f aca="false">'Low SIPA income'!M102</f>
        <v>355850.085511258</v>
      </c>
      <c r="Y107" s="9"/>
      <c r="Z107" s="9" t="n">
        <f aca="false">R107+V107-N107-L107-F107</f>
        <v>-5725326.19476965</v>
      </c>
      <c r="AA107" s="9"/>
      <c r="AB107" s="9" t="n">
        <f aca="false">T107-P107-D107</f>
        <v>-65277773.8337891</v>
      </c>
      <c r="AC107" s="50"/>
      <c r="AD107" s="9"/>
      <c r="AE107" s="9"/>
      <c r="AF107" s="9"/>
      <c r="AG107" s="9" t="n">
        <f aca="false">BF107/100*$AG$53</f>
        <v>6887522546.95671</v>
      </c>
      <c r="AH107" s="39" t="n">
        <f aca="false">(AG107-AG106)/AG106</f>
        <v>0.00725821070863546</v>
      </c>
      <c r="AI107" s="39"/>
      <c r="AJ107" s="39" t="n">
        <f aca="false">AB107/AG107</f>
        <v>-0.00947768568287771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13119270</v>
      </c>
      <c r="AX107" s="7"/>
      <c r="AY107" s="39" t="n">
        <f aca="false">(AW107-AW106)/AW106</f>
        <v>0.0027732963428</v>
      </c>
      <c r="AZ107" s="38" t="n">
        <f aca="false">workers_and_wage_low!B95</f>
        <v>6712.26837454879</v>
      </c>
      <c r="BA107" s="39" t="n">
        <f aca="false">(AZ107-AZ106)/AZ106</f>
        <v>0.00447251076807893</v>
      </c>
      <c r="BB107" s="39"/>
      <c r="BC107" s="39"/>
      <c r="BD107" s="39"/>
      <c r="BE107" s="39"/>
      <c r="BF107" s="7" t="n">
        <f aca="false">BF106*(1+AY107)*(1+BA107)*(1-BE107)</f>
        <v>124.669900724904</v>
      </c>
      <c r="BG107" s="7"/>
      <c r="BH107" s="7"/>
      <c r="BI107" s="39" t="n">
        <f aca="false">T114/AG114</f>
        <v>0.00953183720099217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4" t="n">
        <f aca="false">'Low pensions'!Q108</f>
        <v>122116186.250794</v>
      </c>
      <c r="E108" s="9"/>
      <c r="F108" s="67" t="n">
        <f aca="false">'Low pensions'!I108</f>
        <v>22196062.3678561</v>
      </c>
      <c r="G108" s="84" t="n">
        <f aca="false">'Low pensions'!K108</f>
        <v>4155566.13005816</v>
      </c>
      <c r="H108" s="84" t="n">
        <f aca="false">'Low pensions'!V108</f>
        <v>22862698.7573511</v>
      </c>
      <c r="I108" s="84" t="n">
        <f aca="false">'Low pensions'!M108</f>
        <v>128522.66381623</v>
      </c>
      <c r="J108" s="84" t="n">
        <f aca="false">'Low pensions'!W108</f>
        <v>707093.776000543</v>
      </c>
      <c r="K108" s="9"/>
      <c r="L108" s="84" t="n">
        <f aca="false">'Low pensions'!N108</f>
        <v>2857863.559162</v>
      </c>
      <c r="M108" s="67"/>
      <c r="N108" s="84" t="n">
        <f aca="false">'Low pensions'!L108</f>
        <v>1032526.25647367</v>
      </c>
      <c r="O108" s="9"/>
      <c r="P108" s="84" t="n">
        <f aca="false">'Low pensions'!X108</f>
        <v>20510122.4128244</v>
      </c>
      <c r="Q108" s="67"/>
      <c r="R108" s="84" t="n">
        <f aca="false">'Low SIPA income'!G103</f>
        <v>17351002.3107001</v>
      </c>
      <c r="S108" s="67"/>
      <c r="T108" s="84" t="n">
        <f aca="false">'Low SIPA income'!J103</f>
        <v>66343061.1758288</v>
      </c>
      <c r="U108" s="9"/>
      <c r="V108" s="84" t="n">
        <f aca="false">'Low SIPA income'!F103</f>
        <v>147769.27435744</v>
      </c>
      <c r="W108" s="67"/>
      <c r="X108" s="84" t="n">
        <f aca="false">'Low SIPA income'!M103</f>
        <v>371153.814121938</v>
      </c>
      <c r="Y108" s="9"/>
      <c r="Z108" s="9" t="n">
        <f aca="false">R108+V108-N108-L108-F108</f>
        <v>-8587680.59843428</v>
      </c>
      <c r="AA108" s="9"/>
      <c r="AB108" s="9" t="n">
        <f aca="false">T108-P108-D108</f>
        <v>-76283247.4877894</v>
      </c>
      <c r="AC108" s="50"/>
      <c r="AD108" s="9"/>
      <c r="AE108" s="9"/>
      <c r="AF108" s="9"/>
      <c r="AG108" s="9" t="n">
        <f aca="false">BF108/100*$AG$53</f>
        <v>6896115557.19093</v>
      </c>
      <c r="AH108" s="39" t="n">
        <f aca="false">(AG108-AG107)/AG107</f>
        <v>0.00124761990623302</v>
      </c>
      <c r="AI108" s="39"/>
      <c r="AJ108" s="39" t="n">
        <f aca="false">AB108/AG108</f>
        <v>-0.0110617704786349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13146462</v>
      </c>
      <c r="AX108" s="7"/>
      <c r="AY108" s="39" t="n">
        <f aca="false">(AW108-AW107)/AW107</f>
        <v>0.00207267629982461</v>
      </c>
      <c r="AZ108" s="38" t="n">
        <f aca="false">workers_and_wage_low!B96</f>
        <v>6706.74182935012</v>
      </c>
      <c r="BA108" s="39" t="n">
        <f aca="false">(AZ108-AZ107)/AZ107</f>
        <v>-0.000823349855858847</v>
      </c>
      <c r="BB108" s="39"/>
      <c r="BC108" s="39"/>
      <c r="BD108" s="39"/>
      <c r="BE108" s="39"/>
      <c r="BF108" s="7" t="n">
        <f aca="false">BF107*(1+AY108)*(1+BA108)*(1-BE108)</f>
        <v>124.825441374756</v>
      </c>
      <c r="BG108" s="7"/>
      <c r="BH108" s="7"/>
      <c r="BI108" s="39" t="n">
        <f aca="false">T115/AG115</f>
        <v>0.0111086561378253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4" t="n">
        <f aca="false">'Low pensions'!Q109</f>
        <v>121984749.330295</v>
      </c>
      <c r="E109" s="9"/>
      <c r="F109" s="67" t="n">
        <f aca="false">'Low pensions'!I109</f>
        <v>22172172.1517071</v>
      </c>
      <c r="G109" s="84" t="n">
        <f aca="false">'Low pensions'!K109</f>
        <v>4206543.65362144</v>
      </c>
      <c r="H109" s="84" t="n">
        <f aca="false">'Low pensions'!V109</f>
        <v>23143162.0511952</v>
      </c>
      <c r="I109" s="84" t="n">
        <f aca="false">'Low pensions'!M109</f>
        <v>130099.28825633</v>
      </c>
      <c r="J109" s="84" t="n">
        <f aca="false">'Low pensions'!W109</f>
        <v>715767.898490558</v>
      </c>
      <c r="K109" s="9"/>
      <c r="L109" s="84" t="n">
        <f aca="false">'Low pensions'!N109</f>
        <v>2725493.75888626</v>
      </c>
      <c r="M109" s="67"/>
      <c r="N109" s="84" t="n">
        <f aca="false">'Low pensions'!L109</f>
        <v>1032163.27023687</v>
      </c>
      <c r="O109" s="9"/>
      <c r="P109" s="84" t="n">
        <f aca="false">'Low pensions'!X109</f>
        <v>19821257.8467574</v>
      </c>
      <c r="Q109" s="67"/>
      <c r="R109" s="84" t="n">
        <f aca="false">'Low SIPA income'!G104</f>
        <v>20267062.7201952</v>
      </c>
      <c r="S109" s="67"/>
      <c r="T109" s="84" t="n">
        <f aca="false">'Low SIPA income'!J104</f>
        <v>77492870.8914463</v>
      </c>
      <c r="U109" s="9"/>
      <c r="V109" s="84" t="n">
        <f aca="false">'Low SIPA income'!F104</f>
        <v>145427.876016995</v>
      </c>
      <c r="W109" s="67"/>
      <c r="X109" s="84" t="n">
        <f aca="false">'Low SIPA income'!M104</f>
        <v>365272.896534613</v>
      </c>
      <c r="Y109" s="9"/>
      <c r="Z109" s="9" t="n">
        <f aca="false">R109+V109-N109-L109-F109</f>
        <v>-5517338.58461799</v>
      </c>
      <c r="AA109" s="9"/>
      <c r="AB109" s="9" t="n">
        <f aca="false">T109-P109-D109</f>
        <v>-64313136.2856059</v>
      </c>
      <c r="AC109" s="50"/>
      <c r="AD109" s="9"/>
      <c r="AE109" s="9"/>
      <c r="AF109" s="9"/>
      <c r="AG109" s="9" t="n">
        <f aca="false">BF109/100*$AG$53</f>
        <v>6862070675.61211</v>
      </c>
      <c r="AH109" s="39" t="n">
        <f aca="false">(AG109-AG108)/AG108</f>
        <v>-0.00493682005419937</v>
      </c>
      <c r="AI109" s="39" t="n">
        <f aca="false">(AG109-AG105)/AG105</f>
        <v>0.00464591808167271</v>
      </c>
      <c r="AJ109" s="39" t="n">
        <f aca="false">AB109/AG109</f>
        <v>-0.0093722637562122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13058479</v>
      </c>
      <c r="AX109" s="7"/>
      <c r="AY109" s="39" t="n">
        <f aca="false">(AW109-AW108)/AW108</f>
        <v>-0.00669252305297045</v>
      </c>
      <c r="AZ109" s="38" t="n">
        <f aca="false">workers_and_wage_low!B97</f>
        <v>6718.59621181985</v>
      </c>
      <c r="BA109" s="39" t="n">
        <f aca="false">(AZ109-AZ108)/AZ108</f>
        <v>0.00176753224909501</v>
      </c>
      <c r="BB109" s="39"/>
      <c r="BC109" s="39"/>
      <c r="BD109" s="39"/>
      <c r="BE109" s="39"/>
      <c r="BF109" s="7" t="n">
        <f aca="false">BF108*(1+AY109)*(1+BA109)*(1-BE109)</f>
        <v>124.209200632503</v>
      </c>
      <c r="BG109" s="7"/>
      <c r="BH109" s="7"/>
      <c r="BI109" s="39" t="n">
        <f aca="false">T116/AG116</f>
        <v>0.00954240274282379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3" t="n">
        <f aca="false">'Low pensions'!Q110</f>
        <v>122527140.92017</v>
      </c>
      <c r="E110" s="6"/>
      <c r="F110" s="8" t="n">
        <f aca="false">'Low pensions'!I110</f>
        <v>22270758.2435781</v>
      </c>
      <c r="G110" s="83" t="n">
        <f aca="false">'Low pensions'!K110</f>
        <v>4280491.21980542</v>
      </c>
      <c r="H110" s="83" t="n">
        <f aca="false">'Low pensions'!V110</f>
        <v>23549999.7422801</v>
      </c>
      <c r="I110" s="83" t="n">
        <f aca="false">'Low pensions'!M110</f>
        <v>132386.326385739</v>
      </c>
      <c r="J110" s="83" t="n">
        <f aca="false">'Low pensions'!W110</f>
        <v>728350.507493226</v>
      </c>
      <c r="K110" s="6"/>
      <c r="L110" s="83" t="n">
        <f aca="false">'Low pensions'!N110</f>
        <v>3388759.35706008</v>
      </c>
      <c r="M110" s="8"/>
      <c r="N110" s="83" t="n">
        <f aca="false">'Low pensions'!L110</f>
        <v>1036266.95859576</v>
      </c>
      <c r="O110" s="6"/>
      <c r="P110" s="83" t="n">
        <f aca="false">'Low pensions'!X110</f>
        <v>23285523.4712801</v>
      </c>
      <c r="Q110" s="8"/>
      <c r="R110" s="83" t="n">
        <f aca="false">'Low SIPA income'!G105</f>
        <v>17110554.5168332</v>
      </c>
      <c r="S110" s="8"/>
      <c r="T110" s="83" t="n">
        <f aca="false">'Low SIPA income'!J105</f>
        <v>65423688.1959598</v>
      </c>
      <c r="U110" s="6"/>
      <c r="V110" s="83" t="n">
        <f aca="false">'Low SIPA income'!F105</f>
        <v>145402.05272425</v>
      </c>
      <c r="W110" s="8"/>
      <c r="X110" s="83" t="n">
        <f aca="false">'Low SIPA income'!M105</f>
        <v>365208.035868299</v>
      </c>
      <c r="Y110" s="6"/>
      <c r="Z110" s="6" t="n">
        <f aca="false">R110+V110-N110-L110-F110</f>
        <v>-9439827.98967645</v>
      </c>
      <c r="AA110" s="6"/>
      <c r="AB110" s="6" t="n">
        <f aca="false">T110-P110-D110</f>
        <v>-80388976.19549</v>
      </c>
      <c r="AC110" s="50"/>
      <c r="AD110" s="6"/>
      <c r="AE110" s="6"/>
      <c r="AF110" s="6"/>
      <c r="AG110" s="6" t="n">
        <f aca="false">BF110/100*$AG$53</f>
        <v>6869871328.9926</v>
      </c>
      <c r="AH110" s="61" t="n">
        <f aca="false">(AG110-AG109)/AG109</f>
        <v>0.00113677835004161</v>
      </c>
      <c r="AI110" s="61"/>
      <c r="AJ110" s="61" t="n">
        <f aca="false">AB110/AG110</f>
        <v>-0.0117016713044141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0.00283722662069127</v>
      </c>
      <c r="AV110" s="5"/>
      <c r="AW110" s="65" t="n">
        <f aca="false">workers_and_wage_low!C98</f>
        <v>13090478</v>
      </c>
      <c r="AX110" s="5"/>
      <c r="AY110" s="61" t="n">
        <f aca="false">(AW110-AW109)/AW109</f>
        <v>0.00245043852350645</v>
      </c>
      <c r="AZ110" s="66" t="n">
        <f aca="false">workers_and_wage_low!B98</f>
        <v>6709.79183414103</v>
      </c>
      <c r="BA110" s="61" t="n">
        <f aca="false">(AZ110-AZ109)/AZ109</f>
        <v>-0.00131044899875522</v>
      </c>
      <c r="BB110" s="61"/>
      <c r="BC110" s="61"/>
      <c r="BD110" s="61"/>
      <c r="BE110" s="61"/>
      <c r="BF110" s="5" t="n">
        <f aca="false">BF109*(1+AY110)*(1+BA110)*(1-BE110)</f>
        <v>124.350398962658</v>
      </c>
      <c r="BG110" s="5"/>
      <c r="BH110" s="5"/>
      <c r="BI110" s="61" t="n">
        <f aca="false">T117/AG117</f>
        <v>0.0111854046889497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4" t="n">
        <f aca="false">'Low pensions'!Q111</f>
        <v>122805260.553259</v>
      </c>
      <c r="E111" s="9"/>
      <c r="F111" s="67" t="n">
        <f aca="false">'Low pensions'!I111</f>
        <v>22321309.7790568</v>
      </c>
      <c r="G111" s="84" t="n">
        <f aca="false">'Low pensions'!K111</f>
        <v>4367147.96495157</v>
      </c>
      <c r="H111" s="84" t="n">
        <f aca="false">'Low pensions'!V111</f>
        <v>24026759.5862009</v>
      </c>
      <c r="I111" s="84" t="n">
        <f aca="false">'Low pensions'!M111</f>
        <v>135066.431905719</v>
      </c>
      <c r="J111" s="84" t="n">
        <f aca="false">'Low pensions'!W111</f>
        <v>743095.657305187</v>
      </c>
      <c r="K111" s="9"/>
      <c r="L111" s="84" t="n">
        <f aca="false">'Low pensions'!N111</f>
        <v>2794015.8113351</v>
      </c>
      <c r="M111" s="67"/>
      <c r="N111" s="84" t="n">
        <f aca="false">'Low pensions'!L111</f>
        <v>1039972.06015288</v>
      </c>
      <c r="O111" s="9"/>
      <c r="P111" s="84" t="n">
        <f aca="false">'Low pensions'!X111</f>
        <v>20219780.760807</v>
      </c>
      <c r="Q111" s="67"/>
      <c r="R111" s="84" t="n">
        <f aca="false">'Low SIPA income'!G106</f>
        <v>20038958.3798001</v>
      </c>
      <c r="S111" s="67"/>
      <c r="T111" s="84" t="n">
        <f aca="false">'Low SIPA income'!J106</f>
        <v>76620694.1757547</v>
      </c>
      <c r="U111" s="9"/>
      <c r="V111" s="84" t="n">
        <f aca="false">'Low SIPA income'!F106</f>
        <v>148337.029303564</v>
      </c>
      <c r="W111" s="67"/>
      <c r="X111" s="84" t="n">
        <f aca="false">'Low SIPA income'!M106</f>
        <v>372579.850858308</v>
      </c>
      <c r="Y111" s="9"/>
      <c r="Z111" s="9" t="n">
        <f aca="false">R111+V111-N111-L111-F111</f>
        <v>-5968002.24144114</v>
      </c>
      <c r="AA111" s="9"/>
      <c r="AB111" s="9" t="n">
        <f aca="false">T111-P111-D111</f>
        <v>-66404347.1383116</v>
      </c>
      <c r="AC111" s="50"/>
      <c r="AD111" s="9"/>
      <c r="AE111" s="9"/>
      <c r="AF111" s="9"/>
      <c r="AG111" s="9" t="n">
        <f aca="false">BF111/100*$AG$53</f>
        <v>6893182179.05795</v>
      </c>
      <c r="AH111" s="39" t="n">
        <f aca="false">(AG111-AG110)/AG110</f>
        <v>0.00339320038891787</v>
      </c>
      <c r="AI111" s="39"/>
      <c r="AJ111" s="39" t="n">
        <f aca="false">AB111/AG111</f>
        <v>-0.00963333702974707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13141204</v>
      </c>
      <c r="AX111" s="7"/>
      <c r="AY111" s="39" t="n">
        <f aca="false">(AW111-AW110)/AW110</f>
        <v>0.00387503038468114</v>
      </c>
      <c r="AZ111" s="38" t="n">
        <f aca="false">workers_and_wage_low!B99</f>
        <v>6706.57133470319</v>
      </c>
      <c r="BA111" s="39" t="n">
        <f aca="false">(AZ111-AZ110)/AZ110</f>
        <v>-0.000479970097053399</v>
      </c>
      <c r="BB111" s="39"/>
      <c r="BC111" s="39"/>
      <c r="BD111" s="39"/>
      <c r="BE111" s="39"/>
      <c r="BF111" s="7" t="n">
        <f aca="false">BF110*(1+AY111)*(1+BA111)*(1-BE111)</f>
        <v>124.77234478478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4" t="n">
        <f aca="false">'Low pensions'!Q112</f>
        <v>123083240.919401</v>
      </c>
      <c r="E112" s="9"/>
      <c r="F112" s="67" t="n">
        <f aca="false">'Low pensions'!I112</f>
        <v>22371836.0011192</v>
      </c>
      <c r="G112" s="84" t="n">
        <f aca="false">'Low pensions'!K112</f>
        <v>4422687.11074319</v>
      </c>
      <c r="H112" s="84" t="n">
        <f aca="false">'Low pensions'!V112</f>
        <v>24332319.5796492</v>
      </c>
      <c r="I112" s="84" t="n">
        <f aca="false">'Low pensions'!M112</f>
        <v>136784.13744567</v>
      </c>
      <c r="J112" s="84" t="n">
        <f aca="false">'Low pensions'!W112</f>
        <v>752545.966380924</v>
      </c>
      <c r="K112" s="9"/>
      <c r="L112" s="84" t="n">
        <f aca="false">'Low pensions'!N112</f>
        <v>2761680.5609405</v>
      </c>
      <c r="M112" s="67"/>
      <c r="N112" s="84" t="n">
        <f aca="false">'Low pensions'!L112</f>
        <v>1043031.82332423</v>
      </c>
      <c r="O112" s="9"/>
      <c r="P112" s="84" t="n">
        <f aca="false">'Low pensions'!X112</f>
        <v>20068826.9069867</v>
      </c>
      <c r="Q112" s="67"/>
      <c r="R112" s="84" t="n">
        <f aca="false">'Low SIPA income'!G107</f>
        <v>17327008.050235</v>
      </c>
      <c r="S112" s="67"/>
      <c r="T112" s="84" t="n">
        <f aca="false">'Low SIPA income'!J107</f>
        <v>66251317.041317</v>
      </c>
      <c r="U112" s="9"/>
      <c r="V112" s="84" t="n">
        <f aca="false">'Low SIPA income'!F107</f>
        <v>153495.442683776</v>
      </c>
      <c r="W112" s="67"/>
      <c r="X112" s="84" t="n">
        <f aca="false">'Low SIPA income'!M107</f>
        <v>385536.298057556</v>
      </c>
      <c r="Y112" s="9"/>
      <c r="Z112" s="9" t="n">
        <f aca="false">R112+V112-N112-L112-F112</f>
        <v>-8696044.89246521</v>
      </c>
      <c r="AA112" s="9"/>
      <c r="AB112" s="9" t="n">
        <f aca="false">T112-P112-D112</f>
        <v>-76900750.7850707</v>
      </c>
      <c r="AC112" s="50"/>
      <c r="AD112" s="9"/>
      <c r="AE112" s="9"/>
      <c r="AF112" s="9"/>
      <c r="AG112" s="9" t="n">
        <f aca="false">BF112/100*$AG$53</f>
        <v>6923708674.86956</v>
      </c>
      <c r="AH112" s="39" t="n">
        <f aca="false">(AG112-AG111)/AG111</f>
        <v>0.00442850558982037</v>
      </c>
      <c r="AI112" s="39"/>
      <c r="AJ112" s="39" t="n">
        <f aca="false">AB112/AG112</f>
        <v>-0.011106872688649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13136673</v>
      </c>
      <c r="AX112" s="7"/>
      <c r="AY112" s="39" t="n">
        <f aca="false">(AW112-AW111)/AW111</f>
        <v>-0.000344793369009415</v>
      </c>
      <c r="AZ112" s="38" t="n">
        <f aca="false">workers_and_wage_low!B100</f>
        <v>6738.59484616685</v>
      </c>
      <c r="BA112" s="39" t="n">
        <f aca="false">(AZ112-AZ111)/AZ111</f>
        <v>0.00477494532831626</v>
      </c>
      <c r="BB112" s="39"/>
      <c r="BC112" s="39"/>
      <c r="BD112" s="39"/>
      <c r="BE112" s="39"/>
      <c r="BF112" s="7" t="n">
        <f aca="false">BF111*(1+AY112)*(1+BA112)*(1-BE112)</f>
        <v>125.324899811115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4" t="n">
        <f aca="false">'Low pensions'!Q113</f>
        <v>122943151.83656</v>
      </c>
      <c r="E113" s="9"/>
      <c r="F113" s="67" t="n">
        <f aca="false">'Low pensions'!I113</f>
        <v>22346373.1520469</v>
      </c>
      <c r="G113" s="84" t="n">
        <f aca="false">'Low pensions'!K113</f>
        <v>4515525.61429666</v>
      </c>
      <c r="H113" s="84" t="n">
        <f aca="false">'Low pensions'!V113</f>
        <v>24843089.6344134</v>
      </c>
      <c r="I113" s="84" t="n">
        <f aca="false">'Low pensions'!M113</f>
        <v>139655.43137</v>
      </c>
      <c r="J113" s="84" t="n">
        <f aca="false">'Low pensions'!W113</f>
        <v>768342.978383924</v>
      </c>
      <c r="K113" s="9"/>
      <c r="L113" s="84" t="n">
        <f aca="false">'Low pensions'!N113</f>
        <v>2743232.55408789</v>
      </c>
      <c r="M113" s="67"/>
      <c r="N113" s="84" t="n">
        <f aca="false">'Low pensions'!L113</f>
        <v>1043308.0064977</v>
      </c>
      <c r="O113" s="9"/>
      <c r="P113" s="84" t="n">
        <f aca="false">'Low pensions'!X113</f>
        <v>19974619.5900636</v>
      </c>
      <c r="Q113" s="67"/>
      <c r="R113" s="84" t="n">
        <f aca="false">'Low SIPA income'!G108</f>
        <v>20379564.8690975</v>
      </c>
      <c r="S113" s="67"/>
      <c r="T113" s="84" t="n">
        <f aca="false">'Low SIPA income'!J108</f>
        <v>77923032.6085269</v>
      </c>
      <c r="U113" s="9"/>
      <c r="V113" s="84" t="n">
        <f aca="false">'Low SIPA income'!F108</f>
        <v>152264.865350682</v>
      </c>
      <c r="W113" s="67"/>
      <c r="X113" s="84" t="n">
        <f aca="false">'Low SIPA income'!M108</f>
        <v>382445.442582114</v>
      </c>
      <c r="Y113" s="9"/>
      <c r="Z113" s="9" t="n">
        <f aca="false">R113+V113-N113-L113-F113</f>
        <v>-5601083.97818432</v>
      </c>
      <c r="AA113" s="9"/>
      <c r="AB113" s="9" t="n">
        <f aca="false">T113-P113-D113</f>
        <v>-64994738.8180971</v>
      </c>
      <c r="AC113" s="50"/>
      <c r="AD113" s="9"/>
      <c r="AE113" s="9"/>
      <c r="AF113" s="9"/>
      <c r="AG113" s="9" t="n">
        <f aca="false">BF113/100*$AG$53</f>
        <v>6940259261.47371</v>
      </c>
      <c r="AH113" s="39" t="n">
        <f aca="false">(AG113-AG112)/AG112</f>
        <v>0.00239042215398523</v>
      </c>
      <c r="AI113" s="39" t="n">
        <f aca="false">(AG113-AG109)/AG109</f>
        <v>0.0113943136930204</v>
      </c>
      <c r="AJ113" s="39" t="n">
        <f aca="false">AB113/AG113</f>
        <v>-0.00936488629162479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13187856</v>
      </c>
      <c r="AX113" s="7"/>
      <c r="AY113" s="39" t="n">
        <f aca="false">(AW113-AW112)/AW112</f>
        <v>0.00389619198102899</v>
      </c>
      <c r="AZ113" s="38" t="n">
        <f aca="false">workers_and_wage_low!B101</f>
        <v>6728.48745371225</v>
      </c>
      <c r="BA113" s="39" t="n">
        <f aca="false">(AZ113-AZ112)/AZ112</f>
        <v>-0.00149992582806047</v>
      </c>
      <c r="BB113" s="39"/>
      <c r="BC113" s="39"/>
      <c r="BD113" s="39"/>
      <c r="BE113" s="39"/>
      <c r="BF113" s="7" t="n">
        <f aca="false">BF112*(1+AY113)*(1+BA113)*(1-BE113)</f>
        <v>125.624479228069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3" t="n">
        <f aca="false">'Low pensions'!Q114</f>
        <v>123082441.587001</v>
      </c>
      <c r="E114" s="6"/>
      <c r="F114" s="8" t="n">
        <f aca="false">'Low pensions'!I114</f>
        <v>22371690.7129936</v>
      </c>
      <c r="G114" s="83" t="n">
        <f aca="false">'Low pensions'!K114</f>
        <v>4594118.10385293</v>
      </c>
      <c r="H114" s="83" t="n">
        <f aca="false">'Low pensions'!V114</f>
        <v>25275482.3234187</v>
      </c>
      <c r="I114" s="83" t="n">
        <f aca="false">'Low pensions'!M114</f>
        <v>142086.12692329</v>
      </c>
      <c r="J114" s="83" t="n">
        <f aca="false">'Low pensions'!W114</f>
        <v>781715.948146991</v>
      </c>
      <c r="K114" s="6"/>
      <c r="L114" s="83" t="n">
        <f aca="false">'Low pensions'!N114</f>
        <v>3361753.00931212</v>
      </c>
      <c r="M114" s="8"/>
      <c r="N114" s="83" t="n">
        <f aca="false">'Low pensions'!L114</f>
        <v>1045588.59720921</v>
      </c>
      <c r="O114" s="6"/>
      <c r="P114" s="83" t="n">
        <f aca="false">'Low pensions'!X114</f>
        <v>23196672.3097564</v>
      </c>
      <c r="Q114" s="8"/>
      <c r="R114" s="83" t="n">
        <f aca="false">'Low SIPA income'!G109</f>
        <v>17328197.0808631</v>
      </c>
      <c r="S114" s="8"/>
      <c r="T114" s="83" t="n">
        <f aca="false">'Low SIPA income'!J109</f>
        <v>66255863.402979</v>
      </c>
      <c r="U114" s="6"/>
      <c r="V114" s="83" t="n">
        <f aca="false">'Low SIPA income'!F109</f>
        <v>147699.869593729</v>
      </c>
      <c r="W114" s="8"/>
      <c r="X114" s="83" t="n">
        <f aca="false">'Low SIPA income'!M109</f>
        <v>370979.489365444</v>
      </c>
      <c r="Y114" s="6"/>
      <c r="Z114" s="6" t="n">
        <f aca="false">R114+V114-N114-L114-F114</f>
        <v>-9303135.36905808</v>
      </c>
      <c r="AA114" s="6"/>
      <c r="AB114" s="6" t="n">
        <f aca="false">T114-P114-D114</f>
        <v>-80023250.4937781</v>
      </c>
      <c r="AC114" s="50"/>
      <c r="AD114" s="6"/>
      <c r="AE114" s="6"/>
      <c r="AF114" s="6"/>
      <c r="AG114" s="6" t="n">
        <f aca="false">BF114/100*$AG$53</f>
        <v>6951006611.40986</v>
      </c>
      <c r="AH114" s="61" t="n">
        <f aca="false">(AG114-AG113)/AG113</f>
        <v>0.00154855165077272</v>
      </c>
      <c r="AI114" s="61"/>
      <c r="AJ114" s="61" t="n">
        <f aca="false">AB114/AG114</f>
        <v>-0.0115124693396813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0.000109066857172734</v>
      </c>
      <c r="AV114" s="5"/>
      <c r="AW114" s="65" t="n">
        <f aca="false">workers_and_wage_low!C102</f>
        <v>13169004</v>
      </c>
      <c r="AX114" s="5"/>
      <c r="AY114" s="61" t="n">
        <f aca="false">(AW114-AW113)/AW113</f>
        <v>-0.00142949695538077</v>
      </c>
      <c r="AZ114" s="66" t="n">
        <f aca="false">workers_and_wage_low!B102</f>
        <v>6748.55390132106</v>
      </c>
      <c r="BA114" s="61" t="n">
        <f aca="false">(AZ114-AZ113)/AZ113</f>
        <v>0.00298231181180837</v>
      </c>
      <c r="BB114" s="61"/>
      <c r="BC114" s="61"/>
      <c r="BD114" s="61"/>
      <c r="BE114" s="61"/>
      <c r="BF114" s="5" t="n">
        <f aca="false">BF113*(1+AY114)*(1+BA114)*(1-BE114)</f>
        <v>125.819015222755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4" t="n">
        <f aca="false">'Low pensions'!Q115</f>
        <v>123077116.6883</v>
      </c>
      <c r="E115" s="9"/>
      <c r="F115" s="67" t="n">
        <f aca="false">'Low pensions'!I115</f>
        <v>22370722.8496227</v>
      </c>
      <c r="G115" s="84" t="n">
        <f aca="false">'Low pensions'!K115</f>
        <v>4676179.41571492</v>
      </c>
      <c r="H115" s="84" t="n">
        <f aca="false">'Low pensions'!V115</f>
        <v>25726959.4492821</v>
      </c>
      <c r="I115" s="84" t="n">
        <f aca="false">'Low pensions'!M115</f>
        <v>144624.10564067</v>
      </c>
      <c r="J115" s="84" t="n">
        <f aca="false">'Low pensions'!W115</f>
        <v>795679.158225234</v>
      </c>
      <c r="K115" s="9"/>
      <c r="L115" s="84" t="n">
        <f aca="false">'Low pensions'!N115</f>
        <v>2727233.67860613</v>
      </c>
      <c r="M115" s="67"/>
      <c r="N115" s="84" t="n">
        <f aca="false">'Low pensions'!L115</f>
        <v>1045679.69745873</v>
      </c>
      <c r="O115" s="9"/>
      <c r="P115" s="84" t="n">
        <f aca="false">'Low pensions'!X115</f>
        <v>19904649.6930389</v>
      </c>
      <c r="Q115" s="67"/>
      <c r="R115" s="84" t="n">
        <f aca="false">'Low SIPA income'!G110</f>
        <v>20218801.25939</v>
      </c>
      <c r="S115" s="67"/>
      <c r="T115" s="84" t="n">
        <f aca="false">'Low SIPA income'!J110</f>
        <v>77308339.0131547</v>
      </c>
      <c r="U115" s="9"/>
      <c r="V115" s="84" t="n">
        <f aca="false">'Low SIPA income'!F110</f>
        <v>151502.938270336</v>
      </c>
      <c r="W115" s="67"/>
      <c r="X115" s="84" t="n">
        <f aca="false">'Low SIPA income'!M110</f>
        <v>380531.701425957</v>
      </c>
      <c r="Y115" s="9"/>
      <c r="Z115" s="9" t="n">
        <f aca="false">R115+V115-N115-L115-F115</f>
        <v>-5773332.02802724</v>
      </c>
      <c r="AA115" s="9"/>
      <c r="AB115" s="9" t="n">
        <f aca="false">T115-P115-D115</f>
        <v>-65673427.3681842</v>
      </c>
      <c r="AC115" s="50"/>
      <c r="AD115" s="9"/>
      <c r="AE115" s="9"/>
      <c r="AF115" s="9"/>
      <c r="AG115" s="9" t="n">
        <f aca="false">BF115/100*$AG$53</f>
        <v>6959288149.16839</v>
      </c>
      <c r="AH115" s="39" t="n">
        <f aca="false">(AG115-AG114)/AG114</f>
        <v>0.0011914156066174</v>
      </c>
      <c r="AI115" s="39"/>
      <c r="AJ115" s="39" t="n">
        <f aca="false">AB115/AG115</f>
        <v>-0.00943680243733432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13215673</v>
      </c>
      <c r="AX115" s="7"/>
      <c r="AY115" s="39" t="n">
        <f aca="false">(AW115-AW114)/AW114</f>
        <v>0.00354385191165558</v>
      </c>
      <c r="AZ115" s="38" t="n">
        <f aca="false">workers_and_wage_low!B103</f>
        <v>6732.73442001615</v>
      </c>
      <c r="BA115" s="39" t="n">
        <f aca="false">(AZ115-AZ114)/AZ114</f>
        <v>-0.00234412905879193</v>
      </c>
      <c r="BB115" s="39"/>
      <c r="BC115" s="39"/>
      <c r="BD115" s="39"/>
      <c r="BE115" s="39"/>
      <c r="BF115" s="7" t="n">
        <f aca="false">BF114*(1+AY115)*(1+BA115)*(1-BE115)</f>
        <v>125.968917961101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4" t="n">
        <f aca="false">'Low pensions'!Q116</f>
        <v>123278319.992903</v>
      </c>
      <c r="E116" s="9"/>
      <c r="F116" s="67" t="n">
        <f aca="false">'Low pensions'!I116</f>
        <v>22407293.931923</v>
      </c>
      <c r="G116" s="84" t="n">
        <f aca="false">'Low pensions'!K116</f>
        <v>4716164.59143939</v>
      </c>
      <c r="H116" s="84" t="n">
        <f aca="false">'Low pensions'!V116</f>
        <v>25946946.088584</v>
      </c>
      <c r="I116" s="84" t="n">
        <f aca="false">'Low pensions'!M116</f>
        <v>145860.76055999</v>
      </c>
      <c r="J116" s="84" t="n">
        <f aca="false">'Low pensions'!W116</f>
        <v>802482.868719142</v>
      </c>
      <c r="K116" s="9"/>
      <c r="L116" s="84" t="n">
        <f aca="false">'Low pensions'!N116</f>
        <v>2767590.98997017</v>
      </c>
      <c r="M116" s="67"/>
      <c r="N116" s="84" t="n">
        <f aca="false">'Low pensions'!L116</f>
        <v>1047029.90418211</v>
      </c>
      <c r="O116" s="9"/>
      <c r="P116" s="84" t="n">
        <f aca="false">'Low pensions'!X116</f>
        <v>20121492.4125742</v>
      </c>
      <c r="Q116" s="67"/>
      <c r="R116" s="84" t="n">
        <f aca="false">'Low SIPA income'!G111</f>
        <v>17408359.6182787</v>
      </c>
      <c r="S116" s="67"/>
      <c r="T116" s="84" t="n">
        <f aca="false">'Low SIPA income'!J111</f>
        <v>66562371.8126111</v>
      </c>
      <c r="U116" s="9"/>
      <c r="V116" s="84" t="n">
        <f aca="false">'Low SIPA income'!F111</f>
        <v>154832.751221363</v>
      </c>
      <c r="W116" s="67"/>
      <c r="X116" s="84" t="n">
        <f aca="false">'Low SIPA income'!M111</f>
        <v>388895.231547225</v>
      </c>
      <c r="Y116" s="9"/>
      <c r="Z116" s="9" t="n">
        <f aca="false">R116+V116-N116-L116-F116</f>
        <v>-8658722.45657518</v>
      </c>
      <c r="AA116" s="9"/>
      <c r="AB116" s="9" t="n">
        <f aca="false">T116-P116-D116</f>
        <v>-76837440.5928656</v>
      </c>
      <c r="AC116" s="50"/>
      <c r="AD116" s="9"/>
      <c r="AE116" s="9"/>
      <c r="AF116" s="9"/>
      <c r="AG116" s="9" t="n">
        <f aca="false">BF116/100*$AG$53</f>
        <v>6975430990.13174</v>
      </c>
      <c r="AH116" s="39" t="n">
        <f aca="false">(AG116-AG115)/AG115</f>
        <v>0.00231961094544887</v>
      </c>
      <c r="AI116" s="39"/>
      <c r="AJ116" s="39" t="n">
        <f aca="false">AB116/AG116</f>
        <v>-0.0110154398633674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13240579</v>
      </c>
      <c r="AX116" s="7"/>
      <c r="AY116" s="39" t="n">
        <f aca="false">(AW116-AW115)/AW115</f>
        <v>0.00188458052798371</v>
      </c>
      <c r="AZ116" s="38" t="n">
        <f aca="false">workers_and_wage_low!B104</f>
        <v>6735.65785483324</v>
      </c>
      <c r="BA116" s="39" t="n">
        <f aca="false">(AZ116-AZ115)/AZ115</f>
        <v>0.000434212109778021</v>
      </c>
      <c r="BB116" s="39"/>
      <c r="BC116" s="39"/>
      <c r="BD116" s="39"/>
      <c r="BE116" s="39"/>
      <c r="BF116" s="7" t="n">
        <f aca="false">BF115*(1+AY116)*(1+BA116)*(1-BE116)</f>
        <v>126.26111684199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4" t="n">
        <f aca="false">'Low pensions'!Q117</f>
        <v>123703369.167536</v>
      </c>
      <c r="E117" s="9"/>
      <c r="F117" s="67" t="n">
        <f aca="false">'Low pensions'!I117</f>
        <v>22484551.6508153</v>
      </c>
      <c r="G117" s="84" t="n">
        <f aca="false">'Low pensions'!K117</f>
        <v>4856778.31641335</v>
      </c>
      <c r="H117" s="84" t="n">
        <f aca="false">'Low pensions'!V117</f>
        <v>26720561.3156346</v>
      </c>
      <c r="I117" s="84" t="n">
        <f aca="false">'Low pensions'!M117</f>
        <v>150209.63865196</v>
      </c>
      <c r="J117" s="84" t="n">
        <f aca="false">'Low pensions'!W117</f>
        <v>826409.11285468</v>
      </c>
      <c r="K117" s="9"/>
      <c r="L117" s="84" t="n">
        <f aca="false">'Low pensions'!N117</f>
        <v>2753524.34169719</v>
      </c>
      <c r="M117" s="67"/>
      <c r="N117" s="84" t="n">
        <f aca="false">'Low pensions'!L117</f>
        <v>1052570.56961844</v>
      </c>
      <c r="O117" s="9"/>
      <c r="P117" s="84" t="n">
        <f aca="false">'Low pensions'!X117</f>
        <v>20078983.6142857</v>
      </c>
      <c r="Q117" s="67"/>
      <c r="R117" s="84" t="n">
        <f aca="false">'Low SIPA income'!G112</f>
        <v>20311372.6745606</v>
      </c>
      <c r="S117" s="67"/>
      <c r="T117" s="84" t="n">
        <f aca="false">'Low SIPA income'!J112</f>
        <v>77662293.8423816</v>
      </c>
      <c r="U117" s="9"/>
      <c r="V117" s="84" t="n">
        <f aca="false">'Low SIPA income'!F112</f>
        <v>154131.971300537</v>
      </c>
      <c r="W117" s="67"/>
      <c r="X117" s="84" t="n">
        <f aca="false">'Low SIPA income'!M112</f>
        <v>387135.074426567</v>
      </c>
      <c r="Y117" s="9"/>
      <c r="Z117" s="9" t="n">
        <f aca="false">R117+V117-N117-L117-F117</f>
        <v>-5825141.91626982</v>
      </c>
      <c r="AA117" s="9"/>
      <c r="AB117" s="9" t="n">
        <f aca="false">T117-P117-D117</f>
        <v>-66120058.9394401</v>
      </c>
      <c r="AC117" s="50"/>
      <c r="AD117" s="9"/>
      <c r="AE117" s="9"/>
      <c r="AF117" s="9"/>
      <c r="AG117" s="9" t="n">
        <f aca="false">BF117/100*$AG$53</f>
        <v>6943181404.88073</v>
      </c>
      <c r="AH117" s="39" t="n">
        <f aca="false">(AG117-AG116)/AG116</f>
        <v>-0.00462331077414806</v>
      </c>
      <c r="AI117" s="39" t="n">
        <f aca="false">(AG117-AG113)/AG113</f>
        <v>0.000421042398695784</v>
      </c>
      <c r="AJ117" s="39" t="n">
        <f aca="false">AB117/AG117</f>
        <v>-0.0095230205123203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13212230</v>
      </c>
      <c r="AX117" s="7"/>
      <c r="AY117" s="39" t="n">
        <f aca="false">(AW117-AW116)/AW116</f>
        <v>-0.00214106951063092</v>
      </c>
      <c r="AZ117" s="38" t="n">
        <f aca="false">workers_and_wage_low!B105</f>
        <v>6718.90245248794</v>
      </c>
      <c r="BA117" s="39" t="n">
        <f aca="false">(AZ117-AZ116)/AZ116</f>
        <v>-0.00248756731805748</v>
      </c>
      <c r="BB117" s="39"/>
      <c r="BC117" s="39"/>
      <c r="BD117" s="39"/>
      <c r="BE117" s="39"/>
      <c r="BF117" s="7" t="n">
        <f aca="false">BF116*(1+AY117)*(1+BA117)*(1-BE117)</f>
        <v>125.677372460138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1" t="n">
        <f aca="false">AVERAGE(AI33:AI117)</f>
        <v>0.0157950791106792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7773437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f aca="false">'[1]Optimist projection'!L274</f>
        <v>34.2274371921194</v>
      </c>
      <c r="E4" s="22"/>
      <c r="F4" s="21" t="n">
        <f aca="false">'[1]Optimist projection'!C274</f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f aca="false">'[1]Optimist projection'!L277</f>
        <v>36.0654421469069</v>
      </c>
      <c r="E5" s="25" t="n">
        <f aca="false">(D7/D6)^(1/3)-1</f>
        <v>0.0200745496556636</v>
      </c>
      <c r="F5" s="24" t="n">
        <f aca="false">'[1]Optimist projection'!C277</f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f aca="false">'[1]Optimist projection'!L280</f>
        <v>37.9112181792913</v>
      </c>
      <c r="E6" s="22" t="n">
        <f aca="false">(D8/D7)^(1/3)-1</f>
        <v>0.0217205625419932</v>
      </c>
      <c r="F6" s="21" t="n">
        <f aca="false">'[1]Optimist projection'!C280</f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f aca="false">'[1]Optimist projection'!L283</f>
        <v>40.2405100148553</v>
      </c>
      <c r="E7" s="25" t="n">
        <f aca="false">(D9/D8)^(1/3)-1</f>
        <v>0.0284809714113086</v>
      </c>
      <c r="F7" s="24" t="n">
        <f aca="false">'[1]Optimist projection'!C283</f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3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f aca="false">'[1]Optimist projection'!L286</f>
        <v>42.9200162644462</v>
      </c>
      <c r="E8" s="22" t="n">
        <f aca="false">(D10/D9)^(1/3)-1</f>
        <v>0.0449818647633</v>
      </c>
      <c r="F8" s="21" t="n">
        <f aca="false">'[1]Optimist projection'!C286</f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3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f aca="false">'[1]Optimist projection'!L289</f>
        <v>46.6926648443866</v>
      </c>
      <c r="E9" s="25" t="n">
        <f aca="false">(D9/D8)^(1/3)-1</f>
        <v>0.0284809714113086</v>
      </c>
      <c r="F9" s="24" t="n">
        <f aca="false">'[1]Optimist projection'!C289</f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3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f aca="false">'[1]Optimist projection'!L292</f>
        <v>53.281313331461</v>
      </c>
      <c r="E10" s="22" t="n">
        <f aca="false">(D10/D9)^(1/3)-1</f>
        <v>0.0449818647633</v>
      </c>
      <c r="F10" s="21" t="n">
        <f aca="false">'[1]Optimist projection'!C292</f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3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f aca="false">'[1]Optimist projection'!L295</f>
        <v>59.4133384581602</v>
      </c>
      <c r="E11" s="25" t="n">
        <f aca="false">(D11/D10)^(1/3)-1</f>
        <v>0.036978323830404</v>
      </c>
      <c r="F11" s="24" t="n">
        <f aca="false">'[1]Optimist projection'!C295</f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3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f aca="false">'[1]Optimist projection'!L298</f>
        <v>66.4111454665113</v>
      </c>
      <c r="E12" s="22" t="n">
        <f aca="false">(D12/D11)^(1/3)-1</f>
        <v>0.0378127572782889</v>
      </c>
      <c r="F12" s="21" t="n">
        <f aca="false">'[1]Optimist projection'!C298</f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3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f aca="false">'[1]Optimist projection'!L301</f>
        <v>72.7247107047078</v>
      </c>
      <c r="E13" s="25" t="n">
        <f aca="false">(D13/D12)^(1/3)-1</f>
        <v>0.0307349693063796</v>
      </c>
      <c r="F13" s="24" t="n">
        <f aca="false">'[1]Optimist projection'!C301</f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3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f aca="false">'[1]Optimist projection'!L304</f>
        <v>81.8091971509488</v>
      </c>
      <c r="E14" s="22" t="n">
        <f aca="false">(D14/D13)^(1/3)-1</f>
        <v>0.0400160528698503</v>
      </c>
      <c r="F14" s="21" t="n">
        <f aca="false">'[1]Optimist projection'!C304</f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3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f aca="false">'[1]Optimist projection'!L307</f>
        <v>91.396965668282</v>
      </c>
      <c r="E15" s="25" t="n">
        <f aca="false">(D15/D14)^(1/3)-1</f>
        <v>0.0376316630457982</v>
      </c>
      <c r="F15" s="24" t="n">
        <f aca="false">'[1]Optimist projection'!C307</f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3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f aca="false">'[1]Optimist projection'!L310</f>
        <v>98.5254944549653</v>
      </c>
      <c r="E16" s="22" t="n">
        <f aca="false">(D16/D15)^(1/3)-1</f>
        <v>0.0253503448429659</v>
      </c>
      <c r="F16" s="21" t="n">
        <f aca="false">'[1]Optimist projection'!C310</f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3.8" hidden="false" customHeight="false" outlineLevel="0" collapsed="false">
      <c r="A17" s="27" t="s">
        <v>16</v>
      </c>
      <c r="B17" s="27" t="n">
        <f aca="false">'[1]Central macro hypothesis'!B17*1.015</f>
        <v>123.620248873456</v>
      </c>
      <c r="C17" s="28" t="n">
        <f aca="false">(B17/B16)^(1/3)-1</f>
        <v>-0.016414358621728</v>
      </c>
      <c r="D17" s="27" t="n">
        <f aca="false">'[1]Optimist projection'!L313</f>
        <v>103.065877295007</v>
      </c>
      <c r="E17" s="28" t="n">
        <f aca="false">(D17/D16)^(1/3)-1</f>
        <v>0.0151310077532529</v>
      </c>
      <c r="F17" s="27" t="n">
        <f aca="false">'[1]Optimist projection'!C313</f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95.1560795101873</v>
      </c>
      <c r="K17" s="13" t="n">
        <f aca="false">D17*100/$D$16</f>
        <v>104.608332965146</v>
      </c>
      <c r="L17" s="13" t="n">
        <f aca="false">100*F17*100/D17/($F$16*100/$D$16)</f>
        <v>95.9057031626599</v>
      </c>
    </row>
    <row r="18" customFormat="false" ht="13.8" hidden="false" customHeight="false" outlineLevel="0" collapsed="false">
      <c r="A18" s="29" t="s">
        <v>18</v>
      </c>
      <c r="B18" s="29" t="n">
        <f aca="false">'[1]Central macro hypothesis'!B18*1.02</f>
        <v>122.767603780305</v>
      </c>
      <c r="C18" s="30" t="n">
        <f aca="false">(B18/B17)^(1/3)-1</f>
        <v>-0.00230440390800546</v>
      </c>
      <c r="D18" s="29" t="n">
        <f aca="false">'[1]Optimist projection'!L316</f>
        <v>109.159349017426</v>
      </c>
      <c r="E18" s="30" t="n">
        <f aca="false">(D18/D17)^(1/3)-1</f>
        <v>0.0193312629240947</v>
      </c>
      <c r="F18" s="29" t="n">
        <f aca="false">'[1]Optimist projection'!C316</f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94.4997601368061</v>
      </c>
      <c r="K18" s="13" t="n">
        <f aca="false">D18*100/$D$16</f>
        <v>110.792997915196</v>
      </c>
      <c r="L18" s="13" t="n">
        <f aca="false">100*F18*100/D18/($F$16*100/$D$16)</f>
        <v>91.9171576861123</v>
      </c>
    </row>
    <row r="19" customFormat="false" ht="13.8" hidden="false" customHeight="false" outlineLevel="0" collapsed="false">
      <c r="A19" s="27" t="s">
        <v>22</v>
      </c>
      <c r="B19" s="27" t="n">
        <f aca="false">'[1]Central macro hypothesis'!B19*1.02</f>
        <v>131.881181564996</v>
      </c>
      <c r="C19" s="28" t="n">
        <f aca="false">(B19/B18)^(1/3)-1</f>
        <v>0.0241565575579752</v>
      </c>
      <c r="D19" s="27" t="n">
        <f aca="false">'[1]Optimist projection'!L319</f>
        <v>117.079513021069</v>
      </c>
      <c r="E19" s="28" t="n">
        <f aca="false">(D19/D18)^(1/3)-1</f>
        <v>0.0236228928231217</v>
      </c>
      <c r="F19" s="27" t="n">
        <f aca="false">'[1]Optimist projection'!C319</f>
        <v>64479.1100699832</v>
      </c>
      <c r="G19" s="28" t="n">
        <f aca="false">(F19/F18)^(1/3)-1</f>
        <v>0.0364181789834108</v>
      </c>
      <c r="I19" s="27" t="s">
        <v>35</v>
      </c>
      <c r="J19" s="13" t="n">
        <f aca="false">B19*100/$B$16</f>
        <v>101.514891882659</v>
      </c>
      <c r="K19" s="13" t="n">
        <f aca="false">D19*100/$D$16</f>
        <v>118.831692922469</v>
      </c>
      <c r="L19" s="13" t="n">
        <f aca="false">100*F19*100/D19/($F$16*100/$D$16)</f>
        <v>95.4073167927055</v>
      </c>
    </row>
    <row r="20" customFormat="false" ht="13.8" hidden="false" customHeight="false" outlineLevel="0" collapsed="false">
      <c r="A20" s="29" t="s">
        <v>36</v>
      </c>
      <c r="B20" s="29" t="n">
        <f aca="false">'[1]Central macro hypothesis'!B20*1.035</f>
        <v>133.208783040837</v>
      </c>
      <c r="C20" s="30" t="n">
        <f aca="false">(B20/B19)^(1/3)-1</f>
        <v>0.00334435228182461</v>
      </c>
      <c r="D20" s="29" t="n">
        <f aca="false">'[1]Optimist projection'!L322</f>
        <v>124.660411489184</v>
      </c>
      <c r="E20" s="30" t="n">
        <f aca="false">(D20/D19)^(1/3)-1</f>
        <v>0.0211335597120055</v>
      </c>
      <c r="F20" s="29" t="n">
        <f aca="false">'[1]Optimist projection'!C322</f>
        <v>71260.978128465</v>
      </c>
      <c r="G20" s="30" t="n">
        <f aca="false">(F20/F19)^(1/3)-1</f>
        <v>0.0338977292084051</v>
      </c>
      <c r="I20" s="29" t="s">
        <v>36</v>
      </c>
      <c r="J20" s="13" t="n">
        <f aca="false">B20*100/$B$16</f>
        <v>102.536806599254</v>
      </c>
      <c r="K20" s="13" t="n">
        <f aca="false">D20*100/$D$16</f>
        <v>126.5260450392</v>
      </c>
      <c r="L20" s="13" t="n">
        <f aca="false">100*F20*100/D20/($F$16*100/$D$16)</f>
        <v>99.029999694594</v>
      </c>
    </row>
    <row r="21" customFormat="false" ht="13.8" hidden="false" customHeight="false" outlineLevel="0" collapsed="false">
      <c r="A21" s="27" t="s">
        <v>16</v>
      </c>
      <c r="B21" s="27" t="n">
        <f aca="false">'[1]Central macro hypothesis'!B21*1.0325</f>
        <v>153.651324772096</v>
      </c>
      <c r="C21" s="28" t="n">
        <f aca="false">(B21/B20)^(1/3)-1</f>
        <v>0.0487399598314511</v>
      </c>
      <c r="D21" s="27" t="n">
        <f aca="false">'[1]Optimist projection'!L325</f>
        <v>132.241309957298</v>
      </c>
      <c r="E21" s="28" t="n">
        <f aca="false">(D21/D20)^(1/3)-1</f>
        <v>0.0198732372510186</v>
      </c>
      <c r="F21" s="27" t="n">
        <f aca="false">'[1]Optimist projection'!C325</f>
        <v>78464.906460794</v>
      </c>
      <c r="G21" s="28" t="n">
        <f aca="false">(F21/F20)^(1/3)-1</f>
        <v>0.0326216527166567</v>
      </c>
      <c r="I21" s="27" t="s">
        <v>37</v>
      </c>
      <c r="J21" s="13" t="n">
        <f aca="false">B21*100/$B$16</f>
        <v>118.272352709999</v>
      </c>
      <c r="K21" s="13" t="n">
        <f aca="false">D21*100/$D$16</f>
        <v>134.22039715593</v>
      </c>
      <c r="L21" s="13" t="n">
        <f aca="false">100*F21*100/D21/($F$16*100/$D$16)</f>
        <v>102.790238413466</v>
      </c>
    </row>
    <row r="22" customFormat="false" ht="13.8" hidden="false" customHeight="false" outlineLevel="0" collapsed="false">
      <c r="A22" s="29" t="s">
        <v>18</v>
      </c>
      <c r="B22" s="29" t="n">
        <f aca="false">'[1]Central macro hypothesis'!B22*1.0325</f>
        <v>143.428138482677</v>
      </c>
      <c r="C22" s="30" t="n">
        <f aca="false">(B22/B21)^(1/3)-1</f>
        <v>-0.0226892310700934</v>
      </c>
      <c r="D22" s="29" t="n">
        <f aca="false">'[1]Optimist projection'!L328</f>
        <v>139.822208425412</v>
      </c>
      <c r="E22" s="30" t="n">
        <f aca="false">(D22/D21)^(1/3)-1</f>
        <v>0.0187548083901858</v>
      </c>
      <c r="F22" s="29" t="n">
        <f aca="false">'[1]Optimist projection'!C328</f>
        <v>85476.867373266</v>
      </c>
      <c r="G22" s="30" t="n">
        <f aca="false">(F22/F21)^(1/3)-1</f>
        <v>0.0289423564740878</v>
      </c>
      <c r="I22" s="29" t="s">
        <v>38</v>
      </c>
      <c r="J22" s="13" t="n">
        <f aca="false">B22*100/$B$16</f>
        <v>110.40310526657</v>
      </c>
      <c r="K22" s="13" t="n">
        <f aca="false">D22*100/$D$16</f>
        <v>141.914749272659</v>
      </c>
      <c r="L22" s="13" t="n">
        <f aca="false">100*F22*100/D22/($F$16*100/$D$16)</f>
        <v>105.904885427633</v>
      </c>
    </row>
    <row r="23" customFormat="false" ht="13.8" hidden="false" customHeight="false" outlineLevel="0" collapsed="false">
      <c r="A23" s="27" t="s">
        <v>22</v>
      </c>
      <c r="B23" s="27" t="n">
        <f aca="false">'[1]Central macro hypothesis'!B23*1.035</f>
        <v>144.177342922017</v>
      </c>
      <c r="C23" s="28" t="n">
        <f aca="false">(B23/B22)^(1/3)-1</f>
        <v>0.00173816127666759</v>
      </c>
      <c r="D23" s="27" t="n">
        <f aca="false">'[1]Optimist projection'!L331</f>
        <v>147.403106893526</v>
      </c>
      <c r="E23" s="28" t="n">
        <f aca="false">(D23/D22)^(1/3)-1</f>
        <v>0.0177555829071672</v>
      </c>
      <c r="F23" s="27" t="n">
        <f aca="false">'[1]Optimist projection'!C331</f>
        <v>92841.7245399312</v>
      </c>
      <c r="G23" s="28" t="n">
        <f aca="false">(F23/F22)^(1/3)-1</f>
        <v>0.0279331387362387</v>
      </c>
      <c r="I23" s="27" t="s">
        <v>39</v>
      </c>
      <c r="J23" s="13" t="n">
        <f aca="false">B23*100/$B$16</f>
        <v>110.979801704645</v>
      </c>
      <c r="K23" s="13" t="n">
        <f aca="false">D23*100/$D$16</f>
        <v>149.609101389389</v>
      </c>
      <c r="L23" s="13" t="n">
        <f aca="false">100*F23*100/D23/($F$16*100/$D$16)</f>
        <v>109.113909360976</v>
      </c>
    </row>
    <row r="24" customFormat="false" ht="13.8" hidden="false" customHeight="false" outlineLevel="0" collapsed="false">
      <c r="A24" s="29" t="s">
        <v>40</v>
      </c>
      <c r="B24" s="29" t="n">
        <f aca="false">'[1]Central macro hypothesis'!B24*1.045</f>
        <v>142.196432787412</v>
      </c>
      <c r="C24" s="30" t="n">
        <f aca="false">(B24/B23)^(1/3)-1</f>
        <v>-0.00460093602990386</v>
      </c>
      <c r="D24" s="29" t="n">
        <f aca="false">'[1]Optimist projection'!L334</f>
        <v>154.625859131309</v>
      </c>
      <c r="E24" s="30" t="n">
        <f aca="false">(D24/D23)^(1/3)-1</f>
        <v>0.0160735888170267</v>
      </c>
      <c r="F24" s="29" t="n">
        <f aca="false">'[1]Optimist projection'!C334</f>
        <v>98859.1500745731</v>
      </c>
      <c r="G24" s="30" t="n">
        <f aca="false">(F24/F23)^(1/3)-1</f>
        <v>0.0211539567611119</v>
      </c>
      <c r="I24" s="29" t="s">
        <v>40</v>
      </c>
      <c r="J24" s="13" t="n">
        <f aca="false">B24*100/$B$16</f>
        <v>109.455005856159</v>
      </c>
      <c r="K24" s="13" t="n">
        <f aca="false">D24*100/$D$16</f>
        <v>156.939947357469</v>
      </c>
      <c r="L24" s="13" t="n">
        <f aca="false">100*F24*100/D24/($F$16*100/$D$16)</f>
        <v>110.758815183831</v>
      </c>
    </row>
    <row r="25" customFormat="false" ht="13.8" hidden="false" customHeight="false" outlineLevel="0" collapsed="false">
      <c r="A25" s="27" t="s">
        <v>16</v>
      </c>
      <c r="B25" s="27" t="n">
        <f aca="false">'[1]Central macro hypothesis'!B25*1.045</f>
        <v>164.098443124362</v>
      </c>
      <c r="C25" s="28" t="n">
        <f aca="false">(B25/B24)^(1/3)-1</f>
        <v>0.048910870703599</v>
      </c>
      <c r="D25" s="27" t="n">
        <f aca="false">'[1]Optimist projection'!L337</f>
        <v>161.848611369092</v>
      </c>
      <c r="E25" s="28" t="n">
        <f aca="false">(D25/D24)^(1/3)-1</f>
        <v>0.0153340495695518</v>
      </c>
      <c r="F25" s="27" t="n">
        <f aca="false">'[1]Optimist projection'!C337</f>
        <v>105036.903339406</v>
      </c>
      <c r="G25" s="28" t="n">
        <f aca="false">(F25/F24)^(1/3)-1</f>
        <v>0.0204107198174004</v>
      </c>
      <c r="I25" s="27" t="s">
        <v>41</v>
      </c>
      <c r="J25" s="13" t="n">
        <f aca="false">B25*100/$B$16</f>
        <v>126.313970759143</v>
      </c>
      <c r="K25" s="13" t="n">
        <f aca="false">D25*100/$D$16</f>
        <v>164.27079332555</v>
      </c>
      <c r="L25" s="13" t="n">
        <f aca="false">100*F25*100/D25/($F$16*100/$D$16)</f>
        <v>112.428518167579</v>
      </c>
    </row>
    <row r="26" customFormat="false" ht="13.8" hidden="false" customHeight="false" outlineLevel="0" collapsed="false">
      <c r="A26" s="29" t="s">
        <v>18</v>
      </c>
      <c r="B26" s="29" t="n">
        <f aca="false">'[1]Central macro hypothesis'!B26*1.0425</f>
        <v>151.722354425537</v>
      </c>
      <c r="C26" s="30" t="n">
        <f aca="false">(B26/B25)^(1/3)-1</f>
        <v>-0.0257994489061419</v>
      </c>
      <c r="D26" s="29" t="n">
        <f aca="false">'[1]Optimist projection'!L340</f>
        <v>169.071363606875</v>
      </c>
      <c r="E26" s="30" t="n">
        <f aca="false">(D26/D25)^(1/3)-1</f>
        <v>0.0146595779141645</v>
      </c>
      <c r="F26" s="29" t="n">
        <f aca="false">'[1]Optimist projection'!C340</f>
        <v>110549.334174532</v>
      </c>
      <c r="G26" s="30" t="n">
        <f aca="false">(F26/F25)^(1/3)-1</f>
        <v>0.0171962268589481</v>
      </c>
      <c r="I26" s="29" t="s">
        <v>42</v>
      </c>
      <c r="J26" s="13" t="n">
        <f aca="false">B26*100/$B$16</f>
        <v>116.787537258301</v>
      </c>
      <c r="K26" s="13" t="n">
        <f aca="false">D26*100/$D$16</f>
        <v>171.60163929363</v>
      </c>
      <c r="L26" s="13" t="n">
        <f aca="false">100*F26*100/D26/($F$16*100/$D$16)</f>
        <v>113.273841845247</v>
      </c>
    </row>
    <row r="27" customFormat="false" ht="13.8" hidden="false" customHeight="false" outlineLevel="0" collapsed="false">
      <c r="A27" s="27" t="s">
        <v>22</v>
      </c>
      <c r="B27" s="27" t="n">
        <f aca="false">'[1]Central macro hypothesis'!B27*1.0425</f>
        <v>151.741530186286</v>
      </c>
      <c r="C27" s="28" t="n">
        <f aca="false">(B27/B26)^(1/3)-1</f>
        <v>4.21272857726862E-005</v>
      </c>
      <c r="D27" s="27" t="n">
        <f aca="false">'[1]Optimist projection'!L343</f>
        <v>176.294115844657</v>
      </c>
      <c r="E27" s="28" t="n">
        <f aca="false">(D27/D26)^(1/3)-1</f>
        <v>0.014041947301106</v>
      </c>
      <c r="F27" s="27" t="n">
        <f aca="false">'[1]Optimist projection'!C343</f>
        <v>116138.720431556</v>
      </c>
      <c r="G27" s="28" t="n">
        <f aca="false">(F27/F26)^(1/3)-1</f>
        <v>0.0165770521693587</v>
      </c>
      <c r="I27" s="27" t="s">
        <v>43</v>
      </c>
      <c r="J27" s="13" t="n">
        <f aca="false">B27*100/$B$16</f>
        <v>116.802297705971</v>
      </c>
      <c r="K27" s="13" t="n">
        <f aca="false">D27*100/$D$16</f>
        <v>178.932485261709</v>
      </c>
      <c r="L27" s="13" t="n">
        <f aca="false">100*F27*100/D27/($F$16*100/$D$16)</f>
        <v>114.125521313525</v>
      </c>
    </row>
    <row r="28" customFormat="false" ht="13.8" hidden="false" customHeight="false" outlineLevel="0" collapsed="false">
      <c r="A28" s="29" t="s">
        <v>44</v>
      </c>
      <c r="B28" s="29" t="n">
        <f aca="false">'[1]Central macro hypothesis'!B28*1.055</f>
        <v>149.944476310308</v>
      </c>
      <c r="C28" s="30" t="n">
        <f aca="false">(B28/B27)^(1/3)-1</f>
        <v>-0.00396330744484907</v>
      </c>
      <c r="D28" s="29" t="n">
        <f aca="false">'[1]Optimist projection'!L346</f>
        <v>183.786615768055</v>
      </c>
      <c r="E28" s="30" t="n">
        <f aca="false">(D28/D27)^(1/3)-1</f>
        <v>0.0139705806309229</v>
      </c>
      <c r="F28" s="29" t="n">
        <f aca="false">'[1]Optimist projection'!C346</f>
        <v>121495.984963591</v>
      </c>
      <c r="G28" s="30" t="n">
        <f aca="false">(F28/F27)^(1/3)-1</f>
        <v>0.0151455062019221</v>
      </c>
      <c r="I28" s="29" t="s">
        <v>44</v>
      </c>
      <c r="J28" s="13" t="n">
        <f aca="false">B28*100/$B$16</f>
        <v>115.419024309704</v>
      </c>
      <c r="K28" s="13" t="n">
        <f aca="false">D28*100/$D$16</f>
        <v>186.537115885332</v>
      </c>
      <c r="L28" s="13" t="n">
        <f aca="false">100*F28*100/D28/($F$16*100/$D$16)</f>
        <v>114.522705698737</v>
      </c>
      <c r="N28" s="31"/>
    </row>
    <row r="29" customFormat="false" ht="13.8" hidden="false" customHeight="false" outlineLevel="0" collapsed="false">
      <c r="A29" s="27" t="s">
        <v>16</v>
      </c>
      <c r="B29" s="27" t="n">
        <f aca="false">'[1]Central macro hypothesis'!B29*1.05</f>
        <v>171.600047533355</v>
      </c>
      <c r="C29" s="28" t="n">
        <f aca="false">(B29/B28)^(1/3)-1</f>
        <v>0.0459934797747601</v>
      </c>
      <c r="D29" s="27" t="n">
        <f aca="false">'[1]Optimist projection'!L349</f>
        <v>191.279115691453</v>
      </c>
      <c r="E29" s="28" t="n">
        <f aca="false">(D29/D28)^(1/3)-1</f>
        <v>0.013408536283362</v>
      </c>
      <c r="F29" s="27" t="n">
        <f aca="false">'[1]Optimist projection'!C349</f>
        <v>126887.605714009</v>
      </c>
      <c r="G29" s="28" t="n">
        <f aca="false">(F29/F28)^(1/3)-1</f>
        <v>0.0145787427033519</v>
      </c>
      <c r="I29" s="27" t="s">
        <v>45</v>
      </c>
      <c r="J29" s="13" t="n">
        <f aca="false">B29*100/$B$16</f>
        <v>132.088293914946</v>
      </c>
      <c r="K29" s="13" t="n">
        <f aca="false">D29*100/$D$16</f>
        <v>194.141746508955</v>
      </c>
      <c r="L29" s="13" t="n">
        <f aca="false">100*F29*100/D29/($F$16*100/$D$16)</f>
        <v>114.91989008395</v>
      </c>
      <c r="M29" s="31" t="n">
        <f aca="false">L27/L16-1</f>
        <v>0.141255213135245</v>
      </c>
    </row>
    <row r="30" customFormat="false" ht="13.8" hidden="false" customHeight="false" outlineLevel="0" collapsed="false">
      <c r="A30" s="29" t="s">
        <v>18</v>
      </c>
      <c r="B30" s="29" t="n">
        <f aca="false">'[1]Central macro hypothesis'!B30*1.05</f>
        <v>158.676396051621</v>
      </c>
      <c r="C30" s="30" t="n">
        <f aca="false">(B30/B29)^(1/3)-1</f>
        <v>-0.0257622028686859</v>
      </c>
      <c r="D30" s="29" t="n">
        <f aca="false">'[1]Optimist projection'!L352</f>
        <v>198.771615614851</v>
      </c>
      <c r="E30" s="30" t="n">
        <f aca="false">(D30/D29)^(1/3)-1</f>
        <v>0.0128899704051624</v>
      </c>
      <c r="F30" s="29" t="n">
        <f aca="false">'[1]Optimist projection'!C352</f>
        <v>132313.58268281</v>
      </c>
      <c r="G30" s="30" t="n">
        <f aca="false">(F30/F29)^(1/3)-1</f>
        <v>0.0140555402894849</v>
      </c>
      <c r="I30" s="29" t="s">
        <v>46</v>
      </c>
      <c r="J30" s="13" t="n">
        <f aca="false">B30*100/$B$16</f>
        <v>122.140376650869</v>
      </c>
      <c r="K30" s="13" t="n">
        <f aca="false">D30*100/$D$16</f>
        <v>201.746377132577</v>
      </c>
      <c r="L30" s="13" t="n">
        <f aca="false">100*F30*100/D30/($F$16*100/$D$16)</f>
        <v>115.317074469163</v>
      </c>
    </row>
    <row r="31" customFormat="false" ht="13.8" hidden="false" customHeight="false" outlineLevel="0" collapsed="false">
      <c r="A31" s="27" t="s">
        <v>22</v>
      </c>
      <c r="B31" s="27" t="n">
        <f aca="false">'[1]Central macro hypothesis'!B31*1.0525</f>
        <v>158.693716586072</v>
      </c>
      <c r="C31" s="28" t="n">
        <f aca="false">(B31/B30)^(1/3)-1</f>
        <v>3.63841224539918E-005</v>
      </c>
      <c r="D31" s="27" t="n">
        <f aca="false">'[1]Optimist projection'!L355</f>
        <v>206.264115538249</v>
      </c>
      <c r="E31" s="28" t="n">
        <f aca="false">(D31/D30)^(1/3)-1</f>
        <v>0.0124100252895021</v>
      </c>
      <c r="F31" s="27" t="n">
        <f aca="false">'[1]Optimist projection'!C355</f>
        <v>137773.915869993</v>
      </c>
      <c r="G31" s="28" t="n">
        <f aca="false">(F31/F30)^(1/3)-1</f>
        <v>0.0135710348301097</v>
      </c>
      <c r="I31" s="27" t="s">
        <v>47</v>
      </c>
      <c r="J31" s="13" t="n">
        <f aca="false">B31*100/$B$16</f>
        <v>122.153709047206</v>
      </c>
      <c r="K31" s="13" t="n">
        <f aca="false">D31*100/$D$16</f>
        <v>209.3510077562</v>
      </c>
      <c r="L31" s="13" t="n">
        <f aca="false">100*F31*100/D31/($F$16*100/$D$16)</f>
        <v>115.714258854375</v>
      </c>
    </row>
    <row r="32" customFormat="false" ht="13.8" hidden="false" customHeight="false" outlineLevel="0" collapsed="false">
      <c r="A32" s="29" t="s">
        <v>48</v>
      </c>
      <c r="B32" s="29" t="n">
        <f aca="false">'[1]Central macro hypothesis'!B32*1.06</f>
        <v>155.901786551363</v>
      </c>
      <c r="C32" s="30" t="n">
        <f aca="false">(B32/B31)^(1/3)-1</f>
        <v>-0.00589913076842497</v>
      </c>
      <c r="D32" s="29" t="n">
        <f aca="false">'[1]Optimist projection'!L358</f>
        <v>212.452039004397</v>
      </c>
      <c r="E32" s="30" t="n">
        <f aca="false">(D32/D31)^(1/3)-1</f>
        <v>0.00990163404996181</v>
      </c>
      <c r="F32" s="29" t="n">
        <f aca="false">'[1]Optimist projection'!C358</f>
        <v>142394.223684599</v>
      </c>
      <c r="G32" s="30" t="n">
        <f aca="false">(F32/F31)^(1/3)-1</f>
        <v>0.0110557963155515</v>
      </c>
      <c r="I32" s="29" t="s">
        <v>48</v>
      </c>
      <c r="J32" s="13" t="n">
        <f aca="false">B32*100/$B$16</f>
        <v>120.004634613279</v>
      </c>
      <c r="K32" s="13" t="n">
        <f aca="false">D32*100/$D$16</f>
        <v>215.631537988887</v>
      </c>
      <c r="L32" s="13" t="n">
        <f aca="false">100*F32*100/D32/($F$16*100/$D$16)</f>
        <v>116.111443239588</v>
      </c>
    </row>
    <row r="33" customFormat="false" ht="13.8" hidden="false" customHeight="false" outlineLevel="0" collapsed="false">
      <c r="A33" s="27" t="s">
        <v>16</v>
      </c>
      <c r="B33" s="27" t="n">
        <f aca="false">'[1]Central macro hypothesis'!B33*1.06</f>
        <v>178.399198298066</v>
      </c>
      <c r="C33" s="28" t="n">
        <f aca="false">(B33/B32)^(1/3)-1</f>
        <v>0.045957252166752</v>
      </c>
      <c r="D33" s="27" t="n">
        <f aca="false">'[1]Optimist projection'!L361</f>
        <v>218.639962470544</v>
      </c>
      <c r="E33" s="28" t="n">
        <f aca="false">(D33/D32)^(1/3)-1</f>
        <v>0.0096159745116069</v>
      </c>
      <c r="F33" s="27" t="n">
        <f aca="false">'[1]Optimist projection'!C361</f>
        <v>147042.905693681</v>
      </c>
      <c r="G33" s="28" t="n">
        <f aca="false">(F33/F32)^(1/3)-1</f>
        <v>0.0107658678550722</v>
      </c>
      <c r="I33" s="27" t="s">
        <v>49</v>
      </c>
      <c r="J33" s="13" t="n">
        <f aca="false">B33*100/$B$16</f>
        <v>137.321906827592</v>
      </c>
      <c r="K33" s="13" t="n">
        <f aca="false">D33*100/$D$16</f>
        <v>221.912068221572</v>
      </c>
      <c r="L33" s="13" t="n">
        <f aca="false">100*F33*100/D33/($F$16*100/$D$16)</f>
        <v>116.508627624801</v>
      </c>
    </row>
    <row r="34" customFormat="false" ht="13.8" hidden="false" customHeight="false" outlineLevel="0" collapsed="false">
      <c r="A34" s="29" t="s">
        <v>18</v>
      </c>
      <c r="B34" s="29" t="n">
        <f aca="false">'[1]Central macro hypothesis'!B34*1.055</f>
        <v>164.495626381184</v>
      </c>
      <c r="C34" s="30" t="n">
        <f aca="false">(B34/B33)^(1/3)-1</f>
        <v>-0.0266840978151197</v>
      </c>
      <c r="D34" s="29" t="n">
        <f aca="false">'[1]Optimist projection'!L364</f>
        <v>224.827885936692</v>
      </c>
      <c r="E34" s="30" t="n">
        <f aca="false">(D34/D33)^(1/3)-1</f>
        <v>0.00934633611869673</v>
      </c>
      <c r="F34" s="29" t="n">
        <f aca="false">'[1]Optimist projection'!C364</f>
        <v>151719.961897239</v>
      </c>
      <c r="G34" s="30" t="n">
        <f aca="false">(F34/F33)^(1/3)-1</f>
        <v>0.0104920077980653</v>
      </c>
      <c r="I34" s="29" t="s">
        <v>50</v>
      </c>
      <c r="J34" s="13" t="n">
        <f aca="false">B34*100/$B$16</f>
        <v>126.61970062064</v>
      </c>
      <c r="K34" s="13" t="n">
        <f aca="false">D34*100/$D$16</f>
        <v>228.192598454259</v>
      </c>
      <c r="L34" s="13" t="n">
        <f aca="false">100*F34*100/D34/($F$16*100/$D$16)</f>
        <v>116.905812010013</v>
      </c>
    </row>
    <row r="35" customFormat="false" ht="13.8" hidden="false" customHeight="false" outlineLevel="0" collapsed="false">
      <c r="A35" s="27" t="s">
        <v>22</v>
      </c>
      <c r="B35" s="27" t="n">
        <f aca="false">'[1]Central macro hypothesis'!B35*1.0575</f>
        <v>164.429837017326</v>
      </c>
      <c r="C35" s="28" t="n">
        <f aca="false">(B35/B34)^(1/3)-1</f>
        <v>-0.000133333102294575</v>
      </c>
      <c r="D35" s="27" t="n">
        <f aca="false">'[1]Optimist projection'!L367</f>
        <v>231.015809402839</v>
      </c>
      <c r="E35" s="28" t="n">
        <f aca="false">(D35/D34)^(1/3)-1</f>
        <v>0.00909140775220707</v>
      </c>
      <c r="F35" s="27" t="n">
        <f aca="false">'[1]Optimist projection'!C367</f>
        <v>156425.392295273</v>
      </c>
      <c r="G35" s="28" t="n">
        <f aca="false">(F35/F34)^(1/3)-1</f>
        <v>0.0102329030612307</v>
      </c>
      <c r="I35" s="27" t="s">
        <v>51</v>
      </c>
      <c r="J35" s="13" t="n">
        <f aca="false">B35*100/$B$16</f>
        <v>126.569059580881</v>
      </c>
      <c r="K35" s="13" t="n">
        <f aca="false">D35*100/$D$16</f>
        <v>234.473128686944</v>
      </c>
      <c r="L35" s="13" t="n">
        <f aca="false">100*F35*100/D35/($F$16*100/$D$16)</f>
        <v>117.302996395226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82" t="s">
        <v>54</v>
      </c>
      <c r="C41" s="82"/>
      <c r="D41" s="82"/>
    </row>
    <row r="42" customFormat="false" ht="51.75" hidden="false" customHeight="true" outlineLevel="0" collapsed="false">
      <c r="A42" s="32" t="s">
        <v>52</v>
      </c>
      <c r="B42" s="34" t="s">
        <v>109</v>
      </c>
      <c r="C42" s="34" t="s">
        <v>110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-0.109407335553461</v>
      </c>
      <c r="C43" s="37" t="n">
        <f aca="false">D43*0.9</f>
        <v>-0.109223509714666</v>
      </c>
      <c r="D43" s="37" t="n">
        <f aca="false">'[1]Central macro hypothesis'!C39</f>
        <v>-0.121359455238518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0.130432393423964</v>
      </c>
      <c r="C44" s="39" t="n">
        <f aca="false">D44*1.2</f>
        <v>0.130138391310772</v>
      </c>
      <c r="D44" s="39" t="n">
        <f aca="false">'[1]Central macro hypothesis'!C40</f>
        <v>0.108448659425643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0.0614365280852347</v>
      </c>
      <c r="C45" s="37" t="n">
        <f aca="false">D45*1.2</f>
        <v>0.0614611514385288</v>
      </c>
      <c r="D45" s="37" t="n">
        <f aca="false">'[1]Central macro hypothesis'!C41</f>
        <v>0.051217626198774</v>
      </c>
    </row>
    <row r="46" customFormat="false" ht="13.8" hidden="false" customHeight="false" outlineLevel="0" collapsed="false">
      <c r="A46" s="7" t="n">
        <v>2023</v>
      </c>
      <c r="B46" s="39" t="n">
        <f aca="false">AVERAGE(B28:B31)/AVERAGE(B24:B27)-1</f>
        <v>0.0478154277483809</v>
      </c>
      <c r="C46" s="39" t="n">
        <f aca="false">D46*1.2</f>
        <v>0.0477716538010648</v>
      </c>
      <c r="D46" s="39" t="n">
        <f aca="false">'[1]Central macro hypothesis'!C42</f>
        <v>0.0398097115008873</v>
      </c>
    </row>
    <row r="47" customFormat="false" ht="13.8" hidden="false" customHeight="false" outlineLevel="0" collapsed="false">
      <c r="A47" s="35" t="n">
        <v>2024</v>
      </c>
      <c r="B47" s="37" t="n">
        <f aca="false">AVERAGE(B32:B35)/AVERAGE(B28:B31)-1</f>
        <v>0.0380517370841205</v>
      </c>
      <c r="C47" s="37" t="n">
        <f aca="false">D47*1.2</f>
        <v>0.0381918733431104</v>
      </c>
      <c r="D47" s="37" t="n">
        <f aca="false">'[1]Central macro hypothesis'!C43</f>
        <v>0.0318265611192587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0" topLeftCell="AB1" activePane="topRight" state="frozen"/>
      <selection pane="topLeft" activeCell="A1" activeCellId="0" sqref="A1"/>
      <selection pane="topRight" activeCell="AG34" activeCellId="0" sqref="AG34"/>
    </sheetView>
  </sheetViews>
  <sheetFormatPr defaultColWidth="9.0039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tr">
        <f aca="false">'Central scenario'!AE1</f>
        <v>PIB en millones de pesos constantes de 2004</v>
      </c>
      <c r="AF1" s="1" t="s">
        <v>72</v>
      </c>
      <c r="AG1" s="1" t="str">
        <f aca="false">'Central scenario'!AG1</f>
        <v>PIB en pesos constantes noviembre 2014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/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111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-0.0328674520568732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0.0139858096813864</v>
      </c>
      <c r="BM4" s="51" t="n">
        <f aca="false">SUM(D14:D17)/AVERAGE(AG14:AG17)</f>
        <v>0.0796893569690467</v>
      </c>
      <c r="BN4" s="51" t="n">
        <f aca="false">(SUM(H14:H17)+SUM(J14:J17))/AVERAGE(AG14:AG17)</f>
        <v>0</v>
      </c>
      <c r="BO4" s="52" t="n">
        <f aca="false">AL4-BN4</f>
        <v>-0.0328674520568732</v>
      </c>
      <c r="BP4" s="31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-0.0327691279382023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0.0613981988851851</v>
      </c>
      <c r="BL5" s="51" t="n">
        <f aca="false">SUM(P18:P21)/AVERAGE(AG18:AG21)</f>
        <v>0.0153260729788297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1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-0.0365058558565986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0.0632114979056286</v>
      </c>
      <c r="BL6" s="51" t="n">
        <f aca="false">SUM(P22:P25)/AVERAGE(AG22:AG25)</f>
        <v>0.0188665219430461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-0.0370486779085525</v>
      </c>
      <c r="BP6" s="31" t="n">
        <f aca="false">BN6+BM6</f>
        <v>0.0813936538711351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-0.0369519993944059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-0.0256535187698723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0.0139500372433035</v>
      </c>
      <c r="BJ7" s="2" t="n">
        <f aca="false">BJ6+1</f>
        <v>2018</v>
      </c>
      <c r="BK7" s="51" t="n">
        <f aca="false">SUM(T26:T29)/AVERAGE(AG26:AG29)</f>
        <v>0.0590422910892223</v>
      </c>
      <c r="BL7" s="51" t="n">
        <f aca="false">SUM(P26:P29)/AVERAGE(AG26:AG29)</f>
        <v>0.0176319076287643</v>
      </c>
      <c r="BM7" s="51" t="n">
        <f aca="false">SUM(D26:D29)/AVERAGE(AG26:AG29)</f>
        <v>0.0783623828548638</v>
      </c>
      <c r="BN7" s="51" t="n">
        <f aca="false">(SUM(H26:H29)+SUM(J26:J29))/AVERAGE(AG26:AG29)</f>
        <v>0.000951174085141824</v>
      </c>
      <c r="BO7" s="52" t="n">
        <f aca="false">AL7-BN7</f>
        <v>-0.0379031734795477</v>
      </c>
      <c r="BP7" s="31" t="n">
        <f aca="false">BN7+BM7</f>
        <v>0.0793135569400057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-0.0387378212667812</v>
      </c>
      <c r="AM8" s="4" t="n">
        <f aca="false">'Central scenario'!AM8</f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f aca="false">((((AP7*((1+AO8)^(1/12))-AM8/12)*((1+AO8)^(1/12))-AM8/12)*((1+AO8)^(1/12))-AM8/12)*((1+AO8)^(1/12))-AM8/12)*((1+AO8)^(1/12))-AM8/12</f>
        <v>14776273.6084177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V8" s="2" t="n">
        <v>11082939</v>
      </c>
      <c r="AX8" s="2" t="n">
        <f aca="false">(AV8-AV7)/AV7</f>
        <v>0.00641144738254397</v>
      </c>
      <c r="BI8" s="51" t="n">
        <f aca="false">T15/AG15</f>
        <v>0.0146066801931316</v>
      </c>
      <c r="BJ8" s="2" t="n">
        <f aca="false">BJ7+1</f>
        <v>2019</v>
      </c>
      <c r="BK8" s="51" t="n">
        <f aca="false">SUM(T30:T33)/AVERAGE(AG30:AG33)</f>
        <v>0.0512917784684698</v>
      </c>
      <c r="BL8" s="51" t="n">
        <f aca="false">SUM(P30:P33)/AVERAGE(AG30:AG33)</f>
        <v>0.0166866507123382</v>
      </c>
      <c r="BM8" s="51" t="n">
        <f aca="false">SUM(D30:D33)/AVERAGE(AG30:AG33)</f>
        <v>0.0733429490229128</v>
      </c>
      <c r="BN8" s="51" t="n">
        <f aca="false">(SUM(H30:H33)+SUM(J30:J33))/AVERAGE(AG30:AG33)</f>
        <v>0.000860209161483032</v>
      </c>
      <c r="BO8" s="52" t="n">
        <f aca="false">AL8-BN8</f>
        <v>-0.0395980304282642</v>
      </c>
      <c r="BP8" s="31" t="n">
        <f aca="false">BN8+BM8</f>
        <v>0.0742031581843958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-0.0553414834807925</v>
      </c>
      <c r="AM9" s="4" t="n">
        <f aca="false">'Central scenario'!AM9</f>
        <v>18862810.403066</v>
      </c>
      <c r="AN9" s="52" t="n">
        <f aca="false">AM9/AVERAGE(AG34:AG37)</f>
        <v>0.00420006292965921</v>
      </c>
      <c r="AO9" s="52" t="n">
        <f aca="false">AVERAGE(AG34:AG37)/AVERAGE(AG30:AG33)-1</f>
        <v>-0.111795751393979</v>
      </c>
      <c r="AP9" s="52"/>
      <c r="AQ9" s="4" t="n">
        <f aca="false">AQ8*(1+AO9)</f>
        <v>370593758.577486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352718157.363744</v>
      </c>
      <c r="AS9" s="53" t="n">
        <f aca="false">AQ9/AG37</f>
        <v>0.0794921243521669</v>
      </c>
      <c r="AT9" s="53" t="n">
        <f aca="false">AR9/AG37</f>
        <v>0.0756578193168991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0.0146909918106802</v>
      </c>
      <c r="BJ9" s="2" t="n">
        <f aca="false">BJ8+1</f>
        <v>2020</v>
      </c>
      <c r="BK9" s="51" t="n">
        <f aca="false">SUM(T34:T37)/AVERAGE(AG34:AG37)</f>
        <v>0.0519470187859969</v>
      </c>
      <c r="BL9" s="51" t="n">
        <f aca="false">SUM(P34:P37)/AVERAGE(AG34:AG37)</f>
        <v>0.0190187857456639</v>
      </c>
      <c r="BM9" s="51" t="n">
        <f aca="false">SUM(D34:D37)/AVERAGE(AG34:AG37)</f>
        <v>0.0882697165211254</v>
      </c>
      <c r="BN9" s="51" t="n">
        <f aca="false">(SUM(H34:H37)+SUM(J34:J37))/AVERAGE(AG34:AG37)</f>
        <v>0.00134700999847969</v>
      </c>
      <c r="BO9" s="52" t="n">
        <f aca="false">AL9-BN9</f>
        <v>-0.0566884934792722</v>
      </c>
      <c r="BP9" s="31" t="n">
        <f aca="false">BN9+BM9</f>
        <v>0.0896167265196051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-0.0487956134825102</v>
      </c>
      <c r="AM10" s="4" t="n">
        <f aca="false">'Central scenario'!AM10</f>
        <v>17835539.214349</v>
      </c>
      <c r="AN10" s="52" t="n">
        <f aca="false">AM10/AVERAGE(AG38:AG41)</f>
        <v>0.00351310433188709</v>
      </c>
      <c r="AO10" s="52" t="n">
        <f aca="false">AVERAGE(AG38:AG41)/AVERAGE(AG34:AG37)-1</f>
        <v>0.130432393423964</v>
      </c>
      <c r="AP10" s="52"/>
      <c r="AQ10" s="4" t="n">
        <f aca="false">AQ9*(1+AO10)</f>
        <v>418931189.49673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379845852.484096</v>
      </c>
      <c r="AS10" s="53" t="n">
        <f aca="false">AQ10/AG41</f>
        <v>0.0821967240800257</v>
      </c>
      <c r="AT10" s="53" t="n">
        <f aca="false">AR10/AG41</f>
        <v>0.0745279547390231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0.0175896394888492</v>
      </c>
      <c r="BJ10" s="2" t="n">
        <f aca="false">BJ9+1</f>
        <v>2021</v>
      </c>
      <c r="BK10" s="51" t="n">
        <f aca="false">SUM(T38:T41)/AVERAGE(AG38:AG41)</f>
        <v>0.0483380850823301</v>
      </c>
      <c r="BL10" s="51" t="n">
        <f aca="false">SUM(P38:P41)/AVERAGE(AG38:AG41)</f>
        <v>0.0167305142672239</v>
      </c>
      <c r="BM10" s="51" t="n">
        <f aca="false">SUM(D38:D41)/AVERAGE(AG38:AG41)</f>
        <v>0.0804031842976164</v>
      </c>
      <c r="BN10" s="51" t="n">
        <f aca="false">(SUM(H38:H41)+SUM(J38:J41))/AVERAGE(AG38:AG41)</f>
        <v>0.0016701552464267</v>
      </c>
      <c r="BO10" s="52" t="n">
        <f aca="false">AL10-BN10</f>
        <v>-0.0504657687289369</v>
      </c>
      <c r="BP10" s="31" t="n">
        <f aca="false">BN10+BM10</f>
        <v>0.0820733395440431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-0.0485930420908279</v>
      </c>
      <c r="AM11" s="4" t="n">
        <f aca="false">'Central scenario'!AM11</f>
        <v>16827143.6015023</v>
      </c>
      <c r="AN11" s="52" t="n">
        <f aca="false">AM11/AVERAGE(AG42:AG45)</f>
        <v>0.00312263465792605</v>
      </c>
      <c r="AO11" s="52" t="n">
        <f aca="false">AVERAGE(AG42:AG45)/AVERAGE(AG38:AG41)-1</f>
        <v>0.0614365280852347</v>
      </c>
      <c r="AP11" s="52"/>
      <c r="AQ11" s="4" t="n">
        <f aca="false">AQ10*(1+AO11)</f>
        <v>444668867.286026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385886394.250707</v>
      </c>
      <c r="AS11" s="53" t="n">
        <f aca="false">AQ11/AG45</f>
        <v>0.0828974357518174</v>
      </c>
      <c r="AT11" s="53" t="n">
        <f aca="false">AR11/AG45</f>
        <v>0.0719389076418566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0.014872835347451</v>
      </c>
      <c r="BJ11" s="2" t="n">
        <f aca="false">BJ10+1</f>
        <v>2022</v>
      </c>
      <c r="BK11" s="51" t="n">
        <f aca="false">SUM(T42:T45)/AVERAGE(AG42:AG45)</f>
        <v>0.0482427529880968</v>
      </c>
      <c r="BL11" s="51" t="n">
        <f aca="false">SUM(P42:P45)/AVERAGE(AG42:AG45)</f>
        <v>0.0162092646525187</v>
      </c>
      <c r="BM11" s="51" t="n">
        <f aca="false">SUM(D42:D45)/AVERAGE(AG42:AG45)</f>
        <v>0.080626530426406</v>
      </c>
      <c r="BN11" s="51" t="n">
        <f aca="false">(SUM(H42:H45)+SUM(J42:J45))/AVERAGE(AG42:AG45)</f>
        <v>0.00208069379549972</v>
      </c>
      <c r="BO11" s="52" t="n">
        <f aca="false">AL11-BN11</f>
        <v>-0.0506737358863276</v>
      </c>
      <c r="BP11" s="31" t="n">
        <f aca="false">BN11+BM11</f>
        <v>0.0827072242219058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-0.046447340235686</v>
      </c>
      <c r="AM12" s="4" t="n">
        <f aca="false">'Central scenario'!AM12</f>
        <v>15842663.6881786</v>
      </c>
      <c r="AN12" s="52" t="n">
        <f aca="false">AM12/AVERAGE(AG46:AG49)</f>
        <v>0.00280578370739576</v>
      </c>
      <c r="AO12" s="52" t="n">
        <f aca="false">AVERAGE(AG46:AG49)/AVERAGE(AG42:AG45)-1</f>
        <v>0.0478154277483811</v>
      </c>
      <c r="AP12" s="52"/>
      <c r="AQ12" s="4" t="n">
        <f aca="false">AQ11*(1+AO12)</f>
        <v>465930899.381696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388150783.10206</v>
      </c>
      <c r="AS12" s="53" t="n">
        <f aca="false">AQ12/AG49</f>
        <v>0.0830559238366164</v>
      </c>
      <c r="AT12" s="53" t="n">
        <f aca="false">AR12/AG49</f>
        <v>0.0691909936027612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0.0151159457859463</v>
      </c>
      <c r="BJ12" s="2" t="n">
        <f aca="false">BJ11+1</f>
        <v>2023</v>
      </c>
      <c r="BK12" s="51" t="n">
        <f aca="false">SUM(T46:T49)/AVERAGE(AG46:AG49)</f>
        <v>0.0485324260606565</v>
      </c>
      <c r="BL12" s="51" t="n">
        <f aca="false">SUM(P46:P49)/AVERAGE(AG46:AG49)</f>
        <v>0.0156556090942603</v>
      </c>
      <c r="BM12" s="51" t="n">
        <f aca="false">SUM(D46:D49)/AVERAGE(AG46:AG49)</f>
        <v>0.0793241572020823</v>
      </c>
      <c r="BN12" s="51" t="n">
        <f aca="false">(SUM(H46:H49)+SUM(J46:J49))/AVERAGE(AG46:AG49)</f>
        <v>0.00230945506962077</v>
      </c>
      <c r="BO12" s="52" t="n">
        <f aca="false">AL12-BN12</f>
        <v>-0.0487567953053068</v>
      </c>
      <c r="BP12" s="31" t="n">
        <f aca="false">BN12+BM12</f>
        <v>0.081633612271703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-0.0450131228504988</v>
      </c>
      <c r="AM13" s="13" t="n">
        <f aca="false">'Central scenario'!AM13</f>
        <v>14900507.1403892</v>
      </c>
      <c r="AN13" s="59" t="n">
        <f aca="false">AM13/AVERAGE(AG50:AG53)</f>
        <v>0.00254219017786642</v>
      </c>
      <c r="AO13" s="59" t="n">
        <f aca="false">'GDP evolution by scenario'!M49</f>
        <v>0.0380517370841205</v>
      </c>
      <c r="AP13" s="59"/>
      <c r="AQ13" s="13" t="n">
        <f aca="false">AQ12*(1+AO13)</f>
        <v>483660379.464336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387761969.2655</v>
      </c>
      <c r="AS13" s="60" t="n">
        <f aca="false">AQ13/AG53</f>
        <v>0.0832086963508164</v>
      </c>
      <c r="AT13" s="60" t="n">
        <f aca="false">AR13/AG53</f>
        <v>0.0667103805210218</v>
      </c>
      <c r="BI13" s="31" t="n">
        <f aca="false">T20/AG20</f>
        <v>0.0144380163498973</v>
      </c>
      <c r="BJ13" s="0" t="n">
        <f aca="false">BJ12+1</f>
        <v>2024</v>
      </c>
      <c r="BK13" s="31" t="n">
        <f aca="false">SUM(T50:T53)/AVERAGE(AG50:AG53)</f>
        <v>0.0489491821194383</v>
      </c>
      <c r="BL13" s="31" t="n">
        <f aca="false">SUM(P50:P53)/AVERAGE(AG50:AG53)</f>
        <v>0.0152855968696857</v>
      </c>
      <c r="BM13" s="31" t="n">
        <f aca="false">SUM(D50:D53)/AVERAGE(AG50:AG53)</f>
        <v>0.0786767081002513</v>
      </c>
      <c r="BN13" s="31" t="n">
        <f aca="false">(SUM(H50:H53)+SUM(J50:J53))/AVERAGE(AG50:AG53)</f>
        <v>0.00258438846775012</v>
      </c>
      <c r="BO13" s="59" t="n">
        <f aca="false">AL13-BN13</f>
        <v>-0.0475975113182489</v>
      </c>
      <c r="BP13" s="31" t="n">
        <f aca="false">BN13+BM13</f>
        <v>0.0812610965680014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3" t="n">
        <f aca="false">'High pensions'!Q14</f>
        <v>93656358.855066</v>
      </c>
      <c r="E14" s="64"/>
      <c r="F14" s="83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3" t="n">
        <f aca="false">'High pensions'!N14</f>
        <v>2735454.99361358</v>
      </c>
      <c r="M14" s="8"/>
      <c r="N14" s="83" t="n">
        <f aca="false">'High pensions'!L14</f>
        <v>691939.443819597</v>
      </c>
      <c r="O14" s="6"/>
      <c r="P14" s="83" t="n">
        <f aca="false">'High pensions'!X14</f>
        <v>18001135.6304208</v>
      </c>
      <c r="Q14" s="8"/>
      <c r="R14" s="83" t="n">
        <f aca="false">'High SIPA income'!G9</f>
        <v>17909219.7770895</v>
      </c>
      <c r="S14" s="8"/>
      <c r="T14" s="83" t="n">
        <f aca="false">'High SIPA income'!J9</f>
        <v>68477454.0402253</v>
      </c>
      <c r="U14" s="6"/>
      <c r="V14" s="83" t="n">
        <f aca="false">'High SIPA income'!F9</f>
        <v>135449.214417351</v>
      </c>
      <c r="W14" s="8"/>
      <c r="X14" s="83" t="n">
        <f aca="false">'High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50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61" t="n">
        <f aca="false">AB14/AG14</f>
        <v>-0.0087965182237194</v>
      </c>
      <c r="AK14" s="62" t="n">
        <f aca="false">AK13+1</f>
        <v>2025</v>
      </c>
      <c r="AL14" s="63" t="n">
        <f aca="false">SUM(AB54:AB57)/AVERAGE(AG54:AG57)</f>
        <v>-0.0440685615047917</v>
      </c>
      <c r="AM14" s="6" t="n">
        <f aca="false">'Central scenario'!AM14</f>
        <v>13946867.9480024</v>
      </c>
      <c r="AN14" s="63" t="n">
        <f aca="false">AM14/AVERAGE(AG54:AG57)</f>
        <v>0.00233497694197669</v>
      </c>
      <c r="AO14" s="63" t="n">
        <f aca="false">'GDP evolution by scenario'!M53</f>
        <v>0.0190631070365317</v>
      </c>
      <c r="AP14" s="63"/>
      <c r="AQ14" s="6" t="n">
        <f aca="false">AQ13*(1+AO14)</f>
        <v>492880449.047394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381085607.344024</v>
      </c>
      <c r="AS14" s="64" t="n">
        <f aca="false">AQ14/AG57</f>
        <v>0.0817449813157031</v>
      </c>
      <c r="AT14" s="64" t="n">
        <f aca="false">AR14/AG57</f>
        <v>0.0632036346993044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0.0169850745786388</v>
      </c>
      <c r="BJ14" s="5" t="n">
        <f aca="false">BJ13+1</f>
        <v>2025</v>
      </c>
      <c r="BK14" s="61" t="n">
        <f aca="false">SUM(T54:T57)/AVERAGE(AG54:AG57)</f>
        <v>0.0500376224644636</v>
      </c>
      <c r="BL14" s="61" t="n">
        <f aca="false">SUM(P54:P57)/AVERAGE(AG54:AG57)</f>
        <v>0.0150114139142942</v>
      </c>
      <c r="BM14" s="61" t="n">
        <f aca="false">SUM(D54:D57)/AVERAGE(AG54:AG57)</f>
        <v>0.079094770054961</v>
      </c>
      <c r="BN14" s="61" t="n">
        <f aca="false">(SUM(H54:H57)+SUM(J54:J57))/AVERAGE(AG54:AG57)</f>
        <v>0.00348910063548691</v>
      </c>
      <c r="BO14" s="63" t="n">
        <f aca="false">AL14-BN14</f>
        <v>-0.0475576621402786</v>
      </c>
      <c r="BP14" s="31" t="n">
        <f aca="false">BN14+BM14</f>
        <v>0.0825838706904479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4" t="n">
        <f aca="false">'High pensions'!Q15</f>
        <v>107958694.759278</v>
      </c>
      <c r="E15" s="9"/>
      <c r="F15" s="84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4" t="n">
        <f aca="false">'High pensions'!N15</f>
        <v>2478245.90902603</v>
      </c>
      <c r="M15" s="67"/>
      <c r="N15" s="84" t="n">
        <f aca="false">'High pensions'!L15</f>
        <v>799976.431236599</v>
      </c>
      <c r="O15" s="9"/>
      <c r="P15" s="84" t="n">
        <f aca="false">'High pensions'!X15</f>
        <v>17260864.0964791</v>
      </c>
      <c r="Q15" s="67"/>
      <c r="R15" s="84" t="n">
        <f aca="false">'High SIPA income'!G10</f>
        <v>22054908.218739</v>
      </c>
      <c r="S15" s="67"/>
      <c r="T15" s="84" t="n">
        <f aca="false">'High SIPA income'!J10</f>
        <v>84328853.1107371</v>
      </c>
      <c r="U15" s="9"/>
      <c r="V15" s="84" t="n">
        <f aca="false">'High SIPA income'!F10</f>
        <v>151084.142402353</v>
      </c>
      <c r="W15" s="67"/>
      <c r="X15" s="84" t="n">
        <f aca="false">'High SIPA income'!M10</f>
        <v>379479.806947783</v>
      </c>
      <c r="Y15" s="9"/>
      <c r="Z15" s="9" t="n">
        <f aca="false">R15+V15-N15-L15-F15</f>
        <v>-695000.682982121</v>
      </c>
      <c r="AA15" s="9"/>
      <c r="AB15" s="9" t="n">
        <f aca="false">T15-P15-D15</f>
        <v>-40890705.7450204</v>
      </c>
      <c r="AC15" s="50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39" t="n">
        <f aca="false">AB15/AG15</f>
        <v>-0.00708271771352853</v>
      </c>
      <c r="AK15" s="68" t="n">
        <f aca="false">AK14+1</f>
        <v>2026</v>
      </c>
      <c r="AL15" s="69" t="n">
        <f aca="false">SUM(AB58:AB61)/AVERAGE(AG58:AG61)</f>
        <v>-0.0425541908621744</v>
      </c>
      <c r="AM15" s="9" t="n">
        <f aca="false">'Central scenario'!AM15</f>
        <v>13032040.9288315</v>
      </c>
      <c r="AN15" s="69" t="n">
        <f aca="false">AM15/AVERAGE(AG58:AG61)</f>
        <v>0.00209944353907361</v>
      </c>
      <c r="AO15" s="69" t="n">
        <f aca="false">'GDP evolution by scenario'!M57</f>
        <v>0.0392359052425686</v>
      </c>
      <c r="AP15" s="69"/>
      <c r="AQ15" s="9" t="n">
        <f aca="false">AQ14*(1+AO15)</f>
        <v>512219059.642132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382773076.857424</v>
      </c>
      <c r="AS15" s="70" t="n">
        <f aca="false">AQ15/AG61</f>
        <v>0.0814331682915831</v>
      </c>
      <c r="AT15" s="70" t="n">
        <f aca="false">AR15/AG61</f>
        <v>0.0608536988197888</v>
      </c>
      <c r="AU15" s="7"/>
      <c r="AV15" s="7"/>
      <c r="AW15" s="7" t="n">
        <f aca="false">workers_and_wage_high!C3</f>
        <v>11021763</v>
      </c>
      <c r="AX15" s="7"/>
      <c r="AY15" s="39" t="n">
        <f aca="false">(AW15-AW14)/AW14</f>
        <v>0.00983700612713592</v>
      </c>
      <c r="AZ15" s="12" t="n">
        <f aca="false">workers_and_wage_high!B3</f>
        <v>6778.90225184158</v>
      </c>
      <c r="BA15" s="39" t="n">
        <f aca="false">(AZ15-AZ14)/AZ14</f>
        <v>0.0567615243741836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0.014942438673609</v>
      </c>
      <c r="BJ15" s="7" t="n">
        <f aca="false">BJ14+1</f>
        <v>2026</v>
      </c>
      <c r="BK15" s="39" t="n">
        <f aca="false">SUM(T58:T61)/AVERAGE(AG58:AG61)</f>
        <v>0.0502386134940241</v>
      </c>
      <c r="BL15" s="39" t="n">
        <f aca="false">SUM(P58:P61)/AVERAGE(AG58:AG61)</f>
        <v>0.0146323100832044</v>
      </c>
      <c r="BM15" s="39" t="n">
        <f aca="false">SUM(D58:D61)/AVERAGE(AG58:AG61)</f>
        <v>0.0781604942729941</v>
      </c>
      <c r="BN15" s="39" t="n">
        <f aca="false">(SUM(H58:H61)+SUM(J58:J61))/AVERAGE(AG58:AG61)</f>
        <v>0.00454358235633353</v>
      </c>
      <c r="BO15" s="69" t="n">
        <f aca="false">AL15-BN15</f>
        <v>-0.047097773218508</v>
      </c>
      <c r="BP15" s="31" t="n">
        <f aca="false">BN15+BM15</f>
        <v>0.0827040766293276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4" t="n">
        <f aca="false">'High pensions'!Q16</f>
        <v>104676876.044301</v>
      </c>
      <c r="E16" s="9"/>
      <c r="F16" s="84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4" t="n">
        <f aca="false">'High pensions'!N16</f>
        <v>2919136.76234831</v>
      </c>
      <c r="M16" s="67"/>
      <c r="N16" s="84" t="n">
        <f aca="false">'High pensions'!L16</f>
        <v>777485.531692199</v>
      </c>
      <c r="O16" s="9"/>
      <c r="P16" s="84" t="n">
        <f aca="false">'High pensions'!X16</f>
        <v>19424910.5368703</v>
      </c>
      <c r="Q16" s="67"/>
      <c r="R16" s="84" t="n">
        <f aca="false">'High SIPA income'!G11</f>
        <v>20136935.0845649</v>
      </c>
      <c r="S16" s="67"/>
      <c r="T16" s="84" t="n">
        <f aca="false">'High SIPA income'!J11</f>
        <v>76995316.5982303</v>
      </c>
      <c r="U16" s="9"/>
      <c r="V16" s="84" t="n">
        <f aca="false">'High SIPA income'!F11</f>
        <v>149343.027816335</v>
      </c>
      <c r="W16" s="67"/>
      <c r="X16" s="84" t="n">
        <f aca="false">'High SIPA income'!M11</f>
        <v>375106.62908497</v>
      </c>
      <c r="Y16" s="9"/>
      <c r="Z16" s="9" t="n">
        <f aca="false">R16+V16-N16-L16-F16</f>
        <v>-2436605.48644641</v>
      </c>
      <c r="AA16" s="9"/>
      <c r="AB16" s="9" t="n">
        <f aca="false">T16-P16-D16</f>
        <v>-47106469.982941</v>
      </c>
      <c r="AC16" s="50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39" t="n">
        <f aca="false">AB16/AG16</f>
        <v>-0.00898808908547752</v>
      </c>
      <c r="AK16" s="68" t="n">
        <f aca="false">AK15+1</f>
        <v>2027</v>
      </c>
      <c r="AL16" s="69" t="n">
        <f aca="false">SUM(AB62:AB65)/AVERAGE(AG62:AG65)</f>
        <v>-0.0397386665667918</v>
      </c>
      <c r="AM16" s="9" t="n">
        <f aca="false">'Central scenario'!AM16</f>
        <v>12139889.4651339</v>
      </c>
      <c r="AN16" s="69" t="n">
        <f aca="false">AM16/AVERAGE(AG62:AG65)</f>
        <v>0.00188646358251832</v>
      </c>
      <c r="AO16" s="69" t="n">
        <f aca="false">'GDP evolution by scenario'!M61</f>
        <v>0.0367118698032436</v>
      </c>
      <c r="AP16" s="69"/>
      <c r="AQ16" s="9" t="n">
        <f aca="false">AQ15*(1+AO16)</f>
        <v>531023579.070454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384482563.365016</v>
      </c>
      <c r="AS16" s="70" t="n">
        <f aca="false">AQ16/AG65</f>
        <v>0.0813904672512836</v>
      </c>
      <c r="AT16" s="70" t="n">
        <f aca="false">AR16/AG65</f>
        <v>0.0589299924064163</v>
      </c>
      <c r="AU16" s="7"/>
      <c r="AV16" s="7"/>
      <c r="AW16" s="7" t="n">
        <f aca="false">workers_and_wage_high!C4</f>
        <v>11059493</v>
      </c>
      <c r="AX16" s="7"/>
      <c r="AY16" s="39" t="n">
        <f aca="false">(AW16-AW15)/AW15</f>
        <v>0.00342322730038742</v>
      </c>
      <c r="AZ16" s="12" t="n">
        <f aca="false">workers_and_wage_high!B4</f>
        <v>7092.02100217064</v>
      </c>
      <c r="BA16" s="39" t="n">
        <f aca="false">(AZ16-AZ15)/AZ15</f>
        <v>0.0461901851799082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0.0156547658302901</v>
      </c>
      <c r="BJ16" s="7" t="n">
        <f aca="false">BJ15+1</f>
        <v>2027</v>
      </c>
      <c r="BK16" s="39" t="n">
        <f aca="false">SUM(T62:T65)/AVERAGE(AG62:AG65)</f>
        <v>0.050722553197766</v>
      </c>
      <c r="BL16" s="39" t="n">
        <f aca="false">SUM(P62:P65)/AVERAGE(AG62:AG65)</f>
        <v>0.0140193604029038</v>
      </c>
      <c r="BM16" s="39" t="n">
        <f aca="false">SUM(D62:D65)/AVERAGE(AG62:AG65)</f>
        <v>0.0764418593616539</v>
      </c>
      <c r="BN16" s="39" t="n">
        <f aca="false">(SUM(H62:H65)+SUM(J62:J65))/AVERAGE(AG62:AG65)</f>
        <v>0.00525567496376153</v>
      </c>
      <c r="BO16" s="69" t="n">
        <f aca="false">AL16-BN16</f>
        <v>-0.0449943415305533</v>
      </c>
      <c r="BP16" s="31" t="n">
        <f aca="false">BN16+BM16</f>
        <v>0.0816975343254155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4" t="n">
        <f aca="false">'High pensions'!Q17</f>
        <v>113223147.986281</v>
      </c>
      <c r="E17" s="9"/>
      <c r="F17" s="84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4" t="n">
        <f aca="false">'High pensions'!N17</f>
        <v>2757062.56989139</v>
      </c>
      <c r="M17" s="67"/>
      <c r="N17" s="84" t="n">
        <f aca="false">'High pensions'!L17</f>
        <v>842157.0006628</v>
      </c>
      <c r="O17" s="9"/>
      <c r="P17" s="84" t="n">
        <f aca="false">'High pensions'!X17</f>
        <v>18939710.1228511</v>
      </c>
      <c r="Q17" s="67"/>
      <c r="R17" s="84" t="n">
        <f aca="false">'High SIPA income'!G12</f>
        <v>23620050.0418994</v>
      </c>
      <c r="S17" s="67"/>
      <c r="T17" s="84" t="n">
        <f aca="false">'High SIPA income'!J12</f>
        <v>90313308.5250934</v>
      </c>
      <c r="U17" s="9"/>
      <c r="V17" s="84" t="n">
        <f aca="false">'High SIPA income'!F12</f>
        <v>146563.952510206</v>
      </c>
      <c r="W17" s="67"/>
      <c r="X17" s="84" t="n">
        <f aca="false">'High SIPA income'!M12</f>
        <v>368126.393145617</v>
      </c>
      <c r="Y17" s="9"/>
      <c r="Z17" s="9" t="n">
        <f aca="false">R17+V17-N17-L17-F17</f>
        <v>-412252.970530532</v>
      </c>
      <c r="AA17" s="9"/>
      <c r="AB17" s="9" t="n">
        <f aca="false">T17-P17-D17</f>
        <v>-41849549.5840384</v>
      </c>
      <c r="AC17" s="50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39" t="n">
        <f aca="false">AB17/AG17</f>
        <v>-0.00815071999880756</v>
      </c>
      <c r="AK17" s="68" t="n">
        <f aca="false">AK16+1</f>
        <v>2028</v>
      </c>
      <c r="AL17" s="69" t="n">
        <f aca="false">SUM(AB66:AB69)/AVERAGE(AG66:AG69)</f>
        <v>-0.0374629219755546</v>
      </c>
      <c r="AM17" s="9" t="n">
        <f aca="false">'Central scenario'!AM17</f>
        <v>11273018.6820578</v>
      </c>
      <c r="AN17" s="69" t="n">
        <f aca="false">AM17/AVERAGE(AG66:AG69)</f>
        <v>0.0016986885078835</v>
      </c>
      <c r="AO17" s="69" t="n">
        <f aca="false">'GDP evolution by scenario'!M65</f>
        <v>0.0312409999672441</v>
      </c>
      <c r="AP17" s="69"/>
      <c r="AQ17" s="9" t="n">
        <f aca="false">AQ16*(1+AO17)</f>
        <v>547613286.6868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385060644.98441</v>
      </c>
      <c r="AS17" s="70" t="n">
        <f aca="false">AQ17/AG69</f>
        <v>0.0814033110821551</v>
      </c>
      <c r="AT17" s="70" t="n">
        <f aca="false">AR17/AG69</f>
        <v>0.057239683972622</v>
      </c>
      <c r="AU17" s="7"/>
      <c r="AV17" s="7"/>
      <c r="AW17" s="7" t="n">
        <f aca="false">workers_and_wage_high!C5</f>
        <v>11048388</v>
      </c>
      <c r="AX17" s="7"/>
      <c r="AY17" s="39" t="n">
        <f aca="false">(AW17-AW16)/AW16</f>
        <v>-0.00100411474558553</v>
      </c>
      <c r="AZ17" s="12" t="n">
        <f aca="false">workers_and_wage_high!B5</f>
        <v>7113.98164433727</v>
      </c>
      <c r="BA17" s="39" t="n">
        <f aca="false">(AZ17-AZ16)/AZ16</f>
        <v>0.00309652807851371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0.0149620491778037</v>
      </c>
      <c r="BJ17" s="7" t="n">
        <f aca="false">BJ16+1</f>
        <v>2028</v>
      </c>
      <c r="BK17" s="39" t="n">
        <f aca="false">SUM(T66:T69)/AVERAGE(AG66:AG69)</f>
        <v>0.0511638785488689</v>
      </c>
      <c r="BL17" s="39" t="n">
        <f aca="false">SUM(P66:P69)/AVERAGE(AG66:AG69)</f>
        <v>0.0134188517460341</v>
      </c>
      <c r="BM17" s="39" t="n">
        <f aca="false">SUM(D66:D69)/AVERAGE(AG66:AG69)</f>
        <v>0.0752079487783895</v>
      </c>
      <c r="BN17" s="39" t="n">
        <f aca="false">(SUM(H66:H69)+SUM(J66:J69))/AVERAGE(AG66:AG69)</f>
        <v>0.00614144171173586</v>
      </c>
      <c r="BO17" s="69" t="n">
        <f aca="false">AL17-BN17</f>
        <v>-0.0436043636872905</v>
      </c>
      <c r="BP17" s="31" t="n">
        <f aca="false">BN17+BM17</f>
        <v>0.0813493904901253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3" t="n">
        <f aca="false">'High pensions'!Q18</f>
        <v>99367076.7664316</v>
      </c>
      <c r="E18" s="6"/>
      <c r="F18" s="83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3" t="n">
        <f aca="false">'High pensions'!N18</f>
        <v>2795658.97722293</v>
      </c>
      <c r="M18" s="8"/>
      <c r="N18" s="83" t="n">
        <f aca="false">'High pensions'!L18</f>
        <v>737510.400040299</v>
      </c>
      <c r="O18" s="6"/>
      <c r="P18" s="83" t="n">
        <f aca="false">'High pensions'!X18</f>
        <v>18564252.3430879</v>
      </c>
      <c r="Q18" s="8"/>
      <c r="R18" s="83" t="n">
        <f aca="false">'High SIPA income'!G13</f>
        <v>19233054.6593063</v>
      </c>
      <c r="S18" s="8"/>
      <c r="T18" s="83" t="n">
        <f aca="false">'High SIPA income'!J13</f>
        <v>73539251.4514011</v>
      </c>
      <c r="U18" s="6"/>
      <c r="V18" s="83" t="n">
        <f aca="false">'High SIPA income'!F13</f>
        <v>140377.525227439</v>
      </c>
      <c r="W18" s="8"/>
      <c r="X18" s="83" t="n">
        <f aca="false">'High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50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61" t="n">
        <f aca="false">AB18/AG18</f>
        <v>-0.00897800900484787</v>
      </c>
      <c r="AK18" s="62" t="n">
        <f aca="false">AK17+1</f>
        <v>2029</v>
      </c>
      <c r="AL18" s="63" t="n">
        <f aca="false">SUM(AB70:AB73)/AVERAGE(AG70:AG73)</f>
        <v>-0.0344015588675075</v>
      </c>
      <c r="AM18" s="6" t="n">
        <f aca="false">'Central scenario'!AM18</f>
        <v>10452476.7322336</v>
      </c>
      <c r="AN18" s="63" t="n">
        <f aca="false">AM18/AVERAGE(AG70:AG73)</f>
        <v>0.00152104750060356</v>
      </c>
      <c r="AO18" s="63" t="n">
        <f aca="false">'GDP evolution by scenario'!M69</f>
        <v>0.0354996456333674</v>
      </c>
      <c r="AP18" s="63"/>
      <c r="AQ18" s="6" t="n">
        <f aca="false">AQ17*(1+AO18)</f>
        <v>567053364.308305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388108687.04567</v>
      </c>
      <c r="AS18" s="64" t="n">
        <f aca="false">AQ18/AG73</f>
        <v>0.0815744935898952</v>
      </c>
      <c r="AT18" s="64" t="n">
        <f aca="false">AR18/AG73</f>
        <v>0.0558320814165496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-0.0574130869968753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0.017607976005834</v>
      </c>
      <c r="BJ18" s="5" t="n">
        <f aca="false">BJ17+1</f>
        <v>2029</v>
      </c>
      <c r="BK18" s="61" t="n">
        <f aca="false">SUM(T70:T73)/AVERAGE(AG70:AG73)</f>
        <v>0.0515216881098285</v>
      </c>
      <c r="BL18" s="61" t="n">
        <f aca="false">SUM(P70:P73)/AVERAGE(AG70:AG73)</f>
        <v>0.0127224660104429</v>
      </c>
      <c r="BM18" s="61" t="n">
        <f aca="false">SUM(D70:D73)/AVERAGE(AG70:AG73)</f>
        <v>0.073200780966893</v>
      </c>
      <c r="BN18" s="61" t="n">
        <f aca="false">(SUM(H70:H73)+SUM(J70:J73))/AVERAGE(AG70:AG73)</f>
        <v>0.00673807022732505</v>
      </c>
      <c r="BO18" s="63" t="n">
        <f aca="false">AL18-BN18</f>
        <v>-0.0411396290948325</v>
      </c>
      <c r="BP18" s="31" t="n">
        <f aca="false">BN18+BM18</f>
        <v>0.0799388511942181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4" t="n">
        <f aca="false">'High pensions'!Q19</f>
        <v>102439962.15979</v>
      </c>
      <c r="E19" s="9"/>
      <c r="F19" s="84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4" t="n">
        <f aca="false">'High pensions'!N19</f>
        <v>2828183.68633319</v>
      </c>
      <c r="M19" s="67"/>
      <c r="N19" s="84" t="n">
        <f aca="false">'High pensions'!L19</f>
        <v>762298.459394898</v>
      </c>
      <c r="O19" s="9"/>
      <c r="P19" s="84" t="n">
        <f aca="false">'High pensions'!X19</f>
        <v>18869399.8021861</v>
      </c>
      <c r="Q19" s="67"/>
      <c r="R19" s="84" t="n">
        <f aca="false">'High SIPA income'!G14</f>
        <v>21943117.5095874</v>
      </c>
      <c r="S19" s="67"/>
      <c r="T19" s="84" t="n">
        <f aca="false">'High SIPA income'!J14</f>
        <v>83901411.6452054</v>
      </c>
      <c r="U19" s="9"/>
      <c r="V19" s="84" t="n">
        <f aca="false">'High SIPA income'!F14</f>
        <v>141764.810127232</v>
      </c>
      <c r="W19" s="67"/>
      <c r="X19" s="84" t="n">
        <f aca="false">'High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50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39" t="n">
        <f aca="false">AB19/AG19</f>
        <v>-0.00673953557948259</v>
      </c>
      <c r="AK19" s="68" t="n">
        <f aca="false">AK18+1</f>
        <v>2030</v>
      </c>
      <c r="AL19" s="69" t="n">
        <f aca="false">SUM(AB74:AB77)/AVERAGE(AG74:AG77)</f>
        <v>-0.0319993260386157</v>
      </c>
      <c r="AM19" s="9" t="n">
        <f aca="false">'Central scenario'!AM19</f>
        <v>9649081.86791266</v>
      </c>
      <c r="AN19" s="69" t="n">
        <f aca="false">AM19/AVERAGE(AG74:AG77)</f>
        <v>0.00136287759857811</v>
      </c>
      <c r="AO19" s="69" t="n">
        <f aca="false">'GDP evolution by scenario'!M73</f>
        <v>0.0302739176113336</v>
      </c>
      <c r="AP19" s="69"/>
      <c r="AQ19" s="9" t="n">
        <f aca="false">AQ18*(1+AO19)</f>
        <v>584220291.140604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390076010.287464</v>
      </c>
      <c r="AS19" s="70" t="n">
        <f aca="false">AQ19/AG77</f>
        <v>0.081441626024769</v>
      </c>
      <c r="AT19" s="70" t="n">
        <f aca="false">AR19/AG77</f>
        <v>0.0543774754708406</v>
      </c>
      <c r="AU19" s="7"/>
      <c r="AV19" s="7"/>
      <c r="AW19" s="7" t="n">
        <f aca="false">workers_and_wage_high!C7</f>
        <v>11128156</v>
      </c>
      <c r="AX19" s="7"/>
      <c r="AY19" s="39" t="n">
        <f aca="false">(AW19-AW18)/AW18</f>
        <v>0.0057534472647062</v>
      </c>
      <c r="AZ19" s="12" t="n">
        <f aca="false">workers_and_wage_high!B7</f>
        <v>6521.17321865806</v>
      </c>
      <c r="BA19" s="39" t="n">
        <f aca="false">(AZ19-AZ18)/AZ18</f>
        <v>-0.0274955654189871</v>
      </c>
      <c r="BB19" s="12" t="n"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0.0144384137516407</v>
      </c>
      <c r="BJ19" s="7" t="n">
        <f aca="false">BJ18+1</f>
        <v>2030</v>
      </c>
      <c r="BK19" s="39" t="n">
        <f aca="false">SUM(T74:T77)/AVERAGE(AG74:AG77)</f>
        <v>0.0521407023279702</v>
      </c>
      <c r="BL19" s="39" t="n">
        <f aca="false">SUM(P74:P77)/AVERAGE(AG74:AG77)</f>
        <v>0.0122060476933067</v>
      </c>
      <c r="BM19" s="39" t="n">
        <f aca="false">SUM(D74:D77)/AVERAGE(AG74:AG77)</f>
        <v>0.0719339806732792</v>
      </c>
      <c r="BN19" s="39" t="n">
        <f aca="false">(SUM(H74:H77)+SUM(J74:J77))/AVERAGE(AG74:AG77)</f>
        <v>0.00718515694767645</v>
      </c>
      <c r="BO19" s="69" t="n">
        <f aca="false">AL19-BN19</f>
        <v>-0.0391844829862921</v>
      </c>
      <c r="BP19" s="31" t="n">
        <f aca="false">BN19+BM19</f>
        <v>0.0791191376209557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4" t="n">
        <f aca="false">'High pensions'!Q20</f>
        <v>97784354.1565613</v>
      </c>
      <c r="E20" s="9"/>
      <c r="F20" s="84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4" t="n">
        <f aca="false">'High pensions'!N20</f>
        <v>2477813.00409058</v>
      </c>
      <c r="M20" s="67"/>
      <c r="N20" s="84" t="n">
        <f aca="false">'High pensions'!L20</f>
        <v>730249.346840899</v>
      </c>
      <c r="O20" s="9"/>
      <c r="P20" s="84" t="n">
        <f aca="false">'High pensions'!X20</f>
        <v>16874999.9051819</v>
      </c>
      <c r="Q20" s="67"/>
      <c r="R20" s="84" t="n">
        <f aca="false">'High SIPA income'!G15</f>
        <v>19131719.0897982</v>
      </c>
      <c r="S20" s="67"/>
      <c r="T20" s="84" t="n">
        <f aca="false">'High SIPA income'!J15</f>
        <v>73151786.118461</v>
      </c>
      <c r="U20" s="9"/>
      <c r="V20" s="84" t="n">
        <f aca="false">'High SIPA income'!F15</f>
        <v>144189.0349691</v>
      </c>
      <c r="W20" s="67"/>
      <c r="X20" s="84" t="n">
        <f aca="false">'High SIPA income'!M15</f>
        <v>362161.284990085</v>
      </c>
      <c r="Y20" s="9"/>
      <c r="Z20" s="9" t="n">
        <f aca="false">R20+V20-N20-L20-F20</f>
        <v>-1705618.08952205</v>
      </c>
      <c r="AA20" s="9"/>
      <c r="AB20" s="9" t="n">
        <f aca="false">T20-P20-D20</f>
        <v>-41507567.9432822</v>
      </c>
      <c r="AC20" s="50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39" t="n">
        <f aca="false">AB20/AG20</f>
        <v>-0.0081923761046532</v>
      </c>
      <c r="AK20" s="68" t="n">
        <f aca="false">AK19+1</f>
        <v>2031</v>
      </c>
      <c r="AL20" s="69" t="n">
        <f aca="false">SUM(AB78:AB81)/AVERAGE(AG78:AG81)</f>
        <v>-0.030218419478595</v>
      </c>
      <c r="AM20" s="9" t="n">
        <f aca="false">'Central scenario'!AM20</f>
        <v>8873587.4679367</v>
      </c>
      <c r="AN20" s="69" t="n">
        <f aca="false">AM20/AVERAGE(AG78:AG81)</f>
        <v>0.00121926924705435</v>
      </c>
      <c r="AO20" s="69" t="n">
        <f aca="false">'GDP evolution by scenario'!M77</f>
        <v>0.0279464156477895</v>
      </c>
      <c r="AP20" s="69"/>
      <c r="AQ20" s="9" t="n">
        <f aca="false">AQ19*(1+AO20)</f>
        <v>600547154.226692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391990555.001099</v>
      </c>
      <c r="AS20" s="70" t="n">
        <f aca="false">AQ20/AG81</f>
        <v>0.0817969091077467</v>
      </c>
      <c r="AT20" s="70" t="n">
        <f aca="false">AR20/AG81</f>
        <v>0.0533906714449552</v>
      </c>
      <c r="AU20" s="7"/>
      <c r="AV20" s="7"/>
      <c r="AW20" s="7" t="n">
        <f aca="false">workers_and_wage_high!C8</f>
        <v>11235296</v>
      </c>
      <c r="AX20" s="7"/>
      <c r="AY20" s="39" t="n">
        <f aca="false">(AW20-AW19)/AW19</f>
        <v>0.00962783052286471</v>
      </c>
      <c r="AZ20" s="12" t="n">
        <f aca="false">workers_and_wage_high!B8</f>
        <v>6554.01964535573</v>
      </c>
      <c r="BA20" s="39" t="n">
        <f aca="false">(AZ20-AZ19)/AZ19</f>
        <v>0.00503688916032643</v>
      </c>
      <c r="BB20" s="12" t="n"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0.0155179706558216</v>
      </c>
      <c r="BJ20" s="7" t="n">
        <f aca="false">BJ19+1</f>
        <v>2031</v>
      </c>
      <c r="BK20" s="39" t="n">
        <f aca="false">SUM(T78:T81)/AVERAGE(AG78:AG81)</f>
        <v>0.0525607526689669</v>
      </c>
      <c r="BL20" s="39" t="n">
        <f aca="false">SUM(P78:P81)/AVERAGE(AG78:AG81)</f>
        <v>0.0116517148128248</v>
      </c>
      <c r="BM20" s="39" t="n">
        <f aca="false">SUM(D78:D81)/AVERAGE(AG78:AG81)</f>
        <v>0.0711274573347372</v>
      </c>
      <c r="BN20" s="39" t="n">
        <f aca="false">(SUM(H78:H81)+SUM(J78:J81))/AVERAGE(AG78:AG81)</f>
        <v>0.00764029990548947</v>
      </c>
      <c r="BO20" s="69" t="n">
        <f aca="false">AL20-BN20</f>
        <v>-0.0378587193840845</v>
      </c>
      <c r="BP20" s="31" t="n">
        <f aca="false">BN20+BM20</f>
        <v>0.0787677572402267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4" t="n">
        <f aca="false">'High pensions'!Q21</f>
        <v>106824539.398652</v>
      </c>
      <c r="E21" s="9"/>
      <c r="F21" s="84" t="n">
        <f aca="false">'High pensions'!I21</f>
        <v>19416624.5418147</v>
      </c>
      <c r="G21" s="84" t="n">
        <f aca="false">'High pensions'!K21</f>
        <v>36324.8440125154</v>
      </c>
      <c r="H21" s="84" t="n">
        <f aca="false">'High pensions'!V21</f>
        <v>199848.574195181</v>
      </c>
      <c r="I21" s="85" t="n">
        <f aca="false">'High pensions'!M21</f>
        <v>1123.4487838923</v>
      </c>
      <c r="J21" s="84" t="n">
        <f aca="false">'High pensions'!W21</f>
        <v>6180.88373799569</v>
      </c>
      <c r="K21" s="9"/>
      <c r="L21" s="84" t="n">
        <f aca="false">'High pensions'!N21</f>
        <v>3910348.4398605</v>
      </c>
      <c r="M21" s="67"/>
      <c r="N21" s="84" t="n">
        <f aca="false">'High pensions'!L21</f>
        <v>800543.016671509</v>
      </c>
      <c r="O21" s="9"/>
      <c r="P21" s="84" t="n">
        <f aca="false">'High pensions'!X21</f>
        <v>24695168.1228014</v>
      </c>
      <c r="Q21" s="67"/>
      <c r="R21" s="84" t="n">
        <f aca="false">'High SIPA income'!G16</f>
        <v>22467624.3804735</v>
      </c>
      <c r="S21" s="67"/>
      <c r="T21" s="84" t="n">
        <f aca="false">'High SIPA income'!J16</f>
        <v>85906909.1259406</v>
      </c>
      <c r="U21" s="9"/>
      <c r="V21" s="84" t="n">
        <f aca="false">'High SIPA income'!F16</f>
        <v>151268.17202623</v>
      </c>
      <c r="W21" s="67"/>
      <c r="X21" s="84" t="n">
        <f aca="false">'High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-45612798.3955123</v>
      </c>
      <c r="AC21" s="50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39" t="n">
        <f aca="false">AB21/AG21</f>
        <v>-0.00901832914687247</v>
      </c>
      <c r="AK21" s="68" t="n">
        <f aca="false">AK20+1</f>
        <v>2032</v>
      </c>
      <c r="AL21" s="69" t="n">
        <f aca="false">SUM(AB82:AB85)/AVERAGE(AG82:AG85)</f>
        <v>-0.0278552664692163</v>
      </c>
      <c r="AM21" s="9" t="n">
        <f aca="false">'Central scenario'!AM21</f>
        <v>8126011.66426731</v>
      </c>
      <c r="AN21" s="69" t="n">
        <f aca="false">AM21/AVERAGE(AG82:AG85)</f>
        <v>0.00108695233932178</v>
      </c>
      <c r="AO21" s="69" t="n">
        <f aca="false">'GDP evolution by scenario'!M81</f>
        <v>0.0272291269140712</v>
      </c>
      <c r="AP21" s="69"/>
      <c r="AQ21" s="9" t="n">
        <f aca="false">AQ20*(1+AO21)</f>
        <v>616899528.907015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394437183.057884</v>
      </c>
      <c r="AS21" s="70" t="n">
        <f aca="false">AQ21/AG85</f>
        <v>0.0816205982100856</v>
      </c>
      <c r="AT21" s="70" t="n">
        <f aca="false">AR21/AG85</f>
        <v>0.052187102322035</v>
      </c>
      <c r="AW21" s="7" t="n">
        <f aca="false">workers_and_wage_high!C9</f>
        <v>11156745</v>
      </c>
      <c r="AY21" s="39" t="n">
        <f aca="false">(AW21-AW20)/AW20</f>
        <v>-0.00699144909043785</v>
      </c>
      <c r="AZ21" s="12" t="n">
        <f aca="false">workers_and_wage_high!B9</f>
        <v>6660.1842529205</v>
      </c>
      <c r="BA21" s="39" t="n">
        <f aca="false">(AZ21-AZ20)/AZ20</f>
        <v>0.0161983962986744</v>
      </c>
      <c r="BB21" s="12" t="n"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0.0137121396994825</v>
      </c>
      <c r="BJ21" s="7" t="n">
        <f aca="false">BJ20+1</f>
        <v>2032</v>
      </c>
      <c r="BK21" s="39" t="n">
        <f aca="false">SUM(T82:T85)/AVERAGE(AG82:AG85)</f>
        <v>0.0530541274657291</v>
      </c>
      <c r="BL21" s="39" t="n">
        <f aca="false">SUM(P82:P85)/AVERAGE(AG82:AG85)</f>
        <v>0.0113522781682858</v>
      </c>
      <c r="BM21" s="39" t="n">
        <f aca="false">SUM(D82:D85)/AVERAGE(AG82:AG85)</f>
        <v>0.0695571157666596</v>
      </c>
      <c r="BN21" s="39" t="n">
        <f aca="false">(SUM(H82:H85)+SUM(J82:J85))/AVERAGE(AG82:AG85)</f>
        <v>0.00829098174217779</v>
      </c>
      <c r="BO21" s="69" t="n">
        <f aca="false">AL21-BN21</f>
        <v>-0.0361462482113941</v>
      </c>
      <c r="BP21" s="31" t="n">
        <f aca="false">BN21+BM21</f>
        <v>0.0778480975088373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3" t="n">
        <f aca="false">'High pensions'!Q22</f>
        <v>102020428.177735</v>
      </c>
      <c r="E22" s="6"/>
      <c r="F22" s="83" t="n">
        <f aca="false">'High pensions'!I22</f>
        <v>18543420.4600675</v>
      </c>
      <c r="G22" s="83" t="n">
        <f aca="false">'High pensions'!K22</f>
        <v>66682.1496075563</v>
      </c>
      <c r="H22" s="83" t="n">
        <f aca="false">'High pensions'!V22</f>
        <v>366865.512725902</v>
      </c>
      <c r="I22" s="83" t="n">
        <f aca="false">'High pensions'!M22</f>
        <v>2062.3345239451</v>
      </c>
      <c r="J22" s="83" t="n">
        <f aca="false">'High pensions'!W22</f>
        <v>11346.356063688</v>
      </c>
      <c r="K22" s="6"/>
      <c r="L22" s="83" t="n">
        <f aca="false">'High pensions'!N22</f>
        <v>4299591.36744104</v>
      </c>
      <c r="M22" s="8"/>
      <c r="N22" s="83" t="n">
        <f aca="false">'High pensions'!L22</f>
        <v>765007.80687156</v>
      </c>
      <c r="O22" s="6"/>
      <c r="P22" s="83" t="n">
        <f aca="false">'High pensions'!X22</f>
        <v>26519447.2846624</v>
      </c>
      <c r="Q22" s="8"/>
      <c r="R22" s="83" t="n">
        <f aca="false">'High SIPA income'!G17</f>
        <v>19431210.5031189</v>
      </c>
      <c r="S22" s="8"/>
      <c r="T22" s="83" t="n">
        <f aca="false">'High SIPA income'!J17</f>
        <v>74296917.4947224</v>
      </c>
      <c r="U22" s="6"/>
      <c r="V22" s="83" t="n">
        <f aca="false">'High SIPA income'!F17</f>
        <v>123378.287154311</v>
      </c>
      <c r="W22" s="8"/>
      <c r="X22" s="83" t="n">
        <f aca="false">'High SIPA income'!M17</f>
        <v>309890.686384416</v>
      </c>
      <c r="Y22" s="6"/>
      <c r="Z22" s="6" t="n">
        <f aca="false">R22+V22-N22-L22-F22</f>
        <v>-4053430.84410695</v>
      </c>
      <c r="AA22" s="6"/>
      <c r="AB22" s="6" t="n">
        <f aca="false">T22-P22-D22</f>
        <v>-54242957.9676747</v>
      </c>
      <c r="AC22" s="50"/>
      <c r="AD22" s="6" t="n">
        <f aca="false">'Central scenario'!AD22</f>
        <v>9240877730.99836</v>
      </c>
      <c r="AE22" s="6" t="n">
        <f aca="false">'Central scenario'!AE22</f>
        <v>681444.766110222</v>
      </c>
      <c r="AF22" s="6" t="n">
        <f aca="false">'Central scenario'!AF22</f>
        <v>172.09591728</v>
      </c>
      <c r="AG22" s="6" t="n">
        <f aca="false">'Central scenario'!AG22</f>
        <v>4972208293.2784</v>
      </c>
      <c r="AH22" s="6"/>
      <c r="AI22" s="6"/>
      <c r="AJ22" s="61" t="n">
        <f aca="false">AB22/AG22</f>
        <v>-0.0109092288110702</v>
      </c>
      <c r="AK22" s="62" t="n">
        <f aca="false">AK21+1</f>
        <v>2033</v>
      </c>
      <c r="AL22" s="63" t="n">
        <f aca="false">SUM(AB86:AB89)/AVERAGE(AG86:AG89)</f>
        <v>-0.0255110722386043</v>
      </c>
      <c r="AM22" s="6" t="n">
        <f aca="false">'Central scenario'!AM22</f>
        <v>7406781.38079157</v>
      </c>
      <c r="AN22" s="63" t="n">
        <f aca="false">AM22/AVERAGE(AG86:AG89)</f>
        <v>0.000964451880242222</v>
      </c>
      <c r="AO22" s="63" t="n">
        <f aca="false">'GDP evolution by scenario'!M85</f>
        <v>0.0272638900347915</v>
      </c>
      <c r="AP22" s="63"/>
      <c r="AQ22" s="6" t="n">
        <f aca="false">AQ21*(1+AO22)</f>
        <v>633718609.82565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397692188.403477</v>
      </c>
      <c r="AS22" s="64" t="n">
        <f aca="false">AQ22/AG89</f>
        <v>0.0813900830668501</v>
      </c>
      <c r="AT22" s="64" t="n">
        <f aca="false">AR22/AG89</f>
        <v>0.0510766131013599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0.0125897475493237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0.015337054890751</v>
      </c>
      <c r="BJ22" s="5" t="n">
        <f aca="false">BJ21+1</f>
        <v>2033</v>
      </c>
      <c r="BK22" s="61" t="n">
        <f aca="false">SUM(T86:T89)/AVERAGE(AG86:AG89)</f>
        <v>0.0534669671080362</v>
      </c>
      <c r="BL22" s="61" t="n">
        <f aca="false">SUM(P86:P89)/AVERAGE(AG86:AG89)</f>
        <v>0.0107058532626708</v>
      </c>
      <c r="BM22" s="61" t="n">
        <f aca="false">SUM(D86:D89)/AVERAGE(AG86:AG89)</f>
        <v>0.0682721860839697</v>
      </c>
      <c r="BN22" s="61" t="n">
        <f aca="false">(SUM(H86:H89)+SUM(J86:J89))/AVERAGE(AG86:AG89)</f>
        <v>0.00898775884103448</v>
      </c>
      <c r="BO22" s="63" t="n">
        <f aca="false">AL22-BN22</f>
        <v>-0.0344988310796388</v>
      </c>
      <c r="BP22" s="31" t="n">
        <f aca="false">BN22+BM22</f>
        <v>0.0772599449250042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4" t="n">
        <f aca="false">'High pensions'!Q23</f>
        <v>108855914.208479</v>
      </c>
      <c r="E23" s="9"/>
      <c r="F23" s="84" t="n">
        <f aca="false">'High pensions'!I23</f>
        <v>19785850.9593416</v>
      </c>
      <c r="G23" s="84" t="n">
        <f aca="false">'High pensions'!K23</f>
        <v>102244.218065323</v>
      </c>
      <c r="H23" s="84" t="n">
        <f aca="false">'High pensions'!V23</f>
        <v>562517.520874029</v>
      </c>
      <c r="I23" s="84" t="n">
        <f aca="false">'High pensions'!M23</f>
        <v>3162.192311299</v>
      </c>
      <c r="J23" s="84" t="n">
        <f aca="false">'High pensions'!W23</f>
        <v>17397.4490991987</v>
      </c>
      <c r="K23" s="9"/>
      <c r="L23" s="84" t="n">
        <f aca="false">'High pensions'!N23</f>
        <v>3939404.98436416</v>
      </c>
      <c r="M23" s="67"/>
      <c r="N23" s="84" t="n">
        <f aca="false">'High pensions'!L23</f>
        <v>818497.026508197</v>
      </c>
      <c r="O23" s="9"/>
      <c r="P23" s="84" t="n">
        <f aca="false">'High pensions'!X23</f>
        <v>24944720.335192</v>
      </c>
      <c r="Q23" s="67"/>
      <c r="R23" s="84" t="n">
        <f aca="false">'High SIPA income'!G18</f>
        <v>23254020.5835423</v>
      </c>
      <c r="S23" s="67"/>
      <c r="T23" s="84" t="n">
        <f aca="false">'High SIPA income'!J18</f>
        <v>88913763.1666697</v>
      </c>
      <c r="U23" s="9"/>
      <c r="V23" s="84" t="n">
        <f aca="false">'High SIPA income'!F18</f>
        <v>131002.673091904</v>
      </c>
      <c r="W23" s="67"/>
      <c r="X23" s="84" t="n">
        <f aca="false">'High SIPA income'!M18</f>
        <v>329040.945688189</v>
      </c>
      <c r="Y23" s="9"/>
      <c r="Z23" s="9" t="n">
        <f aca="false">R23+V23-N23-L23-F23</f>
        <v>-1158729.71357976</v>
      </c>
      <c r="AA23" s="9"/>
      <c r="AB23" s="9" t="n">
        <f aca="false">T23-P23-D23</f>
        <v>-44886871.3770016</v>
      </c>
      <c r="AC23" s="50"/>
      <c r="AD23" s="9" t="n">
        <f aca="false">'Central scenario'!AD23</f>
        <v>10558208304.6431</v>
      </c>
      <c r="AE23" s="9" t="n">
        <f aca="false">'Central scenario'!AE23</f>
        <v>778401.676449317</v>
      </c>
      <c r="AF23" s="9" t="n">
        <f aca="false">'Central scenario'!AF23</f>
        <v>183.45579241</v>
      </c>
      <c r="AG23" s="9" t="n">
        <f aca="false">'Central scenario'!AG23</f>
        <v>5679661013.81294</v>
      </c>
      <c r="AH23" s="9"/>
      <c r="AI23" s="9"/>
      <c r="AJ23" s="39" t="n">
        <f aca="false">AB23/AG23</f>
        <v>-0.00790308986184857</v>
      </c>
      <c r="AK23" s="68" t="n">
        <f aca="false">AK22+1</f>
        <v>2034</v>
      </c>
      <c r="AL23" s="69" t="n">
        <f aca="false">SUM(AB90:AB93)/AVERAGE(AG90:AG93)</f>
        <v>-0.0233691424275621</v>
      </c>
      <c r="AM23" s="9" t="n">
        <f aca="false">'Central scenario'!AM23</f>
        <v>6738583.40306814</v>
      </c>
      <c r="AN23" s="69" t="n">
        <f aca="false">AM23/AVERAGE(AG90:AG93)</f>
        <v>0.000851621431620848</v>
      </c>
      <c r="AO23" s="69" t="n">
        <f aca="false">'GDP evolution by scenario'!M89</f>
        <v>0.0303222146553868</v>
      </c>
      <c r="AP23" s="69"/>
      <c r="AQ23" s="9" t="n">
        <f aca="false">AQ22*(1+AO23)</f>
        <v>652934361.543897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402919367.312162</v>
      </c>
      <c r="AS23" s="70" t="n">
        <f aca="false">AQ23/AG93</f>
        <v>0.0813350227735748</v>
      </c>
      <c r="AT23" s="70" t="n">
        <f aca="false">AR23/AG93</f>
        <v>0.0501910419276438</v>
      </c>
      <c r="AU23" s="7"/>
      <c r="AV23" s="7"/>
      <c r="AW23" s="7" t="n">
        <f aca="false">workers_and_wage_high!C11</f>
        <v>11247506</v>
      </c>
      <c r="AX23" s="7"/>
      <c r="AY23" s="39" t="n">
        <f aca="false">(AW23-AW22)/AW22</f>
        <v>0.017215831785918</v>
      </c>
      <c r="AZ23" s="12" t="n">
        <f aca="false">workers_and_wage_high!B11</f>
        <v>6741.66175252587</v>
      </c>
      <c r="BA23" s="39" t="n">
        <f aca="false">(AZ23-AZ22)/AZ22</f>
        <v>-0.000351798147577903</v>
      </c>
      <c r="BB23" s="12" t="n"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0.0123526406639253</v>
      </c>
      <c r="BJ23" s="7" t="n">
        <f aca="false">BJ22+1</f>
        <v>2034</v>
      </c>
      <c r="BK23" s="39" t="n">
        <f aca="false">SUM(T90:T93)/AVERAGE(AG90:AG93)</f>
        <v>0.0538375094235332</v>
      </c>
      <c r="BL23" s="39" t="n">
        <f aca="false">SUM(P90:P93)/AVERAGE(AG90:AG93)</f>
        <v>0.0104325732989797</v>
      </c>
      <c r="BM23" s="39" t="n">
        <f aca="false">SUM(D90:D93)/AVERAGE(AG90:AG93)</f>
        <v>0.0667740785521156</v>
      </c>
      <c r="BN23" s="39" t="n">
        <f aca="false">(SUM(H90:H93)+SUM(J90:J93))/AVERAGE(AG90:AG93)</f>
        <v>0.00947202302604461</v>
      </c>
      <c r="BO23" s="69" t="n">
        <f aca="false">AL23-BN23</f>
        <v>-0.0328411654536067</v>
      </c>
      <c r="BP23" s="31" t="n">
        <f aca="false">BN23+BM23</f>
        <v>0.0762461015781602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4" t="n">
        <f aca="false">'High pensions'!Q24</f>
        <v>104302964.881111</v>
      </c>
      <c r="E24" s="9"/>
      <c r="F24" s="84" t="n">
        <f aca="false">'High pensions'!I24</f>
        <v>18958298.5248067</v>
      </c>
      <c r="G24" s="84" t="n">
        <f aca="false">'High pensions'!K24</f>
        <v>148476.22300635</v>
      </c>
      <c r="H24" s="84" t="n">
        <f aca="false">'High pensions'!V24</f>
        <v>816872.371412835</v>
      </c>
      <c r="I24" s="84" t="n">
        <f aca="false">'High pensions'!M24</f>
        <v>4592.04813421701</v>
      </c>
      <c r="J24" s="84" t="n">
        <f aca="false">'High pensions'!W24</f>
        <v>25264.0939612217</v>
      </c>
      <c r="K24" s="9"/>
      <c r="L24" s="84" t="n">
        <f aca="false">'High pensions'!N24</f>
        <v>3599614.55233288</v>
      </c>
      <c r="M24" s="67"/>
      <c r="N24" s="84" t="n">
        <f aca="false">'High pensions'!L24</f>
        <v>785462.55747468</v>
      </c>
      <c r="O24" s="9"/>
      <c r="P24" s="84" t="n">
        <f aca="false">'High pensions'!X24</f>
        <v>22999800.2662076</v>
      </c>
      <c r="Q24" s="67"/>
      <c r="R24" s="84" t="n">
        <f aca="false">'High SIPA income'!G19</f>
        <v>20589537.4390246</v>
      </c>
      <c r="S24" s="67"/>
      <c r="T24" s="84" t="n">
        <f aca="false">'High SIPA income'!J19</f>
        <v>78725880.9283226</v>
      </c>
      <c r="U24" s="9"/>
      <c r="V24" s="84" t="n">
        <f aca="false">'High SIPA income'!F19</f>
        <v>137459.026655012</v>
      </c>
      <c r="W24" s="67"/>
      <c r="X24" s="84" t="n">
        <f aca="false">'High SIPA income'!M19</f>
        <v>345257.444420333</v>
      </c>
      <c r="Y24" s="9"/>
      <c r="Z24" s="9" t="n">
        <f aca="false">R24+V24-N24-L24-F24</f>
        <v>-2616379.16893461</v>
      </c>
      <c r="AA24" s="9"/>
      <c r="AB24" s="9" t="n">
        <f aca="false">T24-P24-D24</f>
        <v>-48576884.2189956</v>
      </c>
      <c r="AC24" s="50"/>
      <c r="AD24" s="9" t="n">
        <f aca="false">'Central scenario'!AD24</f>
        <v>11116422317.8693</v>
      </c>
      <c r="AE24" s="9" t="n">
        <f aca="false">'Central scenario'!AE24</f>
        <v>721120.426852794</v>
      </c>
      <c r="AF24" s="9" t="n">
        <f aca="false">'Central scenario'!AF24</f>
        <v>191.50871929</v>
      </c>
      <c r="AG24" s="9" t="n">
        <f aca="false">'Central scenario'!AG24</f>
        <v>5261704462.58878</v>
      </c>
      <c r="AH24" s="9"/>
      <c r="AI24" s="9"/>
      <c r="AJ24" s="39" t="n">
        <f aca="false">AB24/AG24</f>
        <v>-0.00923215748136025</v>
      </c>
      <c r="AK24" s="68" t="n">
        <f aca="false">AK23+1</f>
        <v>2035</v>
      </c>
      <c r="AL24" s="69" t="n">
        <f aca="false">SUM(AB94:AB97)/AVERAGE(AG94:AG97)</f>
        <v>-0.0219637123150067</v>
      </c>
      <c r="AM24" s="9" t="n">
        <f aca="false">'Central scenario'!AM24</f>
        <v>6098422.29766839</v>
      </c>
      <c r="AN24" s="69" t="n">
        <f aca="false">AM24/AVERAGE(AG94:AG97)</f>
        <v>0.000752600743664382</v>
      </c>
      <c r="AO24" s="69" t="n">
        <f aca="false">'GDP evolution by scenario'!M93</f>
        <v>0.0240727873307112</v>
      </c>
      <c r="AP24" s="69"/>
      <c r="AQ24" s="9" t="n">
        <f aca="false">AQ23*(1+AO24)</f>
        <v>668652311.570257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406453340.151311</v>
      </c>
      <c r="AS24" s="70" t="n">
        <f aca="false">AQ24/AG97</f>
        <v>0.081840745133658</v>
      </c>
      <c r="AT24" s="70" t="n">
        <f aca="false">AR24/AG97</f>
        <v>0.0497484920704597</v>
      </c>
      <c r="AU24" s="7"/>
      <c r="AV24" s="7"/>
      <c r="AW24" s="7" t="n">
        <f aca="false">workers_and_wage_high!C12</f>
        <v>11410134</v>
      </c>
      <c r="AX24" s="7"/>
      <c r="AY24" s="39" t="n">
        <f aca="false">(AW24-AW23)/AW23</f>
        <v>0.0144590276279915</v>
      </c>
      <c r="AZ24" s="12" t="n">
        <f aca="false">workers_and_wage_high!B12</f>
        <v>6886.42921069284</v>
      </c>
      <c r="BA24" s="39" t="n">
        <f aca="false">(AZ24-AZ23)/AZ23</f>
        <v>0.0214735570369917</v>
      </c>
      <c r="BB24" s="12" t="n"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0.0129940270938115</v>
      </c>
      <c r="BJ24" s="7" t="n">
        <f aca="false">BJ23+1</f>
        <v>2035</v>
      </c>
      <c r="BK24" s="39" t="n">
        <f aca="false">SUM(T94:T97)/AVERAGE(AG94:AG97)</f>
        <v>0.0540818977288648</v>
      </c>
      <c r="BL24" s="39" t="n">
        <f aca="false">SUM(P94:P97)/AVERAGE(AG94:AG97)</f>
        <v>0.00992801036333297</v>
      </c>
      <c r="BM24" s="39" t="n">
        <f aca="false">SUM(D94:D97)/AVERAGE(AG94:AG97)</f>
        <v>0.0661175996805385</v>
      </c>
      <c r="BN24" s="39" t="n">
        <f aca="false">(SUM(H94:H97)+SUM(J94:J97))/AVERAGE(AG94:AG97)</f>
        <v>0.00986099395197875</v>
      </c>
      <c r="BO24" s="69" t="n">
        <f aca="false">AL24-BN24</f>
        <v>-0.0318247062669855</v>
      </c>
      <c r="BP24" s="31" t="n">
        <f aca="false">BN24+BM24</f>
        <v>0.0759785936325173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4" t="n">
        <f aca="false">'High pensions'!Q25</f>
        <v>113342542.856426</v>
      </c>
      <c r="E25" s="9"/>
      <c r="F25" s="84" t="n">
        <f aca="false">'High pensions'!I25</f>
        <v>20601348.8253387</v>
      </c>
      <c r="G25" s="84" t="n">
        <f aca="false">'High pensions'!K25</f>
        <v>189845.474762486</v>
      </c>
      <c r="H25" s="84" t="n">
        <f aca="false">'High pensions'!V25</f>
        <v>1044473.78867251</v>
      </c>
      <c r="I25" s="84" t="n">
        <f aca="false">'High pensions'!M25</f>
        <v>5871.509528736</v>
      </c>
      <c r="J25" s="84" t="n">
        <f aca="false">'High pensions'!W25</f>
        <v>32303.3130517235</v>
      </c>
      <c r="K25" s="9"/>
      <c r="L25" s="84" t="n">
        <f aca="false">'High pensions'!N25</f>
        <v>4012507.36812272</v>
      </c>
      <c r="M25" s="67"/>
      <c r="N25" s="84" t="n">
        <f aca="false">'High pensions'!L25</f>
        <v>856204.006193865</v>
      </c>
      <c r="O25" s="9"/>
      <c r="P25" s="84" t="n">
        <f aca="false">'High pensions'!X25</f>
        <v>25531501.6289022</v>
      </c>
      <c r="Q25" s="67"/>
      <c r="R25" s="84" t="n">
        <f aca="false">'High SIPA income'!G20</f>
        <v>24347324.2300167</v>
      </c>
      <c r="S25" s="67"/>
      <c r="T25" s="84" t="n">
        <f aca="false">'High SIPA income'!J20</f>
        <v>93094104.4174502</v>
      </c>
      <c r="U25" s="9"/>
      <c r="V25" s="84" t="n">
        <f aca="false">'High SIPA income'!F20</f>
        <v>143698.094559182</v>
      </c>
      <c r="W25" s="67"/>
      <c r="X25" s="84" t="n">
        <f aca="false">'High SIPA income'!M20</f>
        <v>360928.184222419</v>
      </c>
      <c r="Y25" s="9"/>
      <c r="Z25" s="9" t="n">
        <f aca="false">R25+V25-N25-L25-F25</f>
        <v>-979037.875079445</v>
      </c>
      <c r="AA25" s="9"/>
      <c r="AB25" s="9" t="n">
        <f aca="false">T25-P25-D25</f>
        <v>-45779940.0678778</v>
      </c>
      <c r="AC25" s="50"/>
      <c r="AD25" s="9" t="n">
        <f aca="false">'Central scenario'!AD25</f>
        <v>11725405625.723</v>
      </c>
      <c r="AE25" s="9" t="n">
        <f aca="false">'Central scenario'!AE25</f>
        <v>724592.921638963</v>
      </c>
      <c r="AF25" s="9" t="n">
        <f aca="false">'Central scenario'!AF25</f>
        <v>200.87293846</v>
      </c>
      <c r="AG25" s="9" t="n">
        <f aca="false">'Central scenario'!AG25</f>
        <v>5287041758.04225</v>
      </c>
      <c r="AH25" s="9"/>
      <c r="AI25" s="9"/>
      <c r="AJ25" s="39" t="n">
        <f aca="false">AB25/AG25</f>
        <v>-0.00865889511809526</v>
      </c>
      <c r="AK25" s="68" t="n">
        <f aca="false">AK24+1</f>
        <v>2036</v>
      </c>
      <c r="AL25" s="69" t="n">
        <f aca="false">SUM(AB98:AB101)/AVERAGE(AG98:AG101)</f>
        <v>-0.0206196441007996</v>
      </c>
      <c r="AM25" s="9" t="n">
        <f aca="false">'Central scenario'!AM25</f>
        <v>5493111.4769607</v>
      </c>
      <c r="AN25" s="69" t="n">
        <f aca="false">AM25/AVERAGE(AG98:AG101)</f>
        <v>0.000663372250924202</v>
      </c>
      <c r="AO25" s="69" t="n">
        <f aca="false">'GDP evolution by scenario'!M97</f>
        <v>0.0218996731021421</v>
      </c>
      <c r="AP25" s="69"/>
      <c r="AQ25" s="9" t="n">
        <f aca="false">AQ24*(1+AO25)</f>
        <v>683295578.612637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409806503.331676</v>
      </c>
      <c r="AS25" s="70" t="n">
        <f aca="false">AQ25/AG101</f>
        <v>0.0817015215794907</v>
      </c>
      <c r="AT25" s="70" t="n">
        <f aca="false">AR25/AG101</f>
        <v>0.0490004851829278</v>
      </c>
      <c r="AU25" s="7"/>
      <c r="AV25" s="7"/>
      <c r="AW25" s="7" t="n">
        <f aca="false">workers_and_wage_high!C13</f>
        <v>11521898</v>
      </c>
      <c r="AX25" s="7"/>
      <c r="AY25" s="39" t="n">
        <f aca="false">(AW25-AW24)/AW24</f>
        <v>0.0097951522742853</v>
      </c>
      <c r="AZ25" s="12" t="n">
        <f aca="false">workers_and_wage_high!B13</f>
        <v>6890.54533395775</v>
      </c>
      <c r="BA25" s="39" t="n">
        <f aca="false">(AZ25-AZ24)/AZ24</f>
        <v>0.000597715178501923</v>
      </c>
      <c r="BB25" s="12" t="n"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0.0120891543161721</v>
      </c>
      <c r="BJ25" s="7" t="n">
        <f aca="false">BJ24+1</f>
        <v>2036</v>
      </c>
      <c r="BK25" s="39" t="n">
        <f aca="false">SUM(T98:T101)/AVERAGE(AG98:AG101)</f>
        <v>0.0543948365942672</v>
      </c>
      <c r="BL25" s="39" t="n">
        <f aca="false">SUM(P98:P101)/AVERAGE(AG98:AG101)</f>
        <v>0.00966185509513652</v>
      </c>
      <c r="BM25" s="39" t="n">
        <f aca="false">SUM(D98:D101)/AVERAGE(AG98:AG101)</f>
        <v>0.0653526255999303</v>
      </c>
      <c r="BN25" s="39" t="n">
        <f aca="false">(SUM(H98:H101)+SUM(J98:J101))/AVERAGE(AG98:AG101)</f>
        <v>0.0104181990690656</v>
      </c>
      <c r="BO25" s="69" t="n">
        <f aca="false">AL25-BN25</f>
        <v>-0.0310378431698652</v>
      </c>
      <c r="BP25" s="31" t="n">
        <f aca="false">BN25+BM25</f>
        <v>0.0757708246689959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83" t="n">
        <f aca="false">'High pensions'!Q26</f>
        <v>106694692.20664</v>
      </c>
      <c r="E26" s="6"/>
      <c r="F26" s="83" t="n">
        <f aca="false">'High pensions'!I26</f>
        <v>19393023.2776362</v>
      </c>
      <c r="G26" s="83" t="n">
        <f aca="false">'High pensions'!K26</f>
        <v>193632.468036018</v>
      </c>
      <c r="H26" s="83" t="n">
        <f aca="false">'High pensions'!V26</f>
        <v>1065308.70831983</v>
      </c>
      <c r="I26" s="83" t="n">
        <f aca="false">'High pensions'!M26</f>
        <v>5988.63303204201</v>
      </c>
      <c r="J26" s="83" t="n">
        <f aca="false">'High pensions'!W26</f>
        <v>32947.6920098929</v>
      </c>
      <c r="K26" s="6"/>
      <c r="L26" s="83" t="n">
        <f aca="false">'High pensions'!N26</f>
        <v>4266105.69710447</v>
      </c>
      <c r="M26" s="8"/>
      <c r="N26" s="83" t="n">
        <f aca="false">'High pensions'!L26</f>
        <v>808953.540091459</v>
      </c>
      <c r="O26" s="6"/>
      <c r="P26" s="83" t="n">
        <f aca="false">'High pensions'!X26</f>
        <v>26587466.4401902</v>
      </c>
      <c r="Q26" s="8"/>
      <c r="R26" s="83" t="n">
        <f aca="false">'High SIPA income'!G21</f>
        <v>19486260.1586379</v>
      </c>
      <c r="S26" s="8"/>
      <c r="T26" s="83" t="n">
        <f aca="false">'High SIPA income'!J21</f>
        <v>74507404.6238465</v>
      </c>
      <c r="U26" s="6"/>
      <c r="V26" s="83" t="n">
        <f aca="false">'High SIPA income'!F21</f>
        <v>129450.461885458</v>
      </c>
      <c r="W26" s="8"/>
      <c r="X26" s="83" t="n">
        <f aca="false">'High SIPA income'!M21</f>
        <v>325142.238652505</v>
      </c>
      <c r="Y26" s="6"/>
      <c r="Z26" s="6" t="n">
        <f aca="false">R26+V26-N26-L26-F26</f>
        <v>-4852371.89430877</v>
      </c>
      <c r="AA26" s="6"/>
      <c r="AB26" s="6" t="n">
        <f aca="false">T26-P26-D26</f>
        <v>-58774754.0229838</v>
      </c>
      <c r="AC26" s="50"/>
      <c r="AD26" s="6" t="n">
        <f aca="false">'Central scenario'!AD26</f>
        <v>12239176485.8186</v>
      </c>
      <c r="AE26" s="6" t="n">
        <f aca="false">'Central scenario'!AE26</f>
        <v>707231.016992009</v>
      </c>
      <c r="AF26" s="6" t="n">
        <f aca="false">'Central scenario'!AF26</f>
        <v>215.827559350606</v>
      </c>
      <c r="AG26" s="6" t="n">
        <f aca="false">'Central scenario'!AG26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-0.0113896628263863</v>
      </c>
      <c r="AK26" s="62" t="n">
        <f aca="false">AK25+1</f>
        <v>2037</v>
      </c>
      <c r="AL26" s="63" t="n">
        <f aca="false">SUM(AB102:AB105)/AVERAGE(AG102:AG105)</f>
        <v>-0.0187049713039203</v>
      </c>
      <c r="AM26" s="6" t="n">
        <f aca="false">'Central scenario'!AM26</f>
        <v>4920541.96276278</v>
      </c>
      <c r="AN26" s="63" t="n">
        <f aca="false">AM26/AVERAGE(AG102:AG105)</f>
        <v>0.000577299418980408</v>
      </c>
      <c r="AO26" s="63" t="n">
        <f aca="false">'GDP evolution by scenario'!M101</f>
        <v>0.0293207023537363</v>
      </c>
      <c r="AP26" s="63"/>
      <c r="AQ26" s="6" t="n">
        <f aca="false">AQ25*(1+AO26)</f>
        <v>703330284.892762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416835995.439119</v>
      </c>
      <c r="AS26" s="64" t="n">
        <f aca="false">AQ26/AG105</f>
        <v>0.0815854013449707</v>
      </c>
      <c r="AT26" s="64" t="n">
        <f aca="false">AR26/AG105</f>
        <v>0.0483524351409326</v>
      </c>
      <c r="AU26" s="61" t="n">
        <f aca="false">AVERAGE(AH26:AH29)</f>
        <v>-0.0147737373418679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-0.0118562557252077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0.0138436834096193</v>
      </c>
      <c r="BJ26" s="5" t="n">
        <f aca="false">BJ25+1</f>
        <v>2037</v>
      </c>
      <c r="BK26" s="61" t="n">
        <f aca="false">SUM(T102:T105)/AVERAGE(AG102:AG105)</f>
        <v>0.0550715729289825</v>
      </c>
      <c r="BL26" s="61" t="n">
        <f aca="false">SUM(P102:P105)/AVERAGE(AG102:AG105)</f>
        <v>0.00938397516390372</v>
      </c>
      <c r="BM26" s="61" t="n">
        <f aca="false">SUM(D102:D105)/AVERAGE(AG102:AG105)</f>
        <v>0.0643925690689991</v>
      </c>
      <c r="BN26" s="61" t="n">
        <f aca="false">(SUM(H102:H105)+SUM(J102:J105))/AVERAGE(AG102:AG105)</f>
        <v>0.0108979477115553</v>
      </c>
      <c r="BO26" s="63" t="n">
        <f aca="false">AL26-BN26</f>
        <v>-0.0296029190154756</v>
      </c>
      <c r="BP26" s="31" t="n">
        <f aca="false">BN26+BM26</f>
        <v>0.0752905167805544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8563147.80134706</v>
      </c>
      <c r="D27" s="84" t="n">
        <f aca="false">'High pensions'!Q27</f>
        <v>105717874.090704</v>
      </c>
      <c r="E27" s="9"/>
      <c r="F27" s="84" t="n">
        <f aca="false">'High pensions'!I27</f>
        <v>19215475.022249</v>
      </c>
      <c r="G27" s="84" t="n">
        <f aca="false">'High pensions'!K27</f>
        <v>211229.041623464</v>
      </c>
      <c r="H27" s="84" t="n">
        <f aca="false">'High pensions'!V27</f>
        <v>1162119.86436939</v>
      </c>
      <c r="I27" s="84" t="n">
        <f aca="false">'High pensions'!M27</f>
        <v>6532.85695742699</v>
      </c>
      <c r="J27" s="84" t="n">
        <f aca="false">'High pensions'!W27</f>
        <v>35941.8514753436</v>
      </c>
      <c r="K27" s="9"/>
      <c r="L27" s="84" t="n">
        <f aca="false">'High pensions'!N27</f>
        <v>3669626.15930423</v>
      </c>
      <c r="M27" s="67"/>
      <c r="N27" s="84" t="n">
        <f aca="false">'High pensions'!L27</f>
        <v>802325.932344474</v>
      </c>
      <c r="O27" s="9"/>
      <c r="P27" s="84" t="n">
        <f aca="false">'High pensions'!X27</f>
        <v>23455868.1406368</v>
      </c>
      <c r="Q27" s="67"/>
      <c r="R27" s="84" t="n">
        <f aca="false">'High SIPA income'!G22</f>
        <v>22133362.586404</v>
      </c>
      <c r="S27" s="67"/>
      <c r="T27" s="84" t="n">
        <f aca="false">'High SIPA income'!J22</f>
        <v>84628830.185278</v>
      </c>
      <c r="U27" s="9"/>
      <c r="V27" s="84" t="n">
        <f aca="false">'High SIPA income'!F22</f>
        <v>124241.716375217</v>
      </c>
      <c r="W27" s="67"/>
      <c r="X27" s="84" t="n">
        <f aca="false">'High SIPA income'!M22</f>
        <v>312059.37165378</v>
      </c>
      <c r="Y27" s="9"/>
      <c r="Z27" s="9" t="n">
        <f aca="false">R27+V27-N27-L27-F27</f>
        <v>-1429822.81111848</v>
      </c>
      <c r="AA27" s="9"/>
      <c r="AB27" s="9" t="n">
        <f aca="false">T27-P27-D27</f>
        <v>-44544912.0460633</v>
      </c>
      <c r="AC27" s="50"/>
      <c r="AD27" s="9" t="n">
        <f aca="false">'Central scenario'!AD27</f>
        <v>14034054600.9996</v>
      </c>
      <c r="AE27" s="9" t="n">
        <f aca="false">'Central scenario'!AE27</f>
        <v>747420.074418923</v>
      </c>
      <c r="AF27" s="9" t="n">
        <f aca="false">'Central scenario'!AF27</f>
        <v>231.639850427105</v>
      </c>
      <c r="AG27" s="9" t="n">
        <f aca="false">'Central scenario'!AG27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-0.00816798053906238</v>
      </c>
      <c r="AK27" s="68" t="n">
        <f aca="false">AK26+1</f>
        <v>2038</v>
      </c>
      <c r="AL27" s="69" t="n">
        <f aca="false">SUM(AB106:AB109)/AVERAGE(AG106:AG109)</f>
        <v>-0.0179655738452691</v>
      </c>
      <c r="AM27" s="9" t="n">
        <f aca="false">'Central scenario'!AM27</f>
        <v>4379286.21321994</v>
      </c>
      <c r="AN27" s="69" t="n">
        <f aca="false">AM27/AVERAGE(AG106:AG109)</f>
        <v>0.000501647362578495</v>
      </c>
      <c r="AO27" s="69" t="n">
        <f aca="false">'GDP evolution by scenario'!M105</f>
        <v>0.0242193517572622</v>
      </c>
      <c r="AP27" s="69"/>
      <c r="AQ27" s="9" t="n">
        <f aca="false">AQ26*(1+AO27)</f>
        <v>720364488.464116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422503804.442979</v>
      </c>
      <c r="AS27" s="70" t="n">
        <f aca="false">AQ27/AG109</f>
        <v>0.0817217038443188</v>
      </c>
      <c r="AT27" s="70" t="n">
        <f aca="false">AR27/AG109</f>
        <v>0.0479309173796218</v>
      </c>
      <c r="AU27" s="7"/>
      <c r="AV27" s="7"/>
      <c r="AW27" s="7" t="n">
        <f aca="false">workers_and_wage_high!C15</f>
        <v>11422089</v>
      </c>
      <c r="AX27" s="7"/>
      <c r="AY27" s="39" t="n">
        <f aca="false">(AW27-AW26)/AW26</f>
        <v>-0.0052506540674193</v>
      </c>
      <c r="AZ27" s="12" t="n">
        <f aca="false">workers_and_wage_high!B15</f>
        <v>6722.87988857401</v>
      </c>
      <c r="BA27" s="39" t="n">
        <f aca="false">(AZ27-AZ26)/AZ26</f>
        <v>-0.0126261243941081</v>
      </c>
      <c r="BB27" s="12" t="n"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0.0119858714560513</v>
      </c>
      <c r="BJ27" s="7" t="n">
        <f aca="false">BJ26+1</f>
        <v>2038</v>
      </c>
      <c r="BK27" s="39" t="n">
        <f aca="false">SUM(T106:T109)/AVERAGE(AG106:AG109)</f>
        <v>0.0555343632678247</v>
      </c>
      <c r="BL27" s="39" t="n">
        <f aca="false">SUM(P106:P109)/AVERAGE(AG106:AG109)</f>
        <v>0.00918890782967916</v>
      </c>
      <c r="BM27" s="39" t="n">
        <f aca="false">SUM(D106:D109)/AVERAGE(AG106:AG109)</f>
        <v>0.0643110292834147</v>
      </c>
      <c r="BN27" s="39" t="n">
        <f aca="false">(SUM(H106:H109)+SUM(J106:J109))/AVERAGE(AG106:AG109)</f>
        <v>0.0113862999907393</v>
      </c>
      <c r="BO27" s="69" t="n">
        <f aca="false">AL27-BN27</f>
        <v>-0.0293518738360084</v>
      </c>
      <c r="BP27" s="31" t="n">
        <f aca="false">BN27+BM27</f>
        <v>0.075697329274154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84" t="n">
        <f aca="false">'High pensions'!Q28</f>
        <v>100402133.539979</v>
      </c>
      <c r="E28" s="9"/>
      <c r="F28" s="84" t="n">
        <f aca="false">'High pensions'!I28</f>
        <v>18249276.2535378</v>
      </c>
      <c r="G28" s="84" t="n">
        <f aca="false">'High pensions'!K28</f>
        <v>227995.709527446</v>
      </c>
      <c r="H28" s="84" t="n">
        <f aca="false">'High pensions'!V28</f>
        <v>1254365.1242103</v>
      </c>
      <c r="I28" s="84" t="n">
        <f aca="false">'High pensions'!M28</f>
        <v>7051.41369672603</v>
      </c>
      <c r="J28" s="84" t="n">
        <f aca="false">'High pensions'!W28</f>
        <v>38794.7976559936</v>
      </c>
      <c r="K28" s="9"/>
      <c r="L28" s="84" t="n">
        <f aca="false">'High pensions'!N28</f>
        <v>3308011.82114977</v>
      </c>
      <c r="M28" s="67"/>
      <c r="N28" s="84" t="n">
        <f aca="false">'High pensions'!L28</f>
        <v>761230.521454174</v>
      </c>
      <c r="O28" s="9"/>
      <c r="P28" s="84" t="n">
        <f aca="false">'High pensions'!X28</f>
        <v>21353354.7952991</v>
      </c>
      <c r="Q28" s="67"/>
      <c r="R28" s="84" t="n">
        <f aca="false">'High SIPA income'!G23</f>
        <v>18224521.767654</v>
      </c>
      <c r="S28" s="67"/>
      <c r="T28" s="84" t="n">
        <f aca="false">'High SIPA income'!J23</f>
        <v>69683038.5289084</v>
      </c>
      <c r="U28" s="9"/>
      <c r="V28" s="84" t="n">
        <f aca="false">'High SIPA income'!F23</f>
        <v>112437.805475858</v>
      </c>
      <c r="W28" s="67"/>
      <c r="X28" s="84" t="n">
        <f aca="false">'High SIPA income'!M23</f>
        <v>282411.350636534</v>
      </c>
      <c r="Y28" s="9"/>
      <c r="Z28" s="9" t="n">
        <f aca="false">R28+V28-N28-L28-F28</f>
        <v>-3981559.02301184</v>
      </c>
      <c r="AA28" s="9"/>
      <c r="AB28" s="9" t="n">
        <f aca="false">T28-P28-D28</f>
        <v>-52072449.8063702</v>
      </c>
      <c r="AC28" s="50"/>
      <c r="AD28" s="9" t="n">
        <f aca="false">'Central scenario'!AD28</f>
        <v>15118123646.8716</v>
      </c>
      <c r="AE28" s="9" t="n">
        <f aca="false">'Central scenario'!AE28</f>
        <v>696471.255793771</v>
      </c>
      <c r="AF28" s="9" t="n">
        <f aca="false">'Central scenario'!AF28</f>
        <v>257.384544350716</v>
      </c>
      <c r="AG28" s="9" t="n">
        <f aca="false">'Central scenario'!AG28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-0.0102467504476433</v>
      </c>
      <c r="AK28" s="68" t="n">
        <f aca="false">AK27+1</f>
        <v>2039</v>
      </c>
      <c r="AL28" s="69" t="n">
        <f aca="false">SUM(AB110:AB113)/AVERAGE(AG110:AG113)</f>
        <v>-0.0169125707386607</v>
      </c>
      <c r="AM28" s="9" t="n">
        <f aca="false">'Central scenario'!AM28</f>
        <v>3887732.69163583</v>
      </c>
      <c r="AN28" s="69" t="n">
        <f aca="false">AM28/AVERAGE(AG110:AG113)</f>
        <v>0.000436895542378202</v>
      </c>
      <c r="AO28" s="69" t="n">
        <f aca="false">'GDP evolution by scenario'!M109</f>
        <v>0.0193280755809673</v>
      </c>
      <c r="AP28" s="69"/>
      <c r="AQ28" s="9" t="n">
        <f aca="false">AQ27*(1+AO28)</f>
        <v>734287747.742995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426747935.996022</v>
      </c>
      <c r="AS28" s="70" t="n">
        <f aca="false">AQ28/AG113</f>
        <v>0.0818161878808492</v>
      </c>
      <c r="AT28" s="70" t="n">
        <f aca="false">AR28/AG113</f>
        <v>0.0475493284703908</v>
      </c>
      <c r="AU28" s="9"/>
      <c r="AV28" s="7"/>
      <c r="AW28" s="7" t="n">
        <f aca="false">workers_and_wage_high!C16</f>
        <v>11521794</v>
      </c>
      <c r="AX28" s="7"/>
      <c r="AY28" s="39" t="n">
        <f aca="false">(AW28-AW27)/AW27</f>
        <v>0.00872913877662834</v>
      </c>
      <c r="AZ28" s="12" t="n">
        <f aca="false">workers_and_wage_high!B16</f>
        <v>6343.42583946065</v>
      </c>
      <c r="BA28" s="39" t="n">
        <f aca="false">(AZ28-AZ27)/AZ27</f>
        <v>-0.0564421877829868</v>
      </c>
      <c r="BB28" s="12" t="n"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0.0140862991849522</v>
      </c>
      <c r="BJ28" s="7" t="n">
        <f aca="false">BJ27+1</f>
        <v>2039</v>
      </c>
      <c r="BK28" s="39" t="n">
        <f aca="false">SUM(T110:T113)/AVERAGE(AG110:AG113)</f>
        <v>0.0557930345727755</v>
      </c>
      <c r="BL28" s="39" t="n">
        <f aca="false">SUM(P110:P113)/AVERAGE(AG110:AG113)</f>
        <v>0.00895047770825586</v>
      </c>
      <c r="BM28" s="39" t="n">
        <f aca="false">SUM(D110:D113)/AVERAGE(AG110:AG113)</f>
        <v>0.0637551276031804</v>
      </c>
      <c r="BN28" s="39" t="n">
        <f aca="false">(SUM(H110:H113)+SUM(J110:J113))/AVERAGE(AG110:AG113)</f>
        <v>0.0119043321047422</v>
      </c>
      <c r="BO28" s="69" t="n">
        <f aca="false">AL28-BN28</f>
        <v>-0.0288169028434029</v>
      </c>
      <c r="BP28" s="31" t="n">
        <f aca="false">BN28+BM28</f>
        <v>0.0756594597079226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84" t="n">
        <f aca="false">'High pensions'!Q29</f>
        <v>91863242.9489312</v>
      </c>
      <c r="E29" s="9"/>
      <c r="F29" s="84" t="n">
        <f aca="false">'High pensions'!I29</f>
        <v>16697231.8118454</v>
      </c>
      <c r="G29" s="84" t="n">
        <f aca="false">'High pensions'!K29</f>
        <v>233179.582375956</v>
      </c>
      <c r="H29" s="84" t="n">
        <f aca="false">'High pensions'!V29</f>
        <v>1282885.26313304</v>
      </c>
      <c r="I29" s="84" t="n">
        <f aca="false">'High pensions'!M29</f>
        <v>7211.73966111301</v>
      </c>
      <c r="J29" s="84" t="n">
        <f aca="false">'High pensions'!W29</f>
        <v>39676.8638082438</v>
      </c>
      <c r="K29" s="9"/>
      <c r="L29" s="84" t="n">
        <f aca="false">'High pensions'!N29</f>
        <v>3051608.62668183</v>
      </c>
      <c r="M29" s="67"/>
      <c r="N29" s="84" t="n">
        <f aca="false">'High pensions'!L29</f>
        <v>694867.234504992</v>
      </c>
      <c r="O29" s="9"/>
      <c r="P29" s="84" t="n">
        <f aca="false">'High pensions'!X29</f>
        <v>19657766.1758562</v>
      </c>
      <c r="Q29" s="67"/>
      <c r="R29" s="84" t="n">
        <f aca="false">'High SIPA income'!G24</f>
        <v>19899147.8585917</v>
      </c>
      <c r="S29" s="67"/>
      <c r="T29" s="84" t="n">
        <f aca="false">'High SIPA income'!J24</f>
        <v>76086116.5302987</v>
      </c>
      <c r="U29" s="9"/>
      <c r="V29" s="84" t="n">
        <f aca="false">'High SIPA income'!F24</f>
        <v>111506.752176317</v>
      </c>
      <c r="W29" s="67"/>
      <c r="X29" s="84" t="n">
        <f aca="false">'High SIPA income'!M24</f>
        <v>280072.813178202</v>
      </c>
      <c r="Y29" s="9"/>
      <c r="Z29" s="9" t="n">
        <f aca="false">R29+V29-N29-L29-F29</f>
        <v>-433053.062264266</v>
      </c>
      <c r="AA29" s="9"/>
      <c r="AB29" s="9" t="n">
        <f aca="false">T29-P29-D29</f>
        <v>-35434892.5944887</v>
      </c>
      <c r="AC29" s="50"/>
      <c r="AD29" s="9" t="n">
        <f aca="false">'Central scenario'!AD29</f>
        <v>16779533858.6913</v>
      </c>
      <c r="AE29" s="9" t="n">
        <f aca="false">'Central scenario'!AE29</f>
        <v>679899.611209872</v>
      </c>
      <c r="AF29" s="9" t="n">
        <f aca="false">'Central scenario'!AF29</f>
        <v>298.099530285664</v>
      </c>
      <c r="AG29" s="9" t="n">
        <f aca="false">'Central scenario'!AG29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-0.00714278658910288</v>
      </c>
      <c r="AK29" s="68" t="n">
        <f aca="false">AK28+1</f>
        <v>2040</v>
      </c>
      <c r="AL29" s="69" t="n">
        <f aca="false">SUM(AB114:AB117)/AVERAGE(AG114:AG117)</f>
        <v>-0.0151451879987471</v>
      </c>
      <c r="AM29" s="9" t="n">
        <f aca="false">'Central scenario'!AM29</f>
        <v>3427469.19706586</v>
      </c>
      <c r="AN29" s="69" t="n">
        <f aca="false">AM29/AVERAGE(AG114:AG117)</f>
        <v>0.000375754275451704</v>
      </c>
      <c r="AO29" s="69" t="n">
        <f aca="false">'GDP evolution by scenario'!M113</f>
        <v>0.0250636819375876</v>
      </c>
      <c r="AP29" s="69"/>
      <c r="AQ29" s="9" t="n">
        <f aca="false">AQ28*(1+AO29)</f>
        <v>752691702.303093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433977144.190818</v>
      </c>
      <c r="AS29" s="70" t="n">
        <f aca="false">AQ29/AG117</f>
        <v>0.0817201733064671</v>
      </c>
      <c r="AT29" s="70" t="n">
        <f aca="false">AR29/AG117</f>
        <v>0.0471171494594721</v>
      </c>
      <c r="AV29" s="7"/>
      <c r="AW29" s="7" t="n">
        <f aca="false">workers_and_wage_high!C17</f>
        <v>11541231</v>
      </c>
      <c r="AX29" s="7"/>
      <c r="AY29" s="39" t="n">
        <f aca="false">(AW29-AW28)/AW28</f>
        <v>0.0016869768718309</v>
      </c>
      <c r="AZ29" s="12" t="n">
        <f aca="false">workers_and_wage_high!B17</f>
        <v>6007.47172090445</v>
      </c>
      <c r="BA29" s="39" t="n">
        <f aca="false">(AZ29-AZ28)/AZ28</f>
        <v>-0.0529609909626948</v>
      </c>
      <c r="BB29" s="12" t="n"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0.0122528052295301</v>
      </c>
      <c r="BJ29" s="7" t="n">
        <f aca="false">BJ28+1</f>
        <v>2040</v>
      </c>
      <c r="BK29" s="39" t="n">
        <f aca="false">SUM(T114:T117)/AVERAGE(AG114:AG117)</f>
        <v>0.05607612789791</v>
      </c>
      <c r="BL29" s="39" t="n">
        <f aca="false">SUM(P114:P117)/AVERAGE(AG114:AG117)</f>
        <v>0.00843364063531273</v>
      </c>
      <c r="BM29" s="39" t="n">
        <f aca="false">SUM(D114:D117)/AVERAGE(AG114:AG117)</f>
        <v>0.0627876752613444</v>
      </c>
      <c r="BN29" s="39" t="n">
        <f aca="false">(SUM(H114:H117)+SUM(J114:J117))/AVERAGE(AG114:AG117)</f>
        <v>0.012316144548927</v>
      </c>
      <c r="BO29" s="69" t="n">
        <f aca="false">AL29-BN29</f>
        <v>-0.0274613325476741</v>
      </c>
      <c r="BP29" s="31" t="n">
        <f aca="false">BN29+BM29</f>
        <v>0.0751038198102714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3" t="n">
        <f aca="false">'High pensions'!Q30</f>
        <v>91332937.2576986</v>
      </c>
      <c r="E30" s="6"/>
      <c r="F30" s="83" t="n">
        <f aca="false">'High pensions'!I30</f>
        <v>16600842.4751161</v>
      </c>
      <c r="G30" s="83" t="n">
        <f aca="false">'High pensions'!K30</f>
        <v>188388.565652481</v>
      </c>
      <c r="H30" s="83" t="n">
        <f aca="false">'High pensions'!V30</f>
        <v>1036458.30460695</v>
      </c>
      <c r="I30" s="83" t="n">
        <f aca="false">'High pensions'!M30</f>
        <v>5826.450484097</v>
      </c>
      <c r="J30" s="83" t="n">
        <f aca="false">'High pensions'!W30</f>
        <v>32055.4114826872</v>
      </c>
      <c r="K30" s="6"/>
      <c r="L30" s="83" t="n">
        <f aca="false">'High pensions'!N30</f>
        <v>3575526.78286279</v>
      </c>
      <c r="M30" s="8"/>
      <c r="N30" s="83" t="n">
        <f aca="false">'High pensions'!L30</f>
        <v>691277.192997402</v>
      </c>
      <c r="O30" s="6"/>
      <c r="P30" s="83" t="n">
        <f aca="false">'High pensions'!X30</f>
        <v>22356628.6297401</v>
      </c>
      <c r="Q30" s="8"/>
      <c r="R30" s="83" t="n">
        <f aca="false">'High SIPA income'!G25</f>
        <v>15686894.3923396</v>
      </c>
      <c r="S30" s="8"/>
      <c r="T30" s="83" t="n">
        <f aca="false">'High SIPA income'!J25</f>
        <v>59980200.3189152</v>
      </c>
      <c r="U30" s="6"/>
      <c r="V30" s="83" t="n">
        <f aca="false">'High SIPA income'!F25</f>
        <v>110880.502040839</v>
      </c>
      <c r="W30" s="8"/>
      <c r="X30" s="83" t="n">
        <f aca="false">'High SIPA income'!M25</f>
        <v>278499.853390805</v>
      </c>
      <c r="Y30" s="6"/>
      <c r="Z30" s="6" t="n">
        <f aca="false">R30+V30-N30-L30-F30</f>
        <v>-5069871.55659586</v>
      </c>
      <c r="AA30" s="6"/>
      <c r="AB30" s="6" t="n">
        <f aca="false">T30-P30-D30</f>
        <v>-53709365.5685234</v>
      </c>
      <c r="AC30" s="50"/>
      <c r="AD30" s="6" t="n">
        <f aca="false">'Central scenario'!AD30</f>
        <v>17412113021.4212</v>
      </c>
      <c r="AE30" s="6" t="n">
        <f aca="false">'Central scenario'!AE30</f>
        <v>665471.48418794</v>
      </c>
      <c r="AF30" s="6" t="n">
        <f aca="false">'Central scenario'!AF30</f>
        <v>326.494679287868</v>
      </c>
      <c r="AG30" s="6" t="n">
        <f aca="false">'Central scenario'!AG30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-0.0110611916870532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-0.252633993954459</v>
      </c>
      <c r="AS30" s="5"/>
      <c r="AT30" s="5"/>
      <c r="AU30" s="61" t="n">
        <f aca="false">AVERAGE(AH30:AH33)</f>
        <v>0.000245472675791324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-0.00369048508708296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0.0136252622952919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4" t="n">
        <f aca="false">'High pensions'!Q31</f>
        <v>92213049.4544059</v>
      </c>
      <c r="E31" s="9"/>
      <c r="F31" s="84" t="n">
        <f aca="false">'High pensions'!I31</f>
        <v>16760813.2849538</v>
      </c>
      <c r="G31" s="84" t="n">
        <f aca="false">'High pensions'!K31</f>
        <v>193337.894048511</v>
      </c>
      <c r="H31" s="84" t="n">
        <f aca="false">'High pensions'!V31</f>
        <v>1063688.04915395</v>
      </c>
      <c r="I31" s="84" t="n">
        <f aca="false">'High pensions'!M31</f>
        <v>5979.52249634601</v>
      </c>
      <c r="J31" s="84" t="n">
        <f aca="false">'High pensions'!W31</f>
        <v>32897.5685305361</v>
      </c>
      <c r="K31" s="9"/>
      <c r="L31" s="84" t="n">
        <f aca="false">'High pensions'!N31</f>
        <v>3241856.85627298</v>
      </c>
      <c r="M31" s="67"/>
      <c r="N31" s="84" t="n">
        <f aca="false">'High pensions'!L31</f>
        <v>698972.402993051</v>
      </c>
      <c r="O31" s="9"/>
      <c r="P31" s="84" t="n">
        <f aca="false">'High pensions'!X31</f>
        <v>20667550.5694075</v>
      </c>
      <c r="Q31" s="67"/>
      <c r="R31" s="84" t="n">
        <f aca="false">'High SIPA income'!G26</f>
        <v>18602478.4112194</v>
      </c>
      <c r="S31" s="67"/>
      <c r="T31" s="84" t="n">
        <f aca="false">'High SIPA income'!J26</f>
        <v>71128188.5137255</v>
      </c>
      <c r="U31" s="9"/>
      <c r="V31" s="84" t="n">
        <f aca="false">'High SIPA income'!F26</f>
        <v>107138.286006879</v>
      </c>
      <c r="W31" s="67"/>
      <c r="X31" s="84" t="n">
        <f aca="false">'High SIPA income'!M26</f>
        <v>269100.485624318</v>
      </c>
      <c r="Y31" s="9"/>
      <c r="Z31" s="9" t="n">
        <f aca="false">R31+V31-N31-L31-F31</f>
        <v>-1992025.84699355</v>
      </c>
      <c r="AA31" s="9"/>
      <c r="AB31" s="9" t="n">
        <f aca="false">T31-P31-D31</f>
        <v>-41752411.510088</v>
      </c>
      <c r="AC31" s="50"/>
      <c r="AD31" s="9" t="n">
        <f aca="false">'Central scenario'!AD31</f>
        <v>20909685152.7339</v>
      </c>
      <c r="AE31" s="9" t="n">
        <f aca="false">'Central scenario'!AE31</f>
        <v>750203.91624212</v>
      </c>
      <c r="AF31" s="9" t="n">
        <f aca="false">'Central scenario'!AF31</f>
        <v>364.361405082009</v>
      </c>
      <c r="AG31" s="9" t="n">
        <f aca="false">'Central scenario'!AG31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-0.00762752402009166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39" t="n">
        <f aca="false">(AW31-AW30)/AW30</f>
        <v>0.00287475505249792</v>
      </c>
      <c r="AZ31" s="12" t="n">
        <f aca="false">workers_and_wage_high!B19</f>
        <v>5961.97243607963</v>
      </c>
      <c r="BA31" s="39" t="n">
        <f aca="false">(AZ31-AZ30)/AZ30</f>
        <v>-0.00389768185551209</v>
      </c>
      <c r="BB31" s="12" t="n">
        <f aca="false">'Central scenario'!BB31</f>
        <v>42.7303296573139</v>
      </c>
      <c r="BC31" s="12" t="n">
        <f aca="false">'Central scenario'!BC31</f>
        <v>11.8941748394379</v>
      </c>
      <c r="BD31" s="12" t="n">
        <f aca="false">BB31+BC31/2</f>
        <v>48.6774170770329</v>
      </c>
      <c r="BE31" s="39" t="n">
        <f aca="false">BD31/BD30-1</f>
        <v>-0.116243880260073</v>
      </c>
      <c r="BF31" s="7"/>
      <c r="BG31" s="7"/>
      <c r="BH31" s="7"/>
      <c r="BI31" s="39" t="n">
        <f aca="false">T38/AG38</f>
        <v>0.0110124435274167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32778913.3656867</v>
      </c>
      <c r="D32" s="84" t="n">
        <f aca="false">'High pensions'!Q32</f>
        <v>94281741.8247573</v>
      </c>
      <c r="E32" s="9"/>
      <c r="F32" s="84" t="n">
        <f aca="false">'High pensions'!I32</f>
        <v>17136822.6108422</v>
      </c>
      <c r="G32" s="84" t="n">
        <f aca="false">'High pensions'!K32</f>
        <v>184584.827388577</v>
      </c>
      <c r="H32" s="84" t="n">
        <f aca="false">'High pensions'!V32</f>
        <v>1015531.25896317</v>
      </c>
      <c r="I32" s="84" t="n">
        <f aca="false">'High pensions'!M32</f>
        <v>5708.80909449203</v>
      </c>
      <c r="J32" s="84" t="n">
        <f aca="false">'High pensions'!W32</f>
        <v>31408.1832669021</v>
      </c>
      <c r="K32" s="9"/>
      <c r="L32" s="84" t="n">
        <f aca="false">'High pensions'!N32</f>
        <v>3172850.31297567</v>
      </c>
      <c r="M32" s="67"/>
      <c r="N32" s="84" t="n">
        <f aca="false">'High pensions'!L32</f>
        <v>716112.970466007</v>
      </c>
      <c r="O32" s="9"/>
      <c r="P32" s="84" t="n">
        <f aca="false">'High pensions'!X32</f>
        <v>20403777.6331457</v>
      </c>
      <c r="Q32" s="67"/>
      <c r="R32" s="84" t="n">
        <f aca="false">'High SIPA income'!G27</f>
        <v>15774950.5098887</v>
      </c>
      <c r="S32" s="67"/>
      <c r="T32" s="84" t="n">
        <f aca="false">'High SIPA income'!J27</f>
        <v>60316890.5163375</v>
      </c>
      <c r="U32" s="9"/>
      <c r="V32" s="84" t="n">
        <f aca="false">'High SIPA income'!F27</f>
        <v>108417.698425432</v>
      </c>
      <c r="W32" s="67"/>
      <c r="X32" s="84" t="n">
        <f aca="false">'High SIPA income'!M27</f>
        <v>272314.000754888</v>
      </c>
      <c r="Y32" s="9"/>
      <c r="Z32" s="9" t="n">
        <f aca="false">R32+V32-N32-L32-F32</f>
        <v>-5142417.68596977</v>
      </c>
      <c r="AA32" s="9"/>
      <c r="AB32" s="9" t="n">
        <f aca="false">T32-P32-D32</f>
        <v>-54368628.9415654</v>
      </c>
      <c r="AC32" s="50"/>
      <c r="AD32" s="9" t="n">
        <f aca="false">'Central scenario'!AD32</f>
        <v>22287255273.2248</v>
      </c>
      <c r="AE32" s="9" t="n">
        <f aca="false">'Central scenario'!AE32</f>
        <v>683792.557917349</v>
      </c>
      <c r="AF32" s="9" t="n">
        <f aca="false">'Central scenario'!AF32</f>
        <v>397.614228233701</v>
      </c>
      <c r="AG32" s="9" t="n">
        <f aca="false">'Central scenario'!AG32</f>
        <v>4989339116.60385</v>
      </c>
      <c r="AH32" s="39" t="n">
        <f aca="false">(AG32-AG31)/AG31</f>
        <v>-0.0885244090132655</v>
      </c>
      <c r="AI32" s="39" t="n">
        <f aca="false">AVERAGE(AG30:AG33)/AVERAGE(AG26:AG29)-1</f>
        <v>-0.0208801486349116</v>
      </c>
      <c r="AJ32" s="39" t="n">
        <f aca="false">AB32/AG32</f>
        <v>-0.0108969600323686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11558765</v>
      </c>
      <c r="AX32" s="7"/>
      <c r="AY32" s="39" t="n">
        <f aca="false">(AW32-AW31)/AW31</f>
        <v>0.0063896901251043</v>
      </c>
      <c r="AZ32" s="12" t="n">
        <f aca="false">workers_and_wage_high!B20</f>
        <v>5869.78477201805</v>
      </c>
      <c r="BA32" s="39" t="n">
        <f aca="false">(AZ32-AZ31)/AZ31</f>
        <v>-0.0154626115853362</v>
      </c>
      <c r="BB32" s="12" t="n">
        <f aca="false">'Central scenario'!BB32</f>
        <v>45.1393247714544</v>
      </c>
      <c r="BC32" s="12" t="n">
        <f aca="false">'Central scenario'!BC32</f>
        <v>12.7247318118192</v>
      </c>
      <c r="BD32" s="12" t="n">
        <f aca="false">BB32+BC32/2</f>
        <v>51.501690677364</v>
      </c>
      <c r="BE32" s="39" t="n">
        <f aca="false">BD32/BD31-1</f>
        <v>0.0580202025892558</v>
      </c>
      <c r="BF32" s="7"/>
      <c r="BG32" s="7"/>
      <c r="BH32" s="7"/>
      <c r="BI32" s="39" t="n">
        <f aca="false">T39/AG39</f>
        <v>0.0117796040512892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4" t="n">
        <f aca="false">'High pensions'!Q33</f>
        <v>93020427.7183878</v>
      </c>
      <c r="E33" s="9"/>
      <c r="F33" s="84" t="n">
        <f aca="false">'High pensions'!I33</f>
        <v>16907563.8415507</v>
      </c>
      <c r="G33" s="84" t="n">
        <f aca="false">'High pensions'!K33</f>
        <v>200549.017114826</v>
      </c>
      <c r="H33" s="84" t="n">
        <f aca="false">'High pensions'!V33</f>
        <v>1103361.52063954</v>
      </c>
      <c r="I33" s="84" t="n">
        <f aca="false">'High pensions'!M33</f>
        <v>6202.54692107698</v>
      </c>
      <c r="J33" s="84" t="n">
        <f aca="false">'High pensions'!W33</f>
        <v>34124.5831125623</v>
      </c>
      <c r="K33" s="9"/>
      <c r="L33" s="84" t="n">
        <f aca="false">'High pensions'!N33</f>
        <v>3286268.97441294</v>
      </c>
      <c r="M33" s="67"/>
      <c r="N33" s="84" t="n">
        <f aca="false">'High pensions'!L33</f>
        <v>707643.565075323</v>
      </c>
      <c r="O33" s="9"/>
      <c r="P33" s="84" t="n">
        <f aca="false">'High pensions'!X33</f>
        <v>20945711.4369323</v>
      </c>
      <c r="Q33" s="67"/>
      <c r="R33" s="84" t="n">
        <f aca="false">'High SIPA income'!G28</f>
        <v>17764545.5337057</v>
      </c>
      <c r="S33" s="67"/>
      <c r="T33" s="84" t="n">
        <f aca="false">'High SIPA income'!J28</f>
        <v>67924279.531485</v>
      </c>
      <c r="U33" s="9"/>
      <c r="V33" s="84" t="n">
        <f aca="false">'High SIPA income'!F28</f>
        <v>110746.114118815</v>
      </c>
      <c r="W33" s="67"/>
      <c r="X33" s="84" t="n">
        <f aca="false">'High SIPA income'!M28</f>
        <v>278162.309675794</v>
      </c>
      <c r="Y33" s="9"/>
      <c r="Z33" s="9" t="n">
        <f aca="false">R33+V33-N33-L33-F33</f>
        <v>-3026184.7332144</v>
      </c>
      <c r="AA33" s="9"/>
      <c r="AB33" s="9" t="n">
        <f aca="false">T33-P33-D33</f>
        <v>-46041859.6238351</v>
      </c>
      <c r="AC33" s="50"/>
      <c r="AD33" s="9" t="n">
        <f aca="false">'Central scenario'!AD33</f>
        <v>25179945991.8152</v>
      </c>
      <c r="AE33" s="9" t="n">
        <f aca="false">'Central scenario'!AE33</f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-0.00938381581106142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11625202</v>
      </c>
      <c r="AX33" s="7"/>
      <c r="AY33" s="39" t="n">
        <f aca="false">(AW33-AW32)/AW32</f>
        <v>0.00574775938432869</v>
      </c>
      <c r="AZ33" s="12" t="n">
        <f aca="false">workers_and_wage_high!B21</f>
        <v>5675.71936373082</v>
      </c>
      <c r="BA33" s="39" t="n">
        <f aca="false">(AZ33-AZ32)/AZ32</f>
        <v>-0.0330617587909462</v>
      </c>
      <c r="BB33" s="12" t="n">
        <f aca="false">'Central scenario'!BB33</f>
        <v>45.6642623283349</v>
      </c>
      <c r="BC33" s="12" t="n">
        <f aca="false">'Central scenario'!BC33</f>
        <v>13.3006153702016</v>
      </c>
      <c r="BD33" s="12" t="n">
        <f aca="false">BB33+BC33/2</f>
        <v>52.3145700134357</v>
      </c>
      <c r="BE33" s="39" t="n">
        <f aca="false">BD33/BD32-1</f>
        <v>0.0157835466249845</v>
      </c>
      <c r="BF33" s="7"/>
      <c r="BG33" s="73" t="n">
        <f aca="false">(BB33-BB29)/BB29</f>
        <v>-0.0313646626871588</v>
      </c>
      <c r="BH33" s="7"/>
      <c r="BI33" s="39" t="n">
        <f aca="false">T40/AG40</f>
        <v>0.0114488060704862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3" t="n">
        <f aca="false">'High pensions'!Q34</f>
        <v>94885256.5470433</v>
      </c>
      <c r="E34" s="6"/>
      <c r="F34" s="83" t="n">
        <f aca="false">'High pensions'!I34</f>
        <v>17246518.5555573</v>
      </c>
      <c r="G34" s="83" t="n">
        <f aca="false">'High pensions'!K34</f>
        <v>221542.378490721</v>
      </c>
      <c r="H34" s="83" t="n">
        <f aca="false">'High pensions'!V34</f>
        <v>1218860.80088672</v>
      </c>
      <c r="I34" s="83" t="n">
        <f aca="false">'High pensions'!M34</f>
        <v>6851.82613888802</v>
      </c>
      <c r="J34" s="83" t="n">
        <f aca="false">'High pensions'!W34</f>
        <v>37696.7258006188</v>
      </c>
      <c r="K34" s="6"/>
      <c r="L34" s="83" t="n">
        <f aca="false">'High pensions'!N34</f>
        <v>3555397.85023694</v>
      </c>
      <c r="M34" s="8"/>
      <c r="N34" s="83" t="n">
        <f aca="false">'High pensions'!L34</f>
        <v>722293.06397881</v>
      </c>
      <c r="O34" s="6"/>
      <c r="P34" s="83" t="n">
        <f aca="false">'High pensions'!X34</f>
        <v>22422819.6736339</v>
      </c>
      <c r="Q34" s="8"/>
      <c r="R34" s="83" t="n">
        <f aca="false">'High SIPA income'!G29</f>
        <v>14396035.7938818</v>
      </c>
      <c r="S34" s="8"/>
      <c r="T34" s="83" t="n">
        <f aca="false">'High SIPA income'!J29</f>
        <v>55044490.5868027</v>
      </c>
      <c r="U34" s="6"/>
      <c r="V34" s="83" t="n">
        <f aca="false">'High SIPA income'!F29</f>
        <v>116909.630505511</v>
      </c>
      <c r="W34" s="8"/>
      <c r="X34" s="83" t="n">
        <f aca="false">'High SIPA income'!M29</f>
        <v>293643.285848092</v>
      </c>
      <c r="Y34" s="6"/>
      <c r="Z34" s="6" t="n">
        <f aca="false">R34+V34-N34-L34-F34</f>
        <v>-7011264.04538568</v>
      </c>
      <c r="AA34" s="6"/>
      <c r="AB34" s="6" t="n">
        <f aca="false">T34-P34-D34</f>
        <v>-62263585.6338745</v>
      </c>
      <c r="AC34" s="50"/>
      <c r="AD34" s="6" t="n">
        <f aca="false">'Central scenario'!AD34</f>
        <v>25352324788.3927</v>
      </c>
      <c r="AE34" s="6" t="n">
        <f aca="false">'Central scenario'!AE34</f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-0.0135578206982151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-0.0112782160580014</v>
      </c>
      <c r="AV34" s="5"/>
      <c r="AW34" s="5" t="n">
        <f aca="false">workers_and_wage_high!C22</f>
        <v>11692196</v>
      </c>
      <c r="AX34" s="5"/>
      <c r="AY34" s="61" t="n">
        <f aca="false">(AW34-AW33)/AW33</f>
        <v>0.00576282459435974</v>
      </c>
      <c r="AZ34" s="11" t="n">
        <f aca="false">workers_and_wage_high!B22</f>
        <v>5895.39994110246</v>
      </c>
      <c r="BA34" s="61" t="n">
        <f aca="false">(AZ34-AZ33)/AZ33</f>
        <v>0.0387053276057745</v>
      </c>
      <c r="BB34" s="11" t="n">
        <f aca="false">BB33*3/4+BB37*1/4</f>
        <v>46.2481967462512</v>
      </c>
      <c r="BC34" s="66" t="n">
        <f aca="false">'Central scenario'!BC34</f>
        <v>13.3006153702016</v>
      </c>
      <c r="BD34" s="11" t="n">
        <f aca="false">BB34+BC34/2</f>
        <v>52.898504431352</v>
      </c>
      <c r="BE34" s="61" t="n">
        <f aca="false">BD34/BD33-1</f>
        <v>0.0111619844675452</v>
      </c>
      <c r="BF34" s="5"/>
      <c r="BG34" s="5"/>
      <c r="BH34" s="5"/>
      <c r="BI34" s="61" t="n">
        <f aca="false">T41/AG41</f>
        <v>0.014032403983953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4" t="n">
        <f aca="false">'High pensions'!Q35</f>
        <v>96936939.1923595</v>
      </c>
      <c r="E35" s="9"/>
      <c r="F35" s="84" t="n">
        <f aca="false">'High pensions'!I35</f>
        <v>17619436.1625726</v>
      </c>
      <c r="G35" s="84" t="n">
        <f aca="false">'High pensions'!K35</f>
        <v>246589.660270168</v>
      </c>
      <c r="H35" s="84" t="n">
        <f aca="false">'High pensions'!V35</f>
        <v>1356663.55509436</v>
      </c>
      <c r="I35" s="84" t="n">
        <f aca="false">'High pensions'!M35</f>
        <v>7626.48433825298</v>
      </c>
      <c r="J35" s="84" t="n">
        <f aca="false">'High pensions'!W35</f>
        <v>41958.6666524048</v>
      </c>
      <c r="K35" s="9"/>
      <c r="L35" s="84" t="n">
        <f aca="false">'High pensions'!N35</f>
        <v>3068409.42281299</v>
      </c>
      <c r="M35" s="67"/>
      <c r="N35" s="84" t="n">
        <f aca="false">'High pensions'!L35</f>
        <v>739682.98935955</v>
      </c>
      <c r="O35" s="9"/>
      <c r="P35" s="84" t="n">
        <f aca="false">'High pensions'!X35</f>
        <v>19991508.6472728</v>
      </c>
      <c r="Q35" s="67"/>
      <c r="R35" s="84" t="n">
        <f aca="false">'High SIPA income'!G30</f>
        <v>16099291.0163526</v>
      </c>
      <c r="S35" s="67"/>
      <c r="T35" s="84" t="n">
        <f aca="false">'High SIPA income'!J30</f>
        <v>61557034.5539454</v>
      </c>
      <c r="U35" s="9"/>
      <c r="V35" s="84" t="n">
        <f aca="false">'High SIPA income'!F30</f>
        <v>104300.087484424</v>
      </c>
      <c r="W35" s="67"/>
      <c r="X35" s="84" t="n">
        <f aca="false">'High SIPA income'!M30</f>
        <v>261971.749211251</v>
      </c>
      <c r="Y35" s="9"/>
      <c r="Z35" s="9" t="n">
        <f aca="false">R35+V35-N35-L35-F35</f>
        <v>-5223937.47090814</v>
      </c>
      <c r="AA35" s="9"/>
      <c r="AB35" s="9" t="n">
        <f aca="false">T35-P35-D35</f>
        <v>-55371413.285687</v>
      </c>
      <c r="AC35" s="50"/>
      <c r="AD35" s="9"/>
      <c r="AE35" s="9"/>
      <c r="AF35" s="9"/>
      <c r="AG35" s="9" t="n">
        <f aca="false">AG34*'Optimist macro hypothesis'!B17/'Optimist macro hypothesis'!B16</f>
        <v>4369993406.05404</v>
      </c>
      <c r="AH35" s="39" t="n">
        <f aca="false">(AG35-AG34)/AG34</f>
        <v>-0.0484392048981271</v>
      </c>
      <c r="AI35" s="39"/>
      <c r="AJ35" s="39" t="n">
        <f aca="false">AB35/AG35</f>
        <v>-0.0126708230746933</v>
      </c>
      <c r="AK35" s="7"/>
      <c r="AL35" s="7"/>
      <c r="AM35" s="86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11097138</v>
      </c>
      <c r="AX35" s="7"/>
      <c r="AY35" s="39" t="n">
        <f aca="false">(AW35-AW34)/AW34</f>
        <v>-0.050893604588907</v>
      </c>
      <c r="AZ35" s="12" t="n">
        <f aca="false">workers_and_wage_high!B23</f>
        <v>5800.35755882689</v>
      </c>
      <c r="BA35" s="39" t="n">
        <f aca="false">(AZ35-AZ34)/AZ34</f>
        <v>-0.0161214477770945</v>
      </c>
      <c r="BB35" s="12" t="n">
        <f aca="false">BB33*2/4+BB37*2/4</f>
        <v>46.8321311641675</v>
      </c>
      <c r="BC35" s="38" t="n">
        <f aca="false">'Central scenario'!BC35</f>
        <v>13.3006153702016</v>
      </c>
      <c r="BD35" s="12" t="n">
        <f aca="false">BB35+BC35/2</f>
        <v>53.4824388492683</v>
      </c>
      <c r="BE35" s="39" t="n">
        <f aca="false">BD35/BD34-1</f>
        <v>0.0110387698894978</v>
      </c>
      <c r="BF35" s="7"/>
      <c r="BG35" s="7" t="e">
        <f aca="false">AVERAGE(BF34:BF37)</f>
        <v>#DIV/0!</v>
      </c>
      <c r="BH35" s="7"/>
      <c r="BI35" s="39" t="n">
        <f aca="false">T42/AG42</f>
        <v>0.0113576226243229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4" t="n">
        <f aca="false">'High pensions'!Q36</f>
        <v>101817243.912484</v>
      </c>
      <c r="E36" s="9"/>
      <c r="F36" s="84" t="n">
        <f aca="false">'High pensions'!I36</f>
        <v>18506489.3147203</v>
      </c>
      <c r="G36" s="84" t="n">
        <f aca="false">'High pensions'!K36</f>
        <v>283960.935079222</v>
      </c>
      <c r="H36" s="84" t="n">
        <f aca="false">'High pensions'!V36</f>
        <v>1562269.28278509</v>
      </c>
      <c r="I36" s="84" t="n">
        <f aca="false">'High pensions'!M36</f>
        <v>8782.296961213</v>
      </c>
      <c r="J36" s="84" t="n">
        <f aca="false">'High pensions'!W36</f>
        <v>48317.6066840748</v>
      </c>
      <c r="K36" s="9"/>
      <c r="L36" s="84" t="n">
        <f aca="false">'High pensions'!N36</f>
        <v>3287260.76656534</v>
      </c>
      <c r="M36" s="67"/>
      <c r="N36" s="84" t="n">
        <f aca="false">'High pensions'!L36</f>
        <v>778832.705785386</v>
      </c>
      <c r="O36" s="9"/>
      <c r="P36" s="84" t="n">
        <f aca="false">'High pensions'!X36</f>
        <v>21342519.4991204</v>
      </c>
      <c r="Q36" s="67"/>
      <c r="R36" s="84" t="n">
        <f aca="false">'High SIPA income'!G31</f>
        <v>13907194.8106263</v>
      </c>
      <c r="S36" s="67"/>
      <c r="T36" s="84" t="n">
        <f aca="false">'High SIPA income'!J31</f>
        <v>53175364.718646</v>
      </c>
      <c r="U36" s="9"/>
      <c r="V36" s="84" t="n">
        <f aca="false">'High SIPA income'!F31</f>
        <v>95948.8427287513</v>
      </c>
      <c r="W36" s="67"/>
      <c r="X36" s="84" t="n">
        <f aca="false">'High SIPA income'!M31</f>
        <v>240995.830115674</v>
      </c>
      <c r="Y36" s="9"/>
      <c r="Z36" s="9" t="n">
        <f aca="false">R36+V36-N36-L36-F36</f>
        <v>-8569439.13371598</v>
      </c>
      <c r="AA36" s="9"/>
      <c r="AB36" s="9" t="n">
        <f aca="false">T36-P36-D36</f>
        <v>-69984398.692958</v>
      </c>
      <c r="AC36" s="50"/>
      <c r="AD36" s="9"/>
      <c r="AE36" s="9"/>
      <c r="AF36" s="9"/>
      <c r="AG36" s="9" t="n">
        <f aca="false">AG35*'Optimist macro hypothesis'!B18/'Optimist macro hypothesis'!B17</f>
        <v>4339852280.56101</v>
      </c>
      <c r="AH36" s="39" t="n">
        <f aca="false">(AG36-AG35)/AG35</f>
        <v>-0.00689729312892669</v>
      </c>
      <c r="AI36" s="39" t="n">
        <f aca="false">AVERAGE(AG34:AG37)/AVERAGE(AG30:AG33)-1</f>
        <v>-0.111795751393979</v>
      </c>
      <c r="AJ36" s="39" t="n">
        <f aca="false">AB36/AG36</f>
        <v>-0.0161259863628149</v>
      </c>
      <c r="AK36" s="7"/>
      <c r="AL36" s="7"/>
      <c r="AU36" s="9"/>
      <c r="AW36" s="7" t="n">
        <f aca="false">workers_and_wage_high!C24</f>
        <v>11683462</v>
      </c>
      <c r="AY36" s="39" t="n">
        <f aca="false">(AW36-AW35)/AW35</f>
        <v>0.0528356050001361</v>
      </c>
      <c r="AZ36" s="12" t="n">
        <f aca="false">workers_and_wage_high!B24</f>
        <v>5502.09402482739</v>
      </c>
      <c r="BA36" s="39" t="n">
        <f aca="false">(AZ36-AZ35)/AZ35</f>
        <v>-0.0514215772001172</v>
      </c>
      <c r="BB36" s="12" t="n">
        <f aca="false">BB33*1/4+BB37*3/4</f>
        <v>47.4160655820837</v>
      </c>
      <c r="BC36" s="38" t="n">
        <f aca="false">'Central scenario'!BC36</f>
        <v>13.3006153702016</v>
      </c>
      <c r="BD36" s="12" t="n">
        <f aca="false">BB36+BC36/2</f>
        <v>54.0663732671845</v>
      </c>
      <c r="BE36" s="39" t="n">
        <f aca="false">BD36/BD35-1</f>
        <v>0.0109182458855701</v>
      </c>
      <c r="BF36" s="7"/>
      <c r="BG36" s="7"/>
      <c r="BI36" s="39" t="n">
        <f aca="false">T43/AG43</f>
        <v>0.011995980030643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4" t="n">
        <f aca="false">'High pensions'!Q37</f>
        <v>102786746.087543</v>
      </c>
      <c r="E37" s="9"/>
      <c r="F37" s="84" t="n">
        <f aca="false">'High pensions'!I37</f>
        <v>18682707.8112527</v>
      </c>
      <c r="G37" s="84" t="n">
        <f aca="false">'High pensions'!K37</f>
        <v>314492.978706449</v>
      </c>
      <c r="H37" s="84" t="n">
        <f aca="false">'High pensions'!V37</f>
        <v>1730247.57841285</v>
      </c>
      <c r="I37" s="84" t="n">
        <f aca="false">'High pensions'!M37</f>
        <v>9726.58697030204</v>
      </c>
      <c r="J37" s="84" t="n">
        <f aca="false">'High pensions'!W37</f>
        <v>53512.8117034874</v>
      </c>
      <c r="K37" s="9"/>
      <c r="L37" s="84" t="n">
        <f aca="false">'High pensions'!N37</f>
        <v>3338369.06091136</v>
      </c>
      <c r="M37" s="67"/>
      <c r="N37" s="84" t="n">
        <f aca="false">'High pensions'!L37</f>
        <v>787972.157628499</v>
      </c>
      <c r="O37" s="9"/>
      <c r="P37" s="84" t="n">
        <f aca="false">'High pensions'!X37</f>
        <v>21658003.2489071</v>
      </c>
      <c r="Q37" s="67"/>
      <c r="R37" s="84" t="n">
        <f aca="false">'High SIPA income'!G32</f>
        <v>16612994.8316547</v>
      </c>
      <c r="S37" s="67"/>
      <c r="T37" s="84" t="n">
        <f aca="false">'High SIPA income'!J32</f>
        <v>63521225.6153357</v>
      </c>
      <c r="U37" s="9"/>
      <c r="V37" s="84" t="n">
        <f aca="false">'High SIPA income'!F32</f>
        <v>98731.5724379163</v>
      </c>
      <c r="W37" s="67"/>
      <c r="X37" s="84" t="n">
        <f aca="false">'High SIPA income'!M32</f>
        <v>247985.244861859</v>
      </c>
      <c r="Y37" s="9"/>
      <c r="Z37" s="9" t="n">
        <f aca="false">R37+V37-N37-L37-F37</f>
        <v>-6097322.62569993</v>
      </c>
      <c r="AA37" s="9"/>
      <c r="AB37" s="9" t="n">
        <f aca="false">T37-P37-D37</f>
        <v>-60923523.721114</v>
      </c>
      <c r="AC37" s="50"/>
      <c r="AD37" s="9"/>
      <c r="AE37" s="9"/>
      <c r="AF37" s="9"/>
      <c r="AG37" s="9" t="n">
        <f aca="false">AG36*'Optimist macro hypothesis'!B19/'Optimist macro hypothesis'!B18</f>
        <v>4662018553.38117</v>
      </c>
      <c r="AH37" s="39" t="n">
        <f aca="false">(AG37-AG36)/AG36</f>
        <v>0.0742343867931176</v>
      </c>
      <c r="AI37" s="39" t="n">
        <f aca="false">(AG37-AG33)/AG33</f>
        <v>-0.0498315278726799</v>
      </c>
      <c r="AJ37" s="39" t="n">
        <f aca="false">AB37/AG37</f>
        <v>-0.0130680568992864</v>
      </c>
      <c r="AK37" s="7"/>
      <c r="AL37" s="7"/>
      <c r="AW37" s="7" t="n">
        <f aca="false">workers_and_wage_high!C25</f>
        <v>11713128</v>
      </c>
      <c r="AY37" s="39" t="n">
        <f aca="false">(AW37-AW36)/AW36</f>
        <v>0.00253914464736565</v>
      </c>
      <c r="AZ37" s="12" t="n">
        <f aca="false">workers_and_wage_high!B25</f>
        <v>5575.17150589064</v>
      </c>
      <c r="BA37" s="39" t="n">
        <f aca="false">(AZ37-AZ36)/AZ36</f>
        <v>0.0132817579513361</v>
      </c>
      <c r="BB37" s="80" t="n">
        <v>48</v>
      </c>
      <c r="BC37" s="38" t="n">
        <f aca="false">'Central scenario'!BC37</f>
        <v>13.3006153702016</v>
      </c>
      <c r="BD37" s="12" t="n">
        <f aca="false">BB37+BC37/2</f>
        <v>54.6503076851008</v>
      </c>
      <c r="BE37" s="39" t="n">
        <f aca="false">BD37/BD36-1</f>
        <v>0.0108003252785349</v>
      </c>
      <c r="BF37" s="7"/>
      <c r="BG37" s="73" t="n">
        <f aca="false">(BB37-BB33)/BB33</f>
        <v>0.0511502333021542</v>
      </c>
      <c r="BI37" s="39" t="n">
        <f aca="false">T44/AG44</f>
        <v>0.0113180058184825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3" t="n">
        <f aca="false">'High pensions'!Q38</f>
        <v>100516109.989072</v>
      </c>
      <c r="E38" s="6"/>
      <c r="F38" s="83" t="n">
        <f aca="false">'High pensions'!I38</f>
        <v>18269992.8223251</v>
      </c>
      <c r="G38" s="83" t="n">
        <f aca="false">'High pensions'!K38</f>
        <v>334744.217030677</v>
      </c>
      <c r="H38" s="83" t="n">
        <f aca="false">'High pensions'!V38</f>
        <v>1841663.91659146</v>
      </c>
      <c r="I38" s="83" t="n">
        <f aca="false">'High pensions'!M38</f>
        <v>10352.913928783</v>
      </c>
      <c r="J38" s="83" t="n">
        <f aca="false">'High pensions'!W38</f>
        <v>56958.6778327209</v>
      </c>
      <c r="K38" s="6"/>
      <c r="L38" s="83" t="n">
        <f aca="false">'High pensions'!N38</f>
        <v>3762570.0789357</v>
      </c>
      <c r="M38" s="8"/>
      <c r="N38" s="83" t="n">
        <f aca="false">'High pensions'!L38</f>
        <v>773228.139429119</v>
      </c>
      <c r="O38" s="6"/>
      <c r="P38" s="83" t="n">
        <f aca="false">'High pensions'!X38</f>
        <v>23778067.1100579</v>
      </c>
      <c r="Q38" s="8"/>
      <c r="R38" s="83" t="n">
        <f aca="false">'High SIPA income'!G33</f>
        <v>13562407.3403804</v>
      </c>
      <c r="S38" s="8"/>
      <c r="T38" s="83" t="n">
        <f aca="false">'High SIPA income'!J33</f>
        <v>51857039.9428448</v>
      </c>
      <c r="U38" s="6"/>
      <c r="V38" s="83" t="n">
        <f aca="false">'High SIPA income'!F33</f>
        <v>101483.968453979</v>
      </c>
      <c r="W38" s="8"/>
      <c r="X38" s="83" t="n">
        <f aca="false">'High SIPA income'!M33</f>
        <v>254898.470116418</v>
      </c>
      <c r="Y38" s="6"/>
      <c r="Z38" s="6" t="n">
        <f aca="false">R38+V38-N38-L38-F38</f>
        <v>-9141899.73185555</v>
      </c>
      <c r="AA38" s="6"/>
      <c r="AB38" s="6" t="n">
        <f aca="false">T38-P38-D38</f>
        <v>-72437137.1562847</v>
      </c>
      <c r="AC38" s="50"/>
      <c r="AD38" s="6"/>
      <c r="AE38" s="6"/>
      <c r="AF38" s="6"/>
      <c r="AG38" s="6" t="n">
        <f aca="false">AG37*'Optimist macro hypothesis'!B20/'Optimist macro hypothesis'!B19</f>
        <v>4708949454.65471</v>
      </c>
      <c r="AH38" s="61" t="n">
        <f aca="false">(AG38-AG37)/AG37</f>
        <v>0.0100666483275794</v>
      </c>
      <c r="AI38" s="61"/>
      <c r="AJ38" s="61" t="n">
        <f aca="false">AB38/AG38</f>
        <v>-0.0153828657227743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0.0255544118473649</v>
      </c>
      <c r="AV38" s="5"/>
      <c r="AW38" s="5" t="n">
        <f aca="false">workers_and_wage_high!C26</f>
        <v>11733535</v>
      </c>
      <c r="AX38" s="5"/>
      <c r="AY38" s="61" t="n">
        <f aca="false">(AW38-AW37)/AW37</f>
        <v>0.00174223315923808</v>
      </c>
      <c r="AZ38" s="11" t="n">
        <f aca="false">workers_and_wage_high!B26</f>
        <v>5800.5480245875</v>
      </c>
      <c r="BA38" s="61" t="n">
        <f aca="false">(AZ38-AZ37)/AZ37</f>
        <v>0.0404250377694624</v>
      </c>
      <c r="BB38" s="11" t="n">
        <f aca="false">BB37*3/4+BB41*1/4</f>
        <v>49.25</v>
      </c>
      <c r="BC38" s="66" t="n">
        <f aca="false">'Central scenario'!BC38</f>
        <v>13.3006153702016</v>
      </c>
      <c r="BD38" s="11" t="n">
        <f aca="false">BB38+BC38/2</f>
        <v>55.9003076851008</v>
      </c>
      <c r="BE38" s="61" t="n">
        <f aca="false">BD38/BD37-1</f>
        <v>0.0228726983057916</v>
      </c>
      <c r="BF38" s="5"/>
      <c r="BG38" s="5"/>
      <c r="BH38" s="5"/>
      <c r="BI38" s="61" t="n">
        <f aca="false">T45/AG45</f>
        <v>0.0135320947071002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4" t="n">
        <f aca="false">'High pensions'!Q39</f>
        <v>100398607.406216</v>
      </c>
      <c r="E39" s="9"/>
      <c r="F39" s="84" t="n">
        <f aca="false">'High pensions'!I39</f>
        <v>18248635.3369866</v>
      </c>
      <c r="G39" s="84" t="n">
        <f aca="false">'High pensions'!K39</f>
        <v>350729.630484805</v>
      </c>
      <c r="H39" s="84" t="n">
        <f aca="false">'High pensions'!V39</f>
        <v>1929610.9449566</v>
      </c>
      <c r="I39" s="84" t="n">
        <f aca="false">'High pensions'!M39</f>
        <v>10847.3081593241</v>
      </c>
      <c r="J39" s="84" t="n">
        <f aca="false">'High pensions'!W39</f>
        <v>59678.6890192773</v>
      </c>
      <c r="K39" s="9"/>
      <c r="L39" s="84" t="n">
        <f aca="false">'High pensions'!N39</f>
        <v>3077281.83276049</v>
      </c>
      <c r="M39" s="67"/>
      <c r="N39" s="84" t="n">
        <f aca="false">'High pensions'!L39</f>
        <v>774525.623633575</v>
      </c>
      <c r="O39" s="9"/>
      <c r="P39" s="84" t="n">
        <f aca="false">'High pensions'!X39</f>
        <v>20229241.5182046</v>
      </c>
      <c r="Q39" s="67"/>
      <c r="R39" s="84" t="n">
        <f aca="false">'High SIPA income'!G34</f>
        <v>16733517.0593816</v>
      </c>
      <c r="S39" s="67"/>
      <c r="T39" s="84" t="n">
        <f aca="false">'High SIPA income'!J34</f>
        <v>63982052.7989162</v>
      </c>
      <c r="U39" s="9"/>
      <c r="V39" s="84" t="n">
        <f aca="false">'High SIPA income'!F34</f>
        <v>104558.37113683</v>
      </c>
      <c r="W39" s="67"/>
      <c r="X39" s="84" t="n">
        <f aca="false">'High SIPA income'!M34</f>
        <v>262620.483280851</v>
      </c>
      <c r="Y39" s="9"/>
      <c r="Z39" s="9" t="n">
        <f aca="false">R39+V39-N39-L39-F39</f>
        <v>-5262367.36286221</v>
      </c>
      <c r="AA39" s="9"/>
      <c r="AB39" s="9" t="n">
        <f aca="false">T39-P39-D39</f>
        <v>-56645796.1255044</v>
      </c>
      <c r="AC39" s="50"/>
      <c r="AD39" s="9"/>
      <c r="AE39" s="9"/>
      <c r="AF39" s="9"/>
      <c r="AG39" s="9" t="n">
        <f aca="false">AG38*'Optimist macro hypothesis'!B21/'Optimist macro hypothesis'!B20</f>
        <v>5431596216.67535</v>
      </c>
      <c r="AH39" s="39" t="n">
        <f aca="false">(AG39-AG38)/AG38</f>
        <v>0.15346241640082</v>
      </c>
      <c r="AI39" s="39"/>
      <c r="AJ39" s="39" t="n">
        <f aca="false">AB39/AG39</f>
        <v>-0.010428940934821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11790495</v>
      </c>
      <c r="AX39" s="7"/>
      <c r="AY39" s="39" t="n">
        <f aca="false">(AW39-AW38)/AW38</f>
        <v>0.00485446201847951</v>
      </c>
      <c r="AZ39" s="12" t="n">
        <f aca="false">workers_and_wage_high!B27</f>
        <v>5994.59024162285</v>
      </c>
      <c r="BA39" s="39" t="n">
        <f aca="false">(AZ39-AZ38)/AZ38</f>
        <v>0.0334523938450022</v>
      </c>
      <c r="BB39" s="12" t="n">
        <f aca="false">BB37*2/4+BB41*2/4</f>
        <v>50.5</v>
      </c>
      <c r="BC39" s="38" t="n">
        <f aca="false">'Central scenario'!BC39</f>
        <v>13.3006153702016</v>
      </c>
      <c r="BD39" s="12" t="n">
        <f aca="false">BB39+BC39/2</f>
        <v>57.1503076851008</v>
      </c>
      <c r="BE39" s="39" t="n">
        <f aca="false">BD39/BD38-1</f>
        <v>0.0223612364898156</v>
      </c>
      <c r="BF39" s="7"/>
      <c r="BG39" s="7"/>
      <c r="BH39" s="7"/>
      <c r="BI39" s="39" t="n">
        <f aca="false">T46/AG46</f>
        <v>0.0115439110952015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4" t="n">
        <f aca="false">'High pensions'!Q40</f>
        <v>102584860.134285</v>
      </c>
      <c r="E40" s="9"/>
      <c r="F40" s="84" t="n">
        <f aca="false">'High pensions'!I40</f>
        <v>18646012.6494786</v>
      </c>
      <c r="G40" s="84" t="n">
        <f aca="false">'High pensions'!K40</f>
        <v>384870.096702811</v>
      </c>
      <c r="H40" s="84" t="n">
        <f aca="false">'High pensions'!V40</f>
        <v>2117441.71702204</v>
      </c>
      <c r="I40" s="84" t="n">
        <f aca="false">'High pensions'!M40</f>
        <v>11903.198867097</v>
      </c>
      <c r="J40" s="84" t="n">
        <f aca="false">'High pensions'!W40</f>
        <v>65487.8881553192</v>
      </c>
      <c r="K40" s="9"/>
      <c r="L40" s="84" t="n">
        <f aca="false">'High pensions'!N40</f>
        <v>3072593.06325215</v>
      </c>
      <c r="M40" s="67"/>
      <c r="N40" s="84" t="n">
        <f aca="false">'High pensions'!L40</f>
        <v>793490.983109105</v>
      </c>
      <c r="O40" s="9"/>
      <c r="P40" s="84" t="n">
        <f aca="false">'High pensions'!X40</f>
        <v>20309253.2830851</v>
      </c>
      <c r="Q40" s="67"/>
      <c r="R40" s="84" t="n">
        <f aca="false">'High SIPA income'!G35</f>
        <v>15181503.7031049</v>
      </c>
      <c r="S40" s="67"/>
      <c r="T40" s="84" t="n">
        <f aca="false">'High SIPA income'!J35</f>
        <v>58047795.215556</v>
      </c>
      <c r="U40" s="9"/>
      <c r="V40" s="84" t="n">
        <f aca="false">'High SIPA income'!F35</f>
        <v>110023.97744833</v>
      </c>
      <c r="W40" s="67"/>
      <c r="X40" s="84" t="n">
        <f aca="false">'High SIPA income'!M35</f>
        <v>276348.510557315</v>
      </c>
      <c r="Y40" s="9"/>
      <c r="Z40" s="9" t="n">
        <f aca="false">R40+V40-N40-L40-F40</f>
        <v>-7220569.01528665</v>
      </c>
      <c r="AA40" s="9"/>
      <c r="AB40" s="9" t="n">
        <f aca="false">T40-P40-D40</f>
        <v>-64846318.2018139</v>
      </c>
      <c r="AC40" s="50"/>
      <c r="AD40" s="9"/>
      <c r="AE40" s="9"/>
      <c r="AF40" s="9"/>
      <c r="AG40" s="9" t="n">
        <f aca="false">AG39*'Optimist macro hypothesis'!B22/'Optimist macro hypothesis'!B21</f>
        <v>5070205125.16123</v>
      </c>
      <c r="AH40" s="39" t="n">
        <f aca="false">(AG40-AG39)/AG39</f>
        <v>-0.0665349700341546</v>
      </c>
      <c r="AI40" s="39" t="n">
        <f aca="false">AVERAGE(AG38:AG41)/AVERAGE(AG34:AG37)-1</f>
        <v>0.130432393423964</v>
      </c>
      <c r="AJ40" s="39" t="n">
        <f aca="false">AB40/AG40</f>
        <v>-0.0127896833759269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11869543</v>
      </c>
      <c r="AX40" s="7"/>
      <c r="AY40" s="39" t="n">
        <f aca="false">(AW40-AW39)/AW39</f>
        <v>0.00670438348856431</v>
      </c>
      <c r="AZ40" s="12" t="n">
        <f aca="false">workers_and_wage_high!B28</f>
        <v>6201.58748230454</v>
      </c>
      <c r="BA40" s="39" t="n">
        <f aca="false">(AZ40-AZ39)/AZ39</f>
        <v>0.034530673880664</v>
      </c>
      <c r="BB40" s="12" t="n">
        <f aca="false">BB37*1/4+BB41*3/4</f>
        <v>51.75</v>
      </c>
      <c r="BC40" s="38" t="n">
        <f aca="false">'Central scenario'!BC40</f>
        <v>13.3006153702016</v>
      </c>
      <c r="BD40" s="12" t="n">
        <f aca="false">BB40+BC40/2</f>
        <v>58.4003076851008</v>
      </c>
      <c r="BE40" s="39" t="n">
        <f aca="false">BD40/BD39-1</f>
        <v>0.0218721482111264</v>
      </c>
      <c r="BF40" s="7"/>
      <c r="BG40" s="7"/>
      <c r="BH40" s="7"/>
      <c r="BI40" s="39" t="n">
        <f aca="false">T47/AG47</f>
        <v>0.0120254143813253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4" t="n">
        <f aca="false">'High pensions'!Q41</f>
        <v>104696140.850464</v>
      </c>
      <c r="E41" s="9"/>
      <c r="F41" s="84" t="n">
        <f aca="false">'High pensions'!I41</f>
        <v>19029762.9113491</v>
      </c>
      <c r="G41" s="84" t="n">
        <f aca="false">'High pensions'!K41</f>
        <v>424605.397649925</v>
      </c>
      <c r="H41" s="84" t="n">
        <f aca="false">'High pensions'!V41</f>
        <v>2336053.6190239</v>
      </c>
      <c r="I41" s="84" t="n">
        <f aca="false">'High pensions'!M41</f>
        <v>13132.125700513</v>
      </c>
      <c r="J41" s="84" t="n">
        <f aca="false">'High pensions'!W41</f>
        <v>72249.0810007383</v>
      </c>
      <c r="K41" s="9"/>
      <c r="L41" s="84" t="n">
        <f aca="false">'High pensions'!N41</f>
        <v>3113452.30017094</v>
      </c>
      <c r="M41" s="67"/>
      <c r="N41" s="84" t="n">
        <f aca="false">'High pensions'!L41</f>
        <v>811784.65566089</v>
      </c>
      <c r="O41" s="9"/>
      <c r="P41" s="84" t="n">
        <f aca="false">'High pensions'!X41</f>
        <v>20621918.4465672</v>
      </c>
      <c r="Q41" s="67"/>
      <c r="R41" s="84" t="n">
        <f aca="false">'High SIPA income'!G36</f>
        <v>18704638.7887455</v>
      </c>
      <c r="S41" s="67"/>
      <c r="T41" s="84" t="n">
        <f aca="false">'High SIPA income'!J36</f>
        <v>71518807.57161</v>
      </c>
      <c r="U41" s="9"/>
      <c r="V41" s="84" t="n">
        <f aca="false">'High SIPA income'!F36</f>
        <v>116252.473841632</v>
      </c>
      <c r="W41" s="67"/>
      <c r="X41" s="84" t="n">
        <f aca="false">'High SIPA income'!M36</f>
        <v>291992.697771951</v>
      </c>
      <c r="Y41" s="9"/>
      <c r="Z41" s="9" t="n">
        <f aca="false">R41+V41-N41-L41-F41</f>
        <v>-4134108.60459381</v>
      </c>
      <c r="AA41" s="9"/>
      <c r="AB41" s="9" t="n">
        <f aca="false">T41-P41-D41</f>
        <v>-53799251.7254213</v>
      </c>
      <c r="AC41" s="50"/>
      <c r="AD41" s="9"/>
      <c r="AE41" s="9"/>
      <c r="AF41" s="9"/>
      <c r="AG41" s="9" t="n">
        <f aca="false">AG40*'Optimist macro hypothesis'!B23/'Optimist macro hypothesis'!B22</f>
        <v>5096689608.80805</v>
      </c>
      <c r="AH41" s="39" t="n">
        <f aca="false">(AG41-AG40)/AG40</f>
        <v>0.00522355269521459</v>
      </c>
      <c r="AI41" s="39" t="n">
        <f aca="false">(AG41-AG37)/AG37</f>
        <v>0.0932366635717551</v>
      </c>
      <c r="AJ41" s="39" t="n">
        <f aca="false">AB41/AG41</f>
        <v>-0.0105557245692274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11931907</v>
      </c>
      <c r="AX41" s="7"/>
      <c r="AY41" s="39" t="n">
        <f aca="false">(AW41-AW40)/AW40</f>
        <v>0.00525411972474425</v>
      </c>
      <c r="AZ41" s="12" t="n">
        <f aca="false">workers_and_wage_high!B29</f>
        <v>6391.98678132025</v>
      </c>
      <c r="BA41" s="39" t="n">
        <f aca="false">(AZ41-AZ40)/AZ40</f>
        <v>0.0307017033233815</v>
      </c>
      <c r="BB41" s="80" t="n">
        <v>53</v>
      </c>
      <c r="BC41" s="38" t="n">
        <f aca="false">'Central scenario'!BC41</f>
        <v>13.3006153702016</v>
      </c>
      <c r="BD41" s="12" t="n">
        <f aca="false">BB41+BC41/2</f>
        <v>59.6503076851008</v>
      </c>
      <c r="BE41" s="39" t="n">
        <f aca="false">BD41/BD40-1</f>
        <v>0.021403996820361</v>
      </c>
      <c r="BF41" s="7"/>
      <c r="BG41" s="73" t="n">
        <f aca="false">(BB41-BB37)/BB37</f>
        <v>0.104166666666667</v>
      </c>
      <c r="BH41" s="7"/>
      <c r="BI41" s="39" t="n">
        <f aca="false">T48/AG48</f>
        <v>0.0113622901831013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3" t="n">
        <f aca="false">'High pensions'!Q42</f>
        <v>106302503.447408</v>
      </c>
      <c r="E42" s="6"/>
      <c r="F42" s="83" t="n">
        <f aca="false">'High pensions'!I42</f>
        <v>19321738.3282192</v>
      </c>
      <c r="G42" s="83" t="n">
        <f aca="false">'High pensions'!K42</f>
        <v>446411.736077546</v>
      </c>
      <c r="H42" s="83" t="n">
        <f aca="false">'High pensions'!V42</f>
        <v>2456025.65914268</v>
      </c>
      <c r="I42" s="83" t="n">
        <f aca="false">'High pensions'!M42</f>
        <v>13806.54853848</v>
      </c>
      <c r="J42" s="83" t="n">
        <f aca="false">'High pensions'!W42</f>
        <v>75959.5564683255</v>
      </c>
      <c r="K42" s="6"/>
      <c r="L42" s="83" t="n">
        <f aca="false">'High pensions'!N42</f>
        <v>3784892.16470182</v>
      </c>
      <c r="M42" s="8"/>
      <c r="N42" s="83" t="n">
        <f aca="false">'High pensions'!L42</f>
        <v>825946.248174921</v>
      </c>
      <c r="O42" s="6"/>
      <c r="P42" s="83" t="n">
        <f aca="false">'High pensions'!X42</f>
        <v>24183935.9991757</v>
      </c>
      <c r="Q42" s="8"/>
      <c r="R42" s="83" t="n">
        <f aca="false">'High SIPA income'!G37</f>
        <v>14931256.8055469</v>
      </c>
      <c r="S42" s="8"/>
      <c r="T42" s="83" t="n">
        <f aca="false">'High SIPA income'!J37</f>
        <v>57090954.5134192</v>
      </c>
      <c r="U42" s="6"/>
      <c r="V42" s="83" t="n">
        <f aca="false">'High SIPA income'!F37</f>
        <v>119609.110142928</v>
      </c>
      <c r="W42" s="8"/>
      <c r="X42" s="83" t="n">
        <f aca="false">'High SIPA income'!M37</f>
        <v>300423.600415708</v>
      </c>
      <c r="Y42" s="6"/>
      <c r="Z42" s="6" t="n">
        <f aca="false">R42+V42-N42-L42-F42</f>
        <v>-8881710.82540602</v>
      </c>
      <c r="AA42" s="6"/>
      <c r="AB42" s="6" t="n">
        <f aca="false">T42-P42-D42</f>
        <v>-73395484.9331645</v>
      </c>
      <c r="AC42" s="50"/>
      <c r="AD42" s="6"/>
      <c r="AE42" s="6"/>
      <c r="AF42" s="6"/>
      <c r="AG42" s="6" t="n">
        <f aca="false">AG41*'Optimist macro hypothesis'!B24/'Optimist macro hypothesis'!B23</f>
        <v>5026664153.39038</v>
      </c>
      <c r="AH42" s="61" t="n">
        <f aca="false">(AG42-AG41)/AG41</f>
        <v>-0.0137393996480888</v>
      </c>
      <c r="AI42" s="61"/>
      <c r="AJ42" s="61" t="n">
        <f aca="false">AB42/AG42</f>
        <v>-0.0146012310935197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0.0162486857983861</v>
      </c>
      <c r="AV42" s="5"/>
      <c r="AW42" s="5" t="n">
        <f aca="false">workers_and_wage_high!C30</f>
        <v>11963031</v>
      </c>
      <c r="AX42" s="5"/>
      <c r="AY42" s="61" t="n">
        <f aca="false">(AW42-AW41)/AW41</f>
        <v>0.00260846820210717</v>
      </c>
      <c r="AZ42" s="11" t="n">
        <f aca="false">workers_and_wage_high!B30</f>
        <v>6516.1153562653</v>
      </c>
      <c r="BA42" s="61" t="n">
        <f aca="false">(AZ42-AZ41)/AZ41</f>
        <v>0.0194194041996144</v>
      </c>
      <c r="BB42" s="11" t="n">
        <f aca="false">BB41*3/4+BB45*1/4</f>
        <v>53</v>
      </c>
      <c r="BC42" s="66" t="n">
        <f aca="false">'Central scenario'!BC42</f>
        <v>13.3006153702016</v>
      </c>
      <c r="BD42" s="11" t="n">
        <f aca="false">BB42+BC42/2</f>
        <v>59.6503076851008</v>
      </c>
      <c r="BE42" s="61" t="n">
        <f aca="false">BD42/BD41-1</f>
        <v>0</v>
      </c>
      <c r="BF42" s="5"/>
      <c r="BG42" s="5"/>
      <c r="BH42" s="5"/>
      <c r="BI42" s="61" t="n">
        <f aca="false">T49/AG49</f>
        <v>0.0135770006812046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4" t="n">
        <f aca="false">'High pensions'!Q43</f>
        <v>108224478.520849</v>
      </c>
      <c r="E43" s="9"/>
      <c r="F43" s="84" t="n">
        <f aca="false">'High pensions'!I43</f>
        <v>19671080.0486685</v>
      </c>
      <c r="G43" s="84" t="n">
        <f aca="false">'High pensions'!K43</f>
        <v>481813.038309838</v>
      </c>
      <c r="H43" s="84" t="n">
        <f aca="false">'High pensions'!V43</f>
        <v>2650793.17895194</v>
      </c>
      <c r="I43" s="84" t="n">
        <f aca="false">'High pensions'!M43</f>
        <v>14901.434174531</v>
      </c>
      <c r="J43" s="84" t="n">
        <f aca="false">'High pensions'!W43</f>
        <v>81983.2941943898</v>
      </c>
      <c r="K43" s="9"/>
      <c r="L43" s="84" t="n">
        <f aca="false">'High pensions'!N43</f>
        <v>3154659.29187493</v>
      </c>
      <c r="M43" s="67"/>
      <c r="N43" s="84" t="n">
        <f aca="false">'High pensions'!L43</f>
        <v>843144.215801269</v>
      </c>
      <c r="O43" s="9"/>
      <c r="P43" s="84" t="n">
        <f aca="false">'High pensions'!X43</f>
        <v>21008272.7697353</v>
      </c>
      <c r="Q43" s="67"/>
      <c r="R43" s="84" t="n">
        <f aca="false">'High SIPA income'!G38</f>
        <v>18199540.5317936</v>
      </c>
      <c r="S43" s="67"/>
      <c r="T43" s="84" t="n">
        <f aca="false">'High SIPA income'!J38</f>
        <v>69587520.6084301</v>
      </c>
      <c r="U43" s="9"/>
      <c r="V43" s="84" t="n">
        <f aca="false">'High SIPA income'!F38</f>
        <v>121097.323360236</v>
      </c>
      <c r="W43" s="67"/>
      <c r="X43" s="84" t="n">
        <f aca="false">'High SIPA income'!M38</f>
        <v>304161.56295381</v>
      </c>
      <c r="Y43" s="9"/>
      <c r="Z43" s="9" t="n">
        <f aca="false">R43+V43-N43-L43-F43</f>
        <v>-5348245.70119079</v>
      </c>
      <c r="AA43" s="9"/>
      <c r="AB43" s="9" t="n">
        <f aca="false">T43-P43-D43</f>
        <v>-59645230.6821542</v>
      </c>
      <c r="AC43" s="50"/>
      <c r="AD43" s="9"/>
      <c r="AE43" s="9"/>
      <c r="AF43" s="9"/>
      <c r="AG43" s="9" t="n">
        <f aca="false">AG42*'Optimist macro hypothesis'!B25/'Optimist macro hypothesis'!B24</f>
        <v>5800903338.5078</v>
      </c>
      <c r="AH43" s="39" t="n">
        <f aca="false">(AG43-AG42)/AG42</f>
        <v>0.154026440098493</v>
      </c>
      <c r="AI43" s="39"/>
      <c r="AJ43" s="39" t="n">
        <f aca="false">AB43/AG43</f>
        <v>-0.010282059052116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11978061</v>
      </c>
      <c r="AX43" s="7"/>
      <c r="AY43" s="39" t="n">
        <f aca="false">(AW43-AW42)/AW42</f>
        <v>0.00125637056361385</v>
      </c>
      <c r="AZ43" s="12" t="n">
        <f aca="false">workers_and_wage_high!B31</f>
        <v>6636.34716668956</v>
      </c>
      <c r="BA43" s="39" t="n">
        <f aca="false">(AZ43-AZ42)/AZ42</f>
        <v>0.0184514551769954</v>
      </c>
      <c r="BB43" s="12" t="n">
        <f aca="false">BB41*2/4+BB45*2/4</f>
        <v>53</v>
      </c>
      <c r="BC43" s="38" t="n">
        <f aca="false">'Central scenario'!BC43</f>
        <v>13.3006153702016</v>
      </c>
      <c r="BD43" s="12" t="n">
        <f aca="false">BB43+BC43/2</f>
        <v>59.6503076851008</v>
      </c>
      <c r="BE43" s="39" t="n">
        <f aca="false">BD43/BD42-1</f>
        <v>0</v>
      </c>
      <c r="BF43" s="7"/>
      <c r="BG43" s="7"/>
      <c r="BH43" s="7"/>
      <c r="BI43" s="39" t="n">
        <f aca="false">T50/AG50</f>
        <v>0.011637721897163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4" t="n">
        <f aca="false">'High pensions'!Q44</f>
        <v>109401170.116603</v>
      </c>
      <c r="E44" s="9"/>
      <c r="F44" s="84" t="n">
        <f aca="false">'High pensions'!I44</f>
        <v>19884957.6749599</v>
      </c>
      <c r="G44" s="84" t="n">
        <f aca="false">'High pensions'!K44</f>
        <v>509567.833945861</v>
      </c>
      <c r="H44" s="84" t="n">
        <f aca="false">'High pensions'!V44</f>
        <v>2803491.87555273</v>
      </c>
      <c r="I44" s="84" t="n">
        <f aca="false">'High pensions'!M44</f>
        <v>15759.829915852</v>
      </c>
      <c r="J44" s="84" t="n">
        <f aca="false">'High pensions'!W44</f>
        <v>86705.9342954486</v>
      </c>
      <c r="K44" s="9"/>
      <c r="L44" s="84" t="n">
        <f aca="false">'High pensions'!N44</f>
        <v>3149838.07657126</v>
      </c>
      <c r="M44" s="67"/>
      <c r="N44" s="84" t="n">
        <f aca="false">'High pensions'!L44</f>
        <v>853405.925833248</v>
      </c>
      <c r="O44" s="9"/>
      <c r="P44" s="84" t="n">
        <f aca="false">'High pensions'!X44</f>
        <v>21039712.3615075</v>
      </c>
      <c r="Q44" s="67"/>
      <c r="R44" s="84" t="n">
        <f aca="false">'High SIPA income'!G39</f>
        <v>15875949.7393239</v>
      </c>
      <c r="S44" s="67"/>
      <c r="T44" s="84" t="n">
        <f aca="false">'High SIPA income'!J39</f>
        <v>60703069.8238579</v>
      </c>
      <c r="U44" s="9"/>
      <c r="V44" s="84" t="n">
        <f aca="false">'High SIPA income'!F39</f>
        <v>127584.454102612</v>
      </c>
      <c r="W44" s="67"/>
      <c r="X44" s="84" t="n">
        <f aca="false">'High SIPA income'!M39</f>
        <v>320455.365086968</v>
      </c>
      <c r="Y44" s="9"/>
      <c r="Z44" s="9" t="n">
        <f aca="false">R44+V44-N44-L44-F44</f>
        <v>-7884667.48393796</v>
      </c>
      <c r="AA44" s="9"/>
      <c r="AB44" s="9" t="n">
        <f aca="false">T44-P44-D44</f>
        <v>-69737812.6542526</v>
      </c>
      <c r="AC44" s="50"/>
      <c r="AD44" s="9"/>
      <c r="AE44" s="9"/>
      <c r="AF44" s="9"/>
      <c r="AG44" s="9" t="n">
        <f aca="false">AG43*'Optimist macro hypothesis'!B26/'Optimist macro hypothesis'!B25</f>
        <v>5363406840.16335</v>
      </c>
      <c r="AH44" s="39" t="n">
        <f aca="false">(AG44-AG43)/AG43</f>
        <v>-0.0754186844383771</v>
      </c>
      <c r="AI44" s="39" t="n">
        <f aca="false">AVERAGE(AG42:AG45)/AVERAGE(AG38:AG41)-1</f>
        <v>0.0614365280852347</v>
      </c>
      <c r="AJ44" s="39" t="n">
        <f aca="false">AB44/AG44</f>
        <v>-0.0130025214816873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11986242</v>
      </c>
      <c r="AX44" s="7"/>
      <c r="AY44" s="39" t="n">
        <f aca="false">(AW44-AW43)/AW43</f>
        <v>0.000682998692359306</v>
      </c>
      <c r="AZ44" s="12" t="n">
        <f aca="false">workers_and_wage_high!B32</f>
        <v>6709.26417125372</v>
      </c>
      <c r="BA44" s="39" t="n">
        <f aca="false">(AZ44-AZ43)/AZ43</f>
        <v>0.0109875211065145</v>
      </c>
      <c r="BB44" s="12" t="n">
        <f aca="false">BB41*1/4+BB45*3/4</f>
        <v>53</v>
      </c>
      <c r="BC44" s="38" t="n">
        <f aca="false">'Central scenario'!BC44</f>
        <v>13.3006153702016</v>
      </c>
      <c r="BD44" s="12" t="n">
        <f aca="false">BB44+BC44/2</f>
        <v>59.6503076851008</v>
      </c>
      <c r="BE44" s="39" t="n">
        <f aca="false">BD44/BD43-1</f>
        <v>0</v>
      </c>
      <c r="BF44" s="7"/>
      <c r="BG44" s="7"/>
      <c r="BH44" s="7"/>
      <c r="BI44" s="39" t="n">
        <f aca="false">T51/AG51</f>
        <v>0.0121714022974655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4" t="n">
        <f aca="false">'High pensions'!Q45</f>
        <v>110549253.759702</v>
      </c>
      <c r="E45" s="9"/>
      <c r="F45" s="84" t="n">
        <f aca="false">'High pensions'!I45</f>
        <v>20093635.4672175</v>
      </c>
      <c r="G45" s="84" t="n">
        <f aca="false">'High pensions'!K45</f>
        <v>539048.827699649</v>
      </c>
      <c r="H45" s="84" t="n">
        <f aca="false">'High pensions'!V45</f>
        <v>2965687.60488667</v>
      </c>
      <c r="I45" s="84" t="n">
        <f aca="false">'High pensions'!M45</f>
        <v>16671.6132278249</v>
      </c>
      <c r="J45" s="84" t="n">
        <f aca="false">'High pensions'!W45</f>
        <v>91722.2970583545</v>
      </c>
      <c r="K45" s="9"/>
      <c r="L45" s="84" t="n">
        <f aca="false">'High pensions'!N45</f>
        <v>3152586.26300242</v>
      </c>
      <c r="M45" s="67"/>
      <c r="N45" s="84" t="n">
        <f aca="false">'High pensions'!L45</f>
        <v>864678.848219674</v>
      </c>
      <c r="O45" s="9"/>
      <c r="P45" s="84" t="n">
        <f aca="false">'High pensions'!X45</f>
        <v>21115993.0068834</v>
      </c>
      <c r="Q45" s="67"/>
      <c r="R45" s="84" t="n">
        <f aca="false">'High SIPA income'!G40</f>
        <v>18984087.0605217</v>
      </c>
      <c r="S45" s="67" t="n">
        <f aca="false">SUM(T42:T45)/AVERAGE(AG42:AG45)</f>
        <v>0.0482427529880968</v>
      </c>
      <c r="T45" s="84" t="n">
        <f aca="false">'High SIPA income'!J40</f>
        <v>72587302.2590033</v>
      </c>
      <c r="U45" s="9"/>
      <c r="V45" s="84" t="n">
        <f aca="false">'High SIPA income'!F40</f>
        <v>133247.930899258</v>
      </c>
      <c r="W45" s="67"/>
      <c r="X45" s="84" t="n">
        <f aca="false">'High SIPA income'!M40</f>
        <v>334680.385974474</v>
      </c>
      <c r="Y45" s="9"/>
      <c r="Z45" s="9" t="n">
        <f aca="false">R45+V45-N45-L45-F45</f>
        <v>-4993565.58701866</v>
      </c>
      <c r="AA45" s="9"/>
      <c r="AB45" s="9" t="n">
        <f aca="false">T45-P45-D45</f>
        <v>-59077944.5075818</v>
      </c>
      <c r="AC45" s="50"/>
      <c r="AD45" s="9"/>
      <c r="AE45" s="9"/>
      <c r="AF45" s="9"/>
      <c r="AG45" s="9" t="n">
        <f aca="false">AG44*'Optimist macro hypothesis'!B27/'Optimist macro hypothesis'!B26</f>
        <v>5364084706.03721</v>
      </c>
      <c r="AH45" s="39" t="n">
        <f aca="false">(AG45-AG44)/AG44</f>
        <v>0.000126387181517581</v>
      </c>
      <c r="AI45" s="39" t="n">
        <f aca="false">(AG45-AG41)/AG41</f>
        <v>0.0524644657126168</v>
      </c>
      <c r="AJ45" s="39" t="n">
        <f aca="false">AB45/AG45</f>
        <v>-0.0110136114071969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12045737</v>
      </c>
      <c r="AX45" s="7"/>
      <c r="AY45" s="39" t="n">
        <f aca="false">(AW45-AW44)/AW44</f>
        <v>0.00496360744259961</v>
      </c>
      <c r="AZ45" s="12" t="n">
        <f aca="false">workers_and_wage_high!B33</f>
        <v>6747.60440231109</v>
      </c>
      <c r="BA45" s="39" t="n">
        <f aca="false">(AZ45-AZ44)/AZ44</f>
        <v>0.00571452100837546</v>
      </c>
      <c r="BB45" s="12" t="n">
        <v>53</v>
      </c>
      <c r="BC45" s="38" t="n">
        <f aca="false">'Central scenario'!BC45</f>
        <v>13.3006153702016</v>
      </c>
      <c r="BD45" s="12" t="n">
        <f aca="false">BB45+BC45/2</f>
        <v>59.6503076851008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0.0114707314188783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3" t="n">
        <f aca="false">'High pensions'!Q46</f>
        <v>111169464.182648</v>
      </c>
      <c r="E46" s="6"/>
      <c r="F46" s="83" t="n">
        <f aca="false">'High pensions'!I46</f>
        <v>20206366.0531583</v>
      </c>
      <c r="G46" s="83" t="n">
        <f aca="false">'High pensions'!K46</f>
        <v>554145.46129299</v>
      </c>
      <c r="H46" s="83" t="n">
        <f aca="false">'High pensions'!V46</f>
        <v>3048744.82869021</v>
      </c>
      <c r="I46" s="83" t="n">
        <f aca="false">'High pensions'!M46</f>
        <v>17138.5194214319</v>
      </c>
      <c r="J46" s="83" t="n">
        <f aca="false">'High pensions'!W46</f>
        <v>94291.0771759818</v>
      </c>
      <c r="K46" s="6"/>
      <c r="L46" s="83" t="n">
        <f aca="false">'High pensions'!N46</f>
        <v>3868097.68756647</v>
      </c>
      <c r="M46" s="8"/>
      <c r="N46" s="83" t="n">
        <f aca="false">'High pensions'!L46</f>
        <v>870328.066913567</v>
      </c>
      <c r="O46" s="6"/>
      <c r="P46" s="83" t="n">
        <f aca="false">'High pensions'!X46</f>
        <v>24859865.5248093</v>
      </c>
      <c r="Q46" s="8"/>
      <c r="R46" s="83" t="n">
        <f aca="false">'High SIPA income'!G41</f>
        <v>16003083.6059835</v>
      </c>
      <c r="S46" s="8"/>
      <c r="T46" s="83" t="n">
        <f aca="false">'High SIPA income'!J41</f>
        <v>61189177.1819394</v>
      </c>
      <c r="U46" s="6"/>
      <c r="V46" s="83" t="n">
        <f aca="false">'High SIPA income'!F41</f>
        <v>134561.42159583</v>
      </c>
      <c r="W46" s="8"/>
      <c r="X46" s="83" t="n">
        <f aca="false">'High SIPA income'!M41</f>
        <v>337979.495914387</v>
      </c>
      <c r="Y46" s="6"/>
      <c r="Z46" s="6" t="n">
        <f aca="false">R46+V46-N46-L46-F46</f>
        <v>-8807146.780059</v>
      </c>
      <c r="AA46" s="6"/>
      <c r="AB46" s="6" t="n">
        <f aca="false">T46-P46-D46</f>
        <v>-74840152.5255176</v>
      </c>
      <c r="AC46" s="50"/>
      <c r="AD46" s="6"/>
      <c r="AE46" s="6"/>
      <c r="AF46" s="6"/>
      <c r="AG46" s="6" t="n">
        <f aca="false">AG45*'Optimist macro hypothesis'!B28/'Optimist macro hypothesis'!B27</f>
        <v>5300558595.55035</v>
      </c>
      <c r="AH46" s="61" t="n">
        <f aca="false">(AG46-AG45)/AG45</f>
        <v>-0.0118428611717043</v>
      </c>
      <c r="AI46" s="61"/>
      <c r="AJ46" s="61" t="n">
        <f aca="false">AB46/AG46</f>
        <v>-0.0141192953867812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0.0143443990478648</v>
      </c>
      <c r="AV46" s="5"/>
      <c r="AW46" s="5" t="n">
        <f aca="false">workers_and_wage_high!C34</f>
        <v>12137487</v>
      </c>
      <c r="AX46" s="5"/>
      <c r="AY46" s="61" t="n">
        <f aca="false">(AW46-AW45)/AW45</f>
        <v>0.00761680252524192</v>
      </c>
      <c r="AZ46" s="11" t="n">
        <f aca="false">workers_and_wage_high!B34</f>
        <v>6809.90160884451</v>
      </c>
      <c r="BA46" s="61" t="n">
        <f aca="false">(AZ46-AZ45)/AZ45</f>
        <v>0.00923249242532396</v>
      </c>
      <c r="BB46" s="11" t="n">
        <f aca="false">BB45*3/4+BB49*1/4</f>
        <v>53</v>
      </c>
      <c r="BC46" s="66" t="n">
        <f aca="false">'Central scenario'!BC46</f>
        <v>13.3006153702016</v>
      </c>
      <c r="BD46" s="11" t="n">
        <f aca="false">BB46+BC46/2</f>
        <v>59.6503076851008</v>
      </c>
      <c r="BE46" s="61" t="n">
        <f aca="false">BD46/BD45-1</f>
        <v>0</v>
      </c>
      <c r="BF46" s="5"/>
      <c r="BG46" s="5"/>
      <c r="BH46" s="5"/>
      <c r="BI46" s="61" t="n">
        <f aca="false">T53/AG53</f>
        <v>0.0136441347515737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4" t="n">
        <f aca="false">'High pensions'!Q47</f>
        <v>111834715.656898</v>
      </c>
      <c r="E47" s="9"/>
      <c r="F47" s="84" t="n">
        <f aca="false">'High pensions'!I47</f>
        <v>20327283.3833348</v>
      </c>
      <c r="G47" s="84" t="n">
        <f aca="false">'High pensions'!K47</f>
        <v>557244.45979573</v>
      </c>
      <c r="H47" s="84" t="n">
        <f aca="false">'High pensions'!V47</f>
        <v>3065794.60409991</v>
      </c>
      <c r="I47" s="84" t="n">
        <f aca="false">'High pensions'!M47</f>
        <v>17234.36473595</v>
      </c>
      <c r="J47" s="84" t="n">
        <f aca="false">'High pensions'!W47</f>
        <v>94818.3898175207</v>
      </c>
      <c r="K47" s="9"/>
      <c r="L47" s="84" t="n">
        <f aca="false">'High pensions'!N47</f>
        <v>3182230.81270605</v>
      </c>
      <c r="M47" s="67"/>
      <c r="N47" s="84" t="n">
        <f aca="false">'High pensions'!L47</f>
        <v>877017.668557346</v>
      </c>
      <c r="O47" s="9"/>
      <c r="P47" s="84" t="n">
        <f aca="false">'High pensions'!X47</f>
        <v>21337703.2651771</v>
      </c>
      <c r="Q47" s="67"/>
      <c r="R47" s="84" t="n">
        <f aca="false">'High SIPA income'!G42</f>
        <v>19078212.5694854</v>
      </c>
      <c r="S47" s="67"/>
      <c r="T47" s="84" t="n">
        <f aca="false">'High SIPA income'!J42</f>
        <v>72947199.3005438</v>
      </c>
      <c r="U47" s="9"/>
      <c r="V47" s="84" t="n">
        <f aca="false">'High SIPA income'!F42</f>
        <v>132902.227237141</v>
      </c>
      <c r="W47" s="67"/>
      <c r="X47" s="84" t="n">
        <f aca="false">'High SIPA income'!M42</f>
        <v>333812.078044368</v>
      </c>
      <c r="Y47" s="9"/>
      <c r="Z47" s="9" t="n">
        <f aca="false">R47+V47-N47-L47-F47</f>
        <v>-5175417.06787562</v>
      </c>
      <c r="AA47" s="9"/>
      <c r="AB47" s="9" t="n">
        <f aca="false">T47-P47-D47</f>
        <v>-60225219.6215317</v>
      </c>
      <c r="AC47" s="50"/>
      <c r="AD47" s="9"/>
      <c r="AE47" s="9"/>
      <c r="AF47" s="9"/>
      <c r="AG47" s="9" t="n">
        <f aca="false">AG46*'Optimist macro hypothesis'!B29/'Optimist macro hypothesis'!B28</f>
        <v>6066086122.88871</v>
      </c>
      <c r="AH47" s="39" t="n">
        <f aca="false">(AG47-AG46)/AG46</f>
        <v>0.144423934485131</v>
      </c>
      <c r="AI47" s="39"/>
      <c r="AJ47" s="39" t="n">
        <f aca="false">AB47/AG47</f>
        <v>-0.00992818407148694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12162380</v>
      </c>
      <c r="AX47" s="7"/>
      <c r="AY47" s="39" t="n">
        <f aca="false">(AW47-AW46)/AW46</f>
        <v>0.00205091877750312</v>
      </c>
      <c r="AZ47" s="12" t="n">
        <f aca="false">workers_and_wage_high!B35</f>
        <v>6818.61398891895</v>
      </c>
      <c r="BA47" s="39" t="n">
        <f aca="false">(AZ47-AZ46)/AZ46</f>
        <v>0.0012793694497913</v>
      </c>
      <c r="BB47" s="12" t="n">
        <f aca="false">BB45*2/4+BB49*2/4</f>
        <v>53</v>
      </c>
      <c r="BC47" s="38" t="n">
        <f aca="false">'Central scenario'!BC47</f>
        <v>13.3006153702016</v>
      </c>
      <c r="BD47" s="12" t="n">
        <f aca="false">BB47+BC47/2</f>
        <v>59.6503076851008</v>
      </c>
      <c r="BE47" s="39" t="n">
        <f aca="false">BD47/BD46-1</f>
        <v>0</v>
      </c>
      <c r="BF47" s="7"/>
      <c r="BG47" s="7"/>
      <c r="BH47" s="7"/>
      <c r="BI47" s="39" t="n">
        <f aca="false">T54/AG54</f>
        <v>0.0113758887020719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4" t="n">
        <f aca="false">'High pensions'!Q48</f>
        <v>112123958.896424</v>
      </c>
      <c r="E48" s="9"/>
      <c r="F48" s="84" t="n">
        <f aca="false">'High pensions'!I48</f>
        <v>20379856.7659559</v>
      </c>
      <c r="G48" s="84" t="n">
        <f aca="false">'High pensions'!K48</f>
        <v>583224.288507891</v>
      </c>
      <c r="H48" s="84" t="n">
        <f aca="false">'High pensions'!V48</f>
        <v>3208727.95638551</v>
      </c>
      <c r="I48" s="84" t="n">
        <f aca="false">'High pensions'!M48</f>
        <v>18037.864593028</v>
      </c>
      <c r="J48" s="84" t="n">
        <f aca="false">'High pensions'!W48</f>
        <v>99239.0089603788</v>
      </c>
      <c r="K48" s="9"/>
      <c r="L48" s="84" t="n">
        <f aca="false">'High pensions'!N48</f>
        <v>3135940.98449865</v>
      </c>
      <c r="M48" s="67"/>
      <c r="N48" s="84" t="n">
        <f aca="false">'High pensions'!L48</f>
        <v>881021.209794272</v>
      </c>
      <c r="O48" s="9"/>
      <c r="P48" s="84" t="n">
        <f aca="false">'High pensions'!X48</f>
        <v>21119531.4292062</v>
      </c>
      <c r="Q48" s="67"/>
      <c r="R48" s="84" t="n">
        <f aca="false">'High SIPA income'!G43</f>
        <v>16668573.4678144</v>
      </c>
      <c r="S48" s="67"/>
      <c r="T48" s="84" t="n">
        <f aca="false">'High SIPA income'!J43</f>
        <v>63733735.3477875</v>
      </c>
      <c r="U48" s="9"/>
      <c r="V48" s="84" t="n">
        <f aca="false">'High SIPA income'!F43</f>
        <v>130897.67832982</v>
      </c>
      <c r="W48" s="67"/>
      <c r="X48" s="84" t="n">
        <f aca="false">'High SIPA income'!M43</f>
        <v>328777.229116664</v>
      </c>
      <c r="Y48" s="9"/>
      <c r="Z48" s="9" t="n">
        <f aca="false">R48+V48-N48-L48-F48</f>
        <v>-7597347.81410458</v>
      </c>
      <c r="AA48" s="9"/>
      <c r="AB48" s="9" t="n">
        <f aca="false">T48-P48-D48</f>
        <v>-69509754.977843</v>
      </c>
      <c r="AC48" s="50"/>
      <c r="AD48" s="9"/>
      <c r="AE48" s="9"/>
      <c r="AF48" s="9"/>
      <c r="AG48" s="9" t="n">
        <f aca="false">AG47*'Optimist macro hypothesis'!B30/'Optimist macro hypothesis'!B29</f>
        <v>5609233202.17401</v>
      </c>
      <c r="AH48" s="39" t="n">
        <f aca="false">(AG48-AG47)/AG47</f>
        <v>-0.0753126334607899</v>
      </c>
      <c r="AI48" s="39" t="n">
        <f aca="false">AVERAGE(AG46:AG49)/AVERAGE(AG42:AG45)-1</f>
        <v>0.0478154277483811</v>
      </c>
      <c r="AJ48" s="39" t="n">
        <f aca="false">AB48/AG48</f>
        <v>-0.0123920244483511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12236064</v>
      </c>
      <c r="AX48" s="7"/>
      <c r="AY48" s="39" t="n">
        <f aca="false">(AW48-AW47)/AW47</f>
        <v>0.00605835371037577</v>
      </c>
      <c r="AZ48" s="12" t="n">
        <f aca="false">workers_and_wage_high!B36</f>
        <v>6852.96938356179</v>
      </c>
      <c r="BA48" s="39" t="n">
        <f aca="false">(AZ48-AZ47)/AZ47</f>
        <v>0.00503847185053615</v>
      </c>
      <c r="BB48" s="12" t="n">
        <f aca="false">BB45*1/4+BB49*3/4</f>
        <v>53</v>
      </c>
      <c r="BC48" s="38" t="n">
        <f aca="false">'Central scenario'!BC48</f>
        <v>13.3006153702016</v>
      </c>
      <c r="BD48" s="12" t="n">
        <f aca="false">BB48+BC48/2</f>
        <v>59.6503076851008</v>
      </c>
      <c r="BE48" s="39" t="n">
        <f aca="false">BD48/BD47-1</f>
        <v>0</v>
      </c>
      <c r="BF48" s="7"/>
      <c r="BG48" s="7"/>
      <c r="BH48" s="7"/>
      <c r="BI48" s="39" t="n">
        <f aca="false">T55/AG55</f>
        <v>0.0134785976009339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4" t="n">
        <f aca="false">'High pensions'!Q49</f>
        <v>112770229.762019</v>
      </c>
      <c r="E49" s="9"/>
      <c r="F49" s="84" t="n">
        <f aca="false">'High pensions'!I49</f>
        <v>20497324.1458314</v>
      </c>
      <c r="G49" s="84" t="n">
        <f aca="false">'High pensions'!K49</f>
        <v>604486.362744412</v>
      </c>
      <c r="H49" s="84" t="n">
        <f aca="false">'High pensions'!V49</f>
        <v>3325705.61550875</v>
      </c>
      <c r="I49" s="84" t="n">
        <f aca="false">'High pensions'!M49</f>
        <v>18695.454517868</v>
      </c>
      <c r="J49" s="84" t="n">
        <f aca="false">'High pensions'!W49</f>
        <v>102856.874706454</v>
      </c>
      <c r="K49" s="9"/>
      <c r="L49" s="84" t="n">
        <f aca="false">'High pensions'!N49</f>
        <v>3120458.9563498</v>
      </c>
      <c r="M49" s="67"/>
      <c r="N49" s="84" t="n">
        <f aca="false">'High pensions'!L49</f>
        <v>888658.634748731</v>
      </c>
      <c r="O49" s="9"/>
      <c r="P49" s="84" t="n">
        <f aca="false">'High pensions'!X49</f>
        <v>21081213.9702381</v>
      </c>
      <c r="Q49" s="67"/>
      <c r="R49" s="84" t="n">
        <f aca="false">'High SIPA income'!G44</f>
        <v>19919746.1750444</v>
      </c>
      <c r="S49" s="67"/>
      <c r="T49" s="84" t="n">
        <f aca="false">'High SIPA income'!J44</f>
        <v>76164875.978547</v>
      </c>
      <c r="U49" s="9"/>
      <c r="V49" s="84" t="n">
        <f aca="false">'High SIPA income'!F44</f>
        <v>129801.587088652</v>
      </c>
      <c r="W49" s="67"/>
      <c r="X49" s="84" t="n">
        <f aca="false">'High SIPA income'!M44</f>
        <v>326024.163930723</v>
      </c>
      <c r="Y49" s="9"/>
      <c r="Z49" s="9" t="n">
        <f aca="false">R49+V49-N49-L49-F49</f>
        <v>-4456893.97479682</v>
      </c>
      <c r="AA49" s="9"/>
      <c r="AB49" s="9" t="n">
        <f aca="false">T49-P49-D49</f>
        <v>-57686567.7537101</v>
      </c>
      <c r="AC49" s="50"/>
      <c r="AD49" s="9"/>
      <c r="AE49" s="9"/>
      <c r="AF49" s="9"/>
      <c r="AG49" s="9" t="n">
        <f aca="false">AG48*'Optimist macro hypothesis'!B31/'Optimist macro hypothesis'!B30</f>
        <v>5609845485.53397</v>
      </c>
      <c r="AH49" s="39" t="n">
        <f aca="false">(AG49-AG48)/AG48</f>
        <v>0.000109156338823027</v>
      </c>
      <c r="AI49" s="39" t="n">
        <f aca="false">(AG49-AG45)/AG45</f>
        <v>0.0458159766232159</v>
      </c>
      <c r="AJ49" s="39" t="n">
        <f aca="false">AB49/AG49</f>
        <v>-0.0102830938753065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12280650</v>
      </c>
      <c r="AX49" s="7"/>
      <c r="AY49" s="39" t="n">
        <f aca="false">(AW49-AW48)/AW48</f>
        <v>0.00364381879663264</v>
      </c>
      <c r="AZ49" s="12" t="n">
        <f aca="false">workers_and_wage_high!B37</f>
        <v>6884.57098585129</v>
      </c>
      <c r="BA49" s="39" t="n">
        <f aca="false">(AZ49-AZ48)/AZ48</f>
        <v>0.00461137362809512</v>
      </c>
      <c r="BB49" s="12" t="n">
        <v>53</v>
      </c>
      <c r="BC49" s="38" t="n">
        <f aca="false">'Central scenario'!BC49</f>
        <v>13.3006153702016</v>
      </c>
      <c r="BD49" s="12" t="n">
        <f aca="false">BB49+BC49/2</f>
        <v>59.6503076851008</v>
      </c>
      <c r="BE49" s="39" t="n">
        <f aca="false">BD49/BD48-1</f>
        <v>0</v>
      </c>
      <c r="BF49" s="7"/>
      <c r="BG49" s="73" t="n">
        <f aca="false">(BB49-BB45)/BB45</f>
        <v>0</v>
      </c>
      <c r="BH49" s="7"/>
      <c r="BI49" s="39" t="n">
        <f aca="false">T56/AG56</f>
        <v>0.0115493881113342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3" t="n">
        <f aca="false">'High pensions'!Q50</f>
        <v>113524850.170548</v>
      </c>
      <c r="E50" s="6"/>
      <c r="F50" s="83" t="n">
        <f aca="false">'High pensions'!I50</f>
        <v>20634485.337693</v>
      </c>
      <c r="G50" s="83" t="n">
        <f aca="false">'High pensions'!K50</f>
        <v>624397.448293748</v>
      </c>
      <c r="H50" s="83" t="n">
        <f aca="false">'High pensions'!V50</f>
        <v>3435250.5334812</v>
      </c>
      <c r="I50" s="83" t="n">
        <f aca="false">'High pensions'!M50</f>
        <v>19311.261287436</v>
      </c>
      <c r="J50" s="83" t="n">
        <f aca="false">'High pensions'!W50</f>
        <v>106244.861860246</v>
      </c>
      <c r="K50" s="6"/>
      <c r="L50" s="83" t="n">
        <f aca="false">'High pensions'!N50</f>
        <v>3812453.20505339</v>
      </c>
      <c r="M50" s="8"/>
      <c r="N50" s="83" t="n">
        <f aca="false">'High pensions'!L50</f>
        <v>896916.726675365</v>
      </c>
      <c r="O50" s="6"/>
      <c r="P50" s="83" t="n">
        <f aca="false">'High pensions'!X50</f>
        <v>24717409.0016126</v>
      </c>
      <c r="Q50" s="8"/>
      <c r="R50" s="83" t="n">
        <f aca="false">'High SIPA income'!G45</f>
        <v>16774102.6275009</v>
      </c>
      <c r="S50" s="8"/>
      <c r="T50" s="83" t="n">
        <f aca="false">'High SIPA income'!J45</f>
        <v>64137235.2362402</v>
      </c>
      <c r="U50" s="6"/>
      <c r="V50" s="83" t="n">
        <f aca="false">'High SIPA income'!F45</f>
        <v>129949.553663499</v>
      </c>
      <c r="W50" s="8"/>
      <c r="X50" s="83" t="n">
        <f aca="false">'High SIPA income'!M45</f>
        <v>326395.813306792</v>
      </c>
      <c r="Y50" s="6"/>
      <c r="Z50" s="6" t="n">
        <f aca="false">R50+V50-N50-L50-F50</f>
        <v>-8439803.08825746</v>
      </c>
      <c r="AA50" s="6"/>
      <c r="AB50" s="6" t="n">
        <f aca="false">T50-P50-D50</f>
        <v>-74105023.93592</v>
      </c>
      <c r="AC50" s="50"/>
      <c r="AD50" s="6"/>
      <c r="AE50" s="6"/>
      <c r="AF50" s="6"/>
      <c r="AG50" s="6" t="n">
        <f aca="false">AG49*'Optimist macro hypothesis'!B32/'Optimist macro hypothesis'!B31</f>
        <v>5511150361.12654</v>
      </c>
      <c r="AH50" s="61" t="n">
        <f aca="false">(AG50-AG49)/AG49</f>
        <v>-0.0175931983620454</v>
      </c>
      <c r="AI50" s="61"/>
      <c r="AJ50" s="61" t="n">
        <f aca="false">AB50/AG50</f>
        <v>-0.0134463803525716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0.0120941784351626</v>
      </c>
      <c r="AV50" s="5"/>
      <c r="AW50" s="5" t="n">
        <f aca="false">workers_and_wage_high!C38</f>
        <v>12300716</v>
      </c>
      <c r="AX50" s="5"/>
      <c r="AY50" s="61" t="n">
        <f aca="false">(AW50-AW49)/AW49</f>
        <v>0.00163395260022882</v>
      </c>
      <c r="AZ50" s="11" t="n">
        <f aca="false">workers_and_wage_high!B38</f>
        <v>6953.99529582236</v>
      </c>
      <c r="BA50" s="61" t="n">
        <f aca="false">(AZ50-AZ49)/AZ49</f>
        <v>0.0100840430164416</v>
      </c>
      <c r="BB50" s="11" t="n">
        <f aca="false">BB49*3/4+BB53*1/4</f>
        <v>53.125</v>
      </c>
      <c r="BC50" s="66" t="n">
        <f aca="false">'Central scenario'!BC50</f>
        <v>13.3006153702016</v>
      </c>
      <c r="BD50" s="11" t="n">
        <f aca="false">BB50+BC50/2</f>
        <v>59.7753076851008</v>
      </c>
      <c r="BE50" s="61" t="n">
        <f aca="false">BD50/BD49-1</f>
        <v>0.0020955466090784</v>
      </c>
      <c r="BF50" s="5"/>
      <c r="BG50" s="5"/>
      <c r="BH50" s="5"/>
      <c r="BI50" s="61" t="n">
        <f aca="false">T57/AG57</f>
        <v>0.0136160188045966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4" t="n">
        <f aca="false">'High pensions'!Q51</f>
        <v>114760266.268471</v>
      </c>
      <c r="E51" s="9"/>
      <c r="F51" s="84" t="n">
        <f aca="false">'High pensions'!I51</f>
        <v>20859036.837389</v>
      </c>
      <c r="G51" s="84" t="n">
        <f aca="false">'High pensions'!K51</f>
        <v>640357.054743895</v>
      </c>
      <c r="H51" s="84" t="n">
        <f aca="false">'High pensions'!V51</f>
        <v>3523055.57932473</v>
      </c>
      <c r="I51" s="84" t="n">
        <f aca="false">'High pensions'!M51</f>
        <v>19804.857363214</v>
      </c>
      <c r="J51" s="84" t="n">
        <f aca="false">'High pensions'!W51</f>
        <v>108960.48183479</v>
      </c>
      <c r="K51" s="9"/>
      <c r="L51" s="84" t="n">
        <f aca="false">'High pensions'!N51</f>
        <v>3218481.85955248</v>
      </c>
      <c r="M51" s="67"/>
      <c r="N51" s="84" t="n">
        <f aca="false">'High pensions'!L51</f>
        <v>909224.371076282</v>
      </c>
      <c r="O51" s="9"/>
      <c r="P51" s="84" t="n">
        <f aca="false">'High pensions'!X51</f>
        <v>21703001.8943391</v>
      </c>
      <c r="Q51" s="67"/>
      <c r="R51" s="84" t="n">
        <f aca="false">'High SIPA income'!G46</f>
        <v>20074916.3662327</v>
      </c>
      <c r="S51" s="67"/>
      <c r="T51" s="84" t="n">
        <f aca="false">'High SIPA income'!J46</f>
        <v>76758182.6534194</v>
      </c>
      <c r="U51" s="9"/>
      <c r="V51" s="84" t="n">
        <f aca="false">'High SIPA income'!F46</f>
        <v>136747.386811614</v>
      </c>
      <c r="W51" s="67"/>
      <c r="X51" s="84" t="n">
        <f aca="false">'High SIPA income'!M46</f>
        <v>343470.010305177</v>
      </c>
      <c r="Y51" s="9"/>
      <c r="Z51" s="9" t="n">
        <f aca="false">R51+V51-N51-L51-F51</f>
        <v>-4775079.31497348</v>
      </c>
      <c r="AA51" s="9"/>
      <c r="AB51" s="9" t="n">
        <f aca="false">T51-P51-D51</f>
        <v>-59705085.5093909</v>
      </c>
      <c r="AC51" s="50"/>
      <c r="AD51" s="9"/>
      <c r="AE51" s="9"/>
      <c r="AF51" s="9"/>
      <c r="AG51" s="9" t="n">
        <f aca="false">AG50*'Optimist macro hypothesis'!B33/'Optimist macro hypothesis'!B32</f>
        <v>6306437070.88731</v>
      </c>
      <c r="AH51" s="39" t="n">
        <f aca="false">(AG51-AG50)/AG50</f>
        <v>0.144305028469266</v>
      </c>
      <c r="AI51" s="39"/>
      <c r="AJ51" s="39" t="n">
        <f aca="false">AB51/AG51</f>
        <v>-0.00946732439224838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12358863</v>
      </c>
      <c r="AX51" s="7"/>
      <c r="AY51" s="39" t="n">
        <f aca="false">(AW51-AW50)/AW50</f>
        <v>0.00472712320160875</v>
      </c>
      <c r="AZ51" s="12" t="n">
        <f aca="false">workers_and_wage_high!B39</f>
        <v>7003.12251580633</v>
      </c>
      <c r="BA51" s="39" t="n">
        <f aca="false">(AZ51-AZ50)/AZ50</f>
        <v>0.00706460356875463</v>
      </c>
      <c r="BB51" s="12" t="n">
        <f aca="false">BB49*2/4+BB53*2/4</f>
        <v>53.25</v>
      </c>
      <c r="BC51" s="38" t="n">
        <f aca="false">'Central scenario'!BC51</f>
        <v>13.3006153702016</v>
      </c>
      <c r="BD51" s="12" t="n">
        <f aca="false">BB51+BC51/2</f>
        <v>59.9003076851008</v>
      </c>
      <c r="BE51" s="39" t="n">
        <f aca="false">BD51/BD50-1</f>
        <v>0.00209116447645075</v>
      </c>
      <c r="BF51" s="7"/>
      <c r="BG51" s="7"/>
      <c r="BH51" s="7"/>
      <c r="BI51" s="39" t="n">
        <f aca="false">T58/AG58</f>
        <v>0.0114562631676151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4" t="n">
        <f aca="false">'High pensions'!Q52</f>
        <v>116277600.519824</v>
      </c>
      <c r="E52" s="9"/>
      <c r="F52" s="84" t="n">
        <f aca="false">'High pensions'!I52</f>
        <v>21134830.2985993</v>
      </c>
      <c r="G52" s="84" t="n">
        <f aca="false">'High pensions'!K52</f>
        <v>672070.929267591</v>
      </c>
      <c r="H52" s="84" t="n">
        <f aca="false">'High pensions'!V52</f>
        <v>3697535.95984837</v>
      </c>
      <c r="I52" s="84" t="n">
        <f aca="false">'High pensions'!M52</f>
        <v>20785.698843328</v>
      </c>
      <c r="J52" s="84" t="n">
        <f aca="false">'High pensions'!W52</f>
        <v>114356.782263354</v>
      </c>
      <c r="K52" s="9"/>
      <c r="L52" s="84" t="n">
        <f aca="false">'High pensions'!N52</f>
        <v>3193674.60462331</v>
      </c>
      <c r="M52" s="67"/>
      <c r="N52" s="84" t="n">
        <f aca="false">'High pensions'!L52</f>
        <v>924218.100164875</v>
      </c>
      <c r="O52" s="9"/>
      <c r="P52" s="84" t="n">
        <f aca="false">'High pensions'!X52</f>
        <v>21656768.0041631</v>
      </c>
      <c r="Q52" s="67"/>
      <c r="R52" s="84" t="n">
        <f aca="false">'High SIPA income'!G47</f>
        <v>17444787.9802506</v>
      </c>
      <c r="S52" s="67"/>
      <c r="T52" s="84" t="n">
        <f aca="false">'High SIPA income'!J47</f>
        <v>66701658.8119186</v>
      </c>
      <c r="U52" s="9"/>
      <c r="V52" s="84" t="n">
        <f aca="false">'High SIPA income'!F47</f>
        <v>131534.598542847</v>
      </c>
      <c r="W52" s="67"/>
      <c r="X52" s="84" t="n">
        <f aca="false">'High SIPA income'!M47</f>
        <v>330376.989062595</v>
      </c>
      <c r="Y52" s="9"/>
      <c r="Z52" s="9" t="n">
        <f aca="false">R52+V52-N52-L52-F52</f>
        <v>-7676400.42459404</v>
      </c>
      <c r="AA52" s="9"/>
      <c r="AB52" s="9" t="n">
        <f aca="false">T52-P52-D52</f>
        <v>-71232709.7120684</v>
      </c>
      <c r="AC52" s="50"/>
      <c r="AD52" s="9"/>
      <c r="AE52" s="9"/>
      <c r="AF52" s="9"/>
      <c r="AG52" s="9" t="n">
        <f aca="false">AG51*'Optimist macro hypothesis'!B34/'Optimist macro hypothesis'!B33</f>
        <v>5814943823.21097</v>
      </c>
      <c r="AH52" s="39" t="n">
        <f aca="false">(AG52-AG51)/AG51</f>
        <v>-0.0779351703904645</v>
      </c>
      <c r="AI52" s="39" t="n">
        <f aca="false">AVERAGE(AG50:AG53)/AVERAGE(AG46:AG49)-1</f>
        <v>0.0380517370841205</v>
      </c>
      <c r="AJ52" s="39" t="n">
        <f aca="false">AB52/AG52</f>
        <v>-0.012249939445285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12380413</v>
      </c>
      <c r="AX52" s="7"/>
      <c r="AY52" s="39" t="n">
        <f aca="false">(AW52-AW51)/AW51</f>
        <v>0.00174368791044937</v>
      </c>
      <c r="AZ52" s="12" t="n">
        <f aca="false">workers_and_wage_high!B40</f>
        <v>7028.2237225364</v>
      </c>
      <c r="BA52" s="39" t="n">
        <f aca="false">(AZ52-AZ51)/AZ51</f>
        <v>0.00358428781924283</v>
      </c>
      <c r="BB52" s="12" t="n">
        <f aca="false">BB49*1/4+BB53*3/4</f>
        <v>53.375</v>
      </c>
      <c r="BC52" s="38" t="n">
        <f aca="false">'Central scenario'!BC52</f>
        <v>13.3006153702016</v>
      </c>
      <c r="BD52" s="12" t="n">
        <f aca="false">BB52+BC52/2</f>
        <v>60.0253076851008</v>
      </c>
      <c r="BE52" s="39" t="n">
        <f aca="false">BD52/BD51-1</f>
        <v>0.00208680063309741</v>
      </c>
      <c r="BF52" s="7"/>
      <c r="BG52" s="7"/>
      <c r="BH52" s="7"/>
      <c r="BI52" s="39" t="n">
        <f aca="false">T59/AG59</f>
        <v>0.0135360859862647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4" t="n">
        <f aca="false">'High pensions'!Q53</f>
        <v>116584077.264871</v>
      </c>
      <c r="E53" s="9"/>
      <c r="F53" s="84" t="n">
        <f aca="false">'High pensions'!I53</f>
        <v>21190536.0748459</v>
      </c>
      <c r="G53" s="84" t="n">
        <f aca="false">'High pensions'!K53</f>
        <v>733875.426306841</v>
      </c>
      <c r="H53" s="84" t="n">
        <f aca="false">'High pensions'!V53</f>
        <v>4037566.06728362</v>
      </c>
      <c r="I53" s="84" t="n">
        <f aca="false">'High pensions'!M53</f>
        <v>22697.1781332011</v>
      </c>
      <c r="J53" s="84" t="n">
        <f aca="false">'High pensions'!W53</f>
        <v>124873.177338668</v>
      </c>
      <c r="K53" s="9"/>
      <c r="L53" s="84" t="n">
        <f aca="false">'High pensions'!N53</f>
        <v>3161916.60870302</v>
      </c>
      <c r="M53" s="67"/>
      <c r="N53" s="84" t="n">
        <f aca="false">'High pensions'!L53</f>
        <v>928602.398258399</v>
      </c>
      <c r="O53" s="9"/>
      <c r="P53" s="84" t="n">
        <f aca="false">'High pensions'!X53</f>
        <v>21516096.726895</v>
      </c>
      <c r="Q53" s="67"/>
      <c r="R53" s="84" t="n">
        <f aca="false">'High SIPA income'!G48</f>
        <v>20741819.7210294</v>
      </c>
      <c r="S53" s="67"/>
      <c r="T53" s="84" t="n">
        <f aca="false">'High SIPA income'!J48</f>
        <v>79308145.4321323</v>
      </c>
      <c r="U53" s="9"/>
      <c r="V53" s="84" t="n">
        <f aca="false">'High SIPA income'!F48</f>
        <v>131639.781179261</v>
      </c>
      <c r="W53" s="67"/>
      <c r="X53" s="84" t="n">
        <f aca="false">'High SIPA income'!M48</f>
        <v>330641.177520271</v>
      </c>
      <c r="Y53" s="9"/>
      <c r="Z53" s="9" t="n">
        <f aca="false">R53+V53-N53-L53-F53</f>
        <v>-4407595.57959861</v>
      </c>
      <c r="AA53" s="9"/>
      <c r="AB53" s="9" t="n">
        <f aca="false">T53-P53-D53</f>
        <v>-58792028.559634</v>
      </c>
      <c r="AC53" s="50"/>
      <c r="AD53" s="9"/>
      <c r="AE53" s="9"/>
      <c r="AF53" s="9"/>
      <c r="AG53" s="9" t="n">
        <f aca="false">AG52*'Optimist macro hypothesis'!B35/'Optimist macro hypothesis'!B34</f>
        <v>5812618159.82759</v>
      </c>
      <c r="AH53" s="39" t="n">
        <f aca="false">(AG53-AG52)/AG52</f>
        <v>-0.000399945976105586</v>
      </c>
      <c r="AI53" s="39" t="n">
        <f aca="false">(AG53-AG49)/AG49</f>
        <v>0.0361458572819014</v>
      </c>
      <c r="AJ53" s="39" t="n">
        <f aca="false">AB53/AG53</f>
        <v>-0.0101145519872542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12422264</v>
      </c>
      <c r="AX53" s="7"/>
      <c r="AY53" s="39" t="n">
        <f aca="false">(AW53-AW52)/AW52</f>
        <v>0.00338042034623562</v>
      </c>
      <c r="AZ53" s="12" t="n">
        <f aca="false">workers_and_wage_high!B41</f>
        <v>7049.12040418796</v>
      </c>
      <c r="BA53" s="39" t="n">
        <f aca="false">(AZ53-AZ52)/AZ52</f>
        <v>0.00297325220091585</v>
      </c>
      <c r="BB53" s="7" t="n">
        <v>53.5</v>
      </c>
      <c r="BC53" s="38" t="n">
        <f aca="false">'Central scenario'!BC53</f>
        <v>13.3006153702016</v>
      </c>
      <c r="BD53" s="12" t="n">
        <f aca="false">BB53+BC53/2</f>
        <v>60.1503076851008</v>
      </c>
      <c r="BE53" s="39" t="n">
        <f aca="false">BD53/BD52-1</f>
        <v>0.00208245496475867</v>
      </c>
      <c r="BF53" s="7" t="n">
        <v>100</v>
      </c>
      <c r="BG53" s="73" t="n">
        <f aca="false">(BB53-BB49)/BB49</f>
        <v>0.00943396226415094</v>
      </c>
      <c r="BH53" s="7"/>
      <c r="BI53" s="39" t="n">
        <f aca="false">T60/AG60</f>
        <v>0.0116208629754274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3" t="n">
        <f aca="false">'High pensions'!Q54</f>
        <v>117169563.115863</v>
      </c>
      <c r="E54" s="6"/>
      <c r="F54" s="83" t="n">
        <f aca="false">'High pensions'!I54</f>
        <v>21296955.0587913</v>
      </c>
      <c r="G54" s="83" t="n">
        <f aca="false">'High pensions'!K54</f>
        <v>798083.774994593</v>
      </c>
      <c r="H54" s="83" t="n">
        <f aca="false">'High pensions'!V54</f>
        <v>4390821.45723803</v>
      </c>
      <c r="I54" s="83" t="n">
        <f aca="false">'High pensions'!M54</f>
        <v>24683.003350348</v>
      </c>
      <c r="J54" s="83" t="n">
        <f aca="false">'High pensions'!W54</f>
        <v>135798.601770247</v>
      </c>
      <c r="K54" s="6"/>
      <c r="L54" s="83" t="n">
        <f aca="false">'High pensions'!N54</f>
        <v>3827109.82968829</v>
      </c>
      <c r="M54" s="8"/>
      <c r="N54" s="83" t="n">
        <f aca="false">'High pensions'!L54</f>
        <v>935899.367730253</v>
      </c>
      <c r="O54" s="6"/>
      <c r="P54" s="83" t="n">
        <f aca="false">'High pensions'!X54</f>
        <v>25007933.2858632</v>
      </c>
      <c r="Q54" s="8"/>
      <c r="R54" s="83" t="n">
        <f aca="false">'High SIPA income'!G49</f>
        <v>17570175.0262428</v>
      </c>
      <c r="S54" s="8"/>
      <c r="T54" s="83" t="n">
        <f aca="false">'High SIPA income'!J49</f>
        <v>67181087.0497781</v>
      </c>
      <c r="U54" s="6"/>
      <c r="V54" s="83" t="n">
        <f aca="false">'High SIPA income'!F49</f>
        <v>139333.765584613</v>
      </c>
      <c r="W54" s="8"/>
      <c r="X54" s="83" t="n">
        <f aca="false">'High SIPA income'!M49</f>
        <v>349966.24810926</v>
      </c>
      <c r="Y54" s="6"/>
      <c r="Z54" s="6" t="n">
        <f aca="false">R54+V54-N54-L54-F54</f>
        <v>-8350455.46438246</v>
      </c>
      <c r="AA54" s="6"/>
      <c r="AB54" s="6" t="n">
        <f aca="false">T54-P54-D54</f>
        <v>-74996409.3519478</v>
      </c>
      <c r="AC54" s="50"/>
      <c r="AD54" s="6"/>
      <c r="AE54" s="6"/>
      <c r="AF54" s="6"/>
      <c r="AG54" s="6" t="n">
        <f aca="false">BF54/100*$AG$53</f>
        <v>5905568242.55342</v>
      </c>
      <c r="AH54" s="61" t="n">
        <f aca="false">(AG54-AG53)/AG53</f>
        <v>0.0159910870058915</v>
      </c>
      <c r="AI54" s="61"/>
      <c r="AJ54" s="61" t="n">
        <f aca="false">AB54/AG54</f>
        <v>-0.0126992706326803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0.00920858358804309</v>
      </c>
      <c r="AV54" s="5"/>
      <c r="AW54" s="5" t="n">
        <f aca="false">workers_and_wage_high!C42</f>
        <v>12515350</v>
      </c>
      <c r="AX54" s="5"/>
      <c r="AY54" s="61" t="n">
        <f aca="false">(AW54-AW53)/AW53</f>
        <v>0.00749348105949125</v>
      </c>
      <c r="AZ54" s="11" t="n">
        <f aca="false">workers_and_wage_high!B42</f>
        <v>7108.57552582361</v>
      </c>
      <c r="BA54" s="61" t="n">
        <f aca="false">(AZ54-AZ53)/AZ53</f>
        <v>0.00843440290796103</v>
      </c>
      <c r="BB54" s="66"/>
      <c r="BC54" s="66"/>
      <c r="BD54" s="66"/>
      <c r="BE54" s="66"/>
      <c r="BF54" s="5" t="n">
        <f aca="false">BF53*(1+AY54)*(1+BA54)*(1-BE54)</f>
        <v>101.599108700589</v>
      </c>
      <c r="BG54" s="5"/>
      <c r="BH54" s="5"/>
      <c r="BI54" s="61" t="n">
        <f aca="false">T61/AG61</f>
        <v>0.0136034271695524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4" t="n">
        <f aca="false">'High pensions'!Q55</f>
        <v>117572783.991744</v>
      </c>
      <c r="E55" s="9"/>
      <c r="F55" s="84" t="n">
        <f aca="false">'High pensions'!I55</f>
        <v>21370245.2259989</v>
      </c>
      <c r="G55" s="84" t="n">
        <f aca="false">'High pensions'!K55</f>
        <v>900874.232995467</v>
      </c>
      <c r="H55" s="84" t="n">
        <f aca="false">'High pensions'!V55</f>
        <v>4956344.22907063</v>
      </c>
      <c r="I55" s="84" t="n">
        <f aca="false">'High pensions'!M55</f>
        <v>27862.0896802719</v>
      </c>
      <c r="J55" s="84" t="n">
        <f aca="false">'High pensions'!W55</f>
        <v>153288.996775379</v>
      </c>
      <c r="K55" s="9"/>
      <c r="L55" s="84" t="n">
        <f aca="false">'High pensions'!N55</f>
        <v>3138372.2693302</v>
      </c>
      <c r="M55" s="67"/>
      <c r="N55" s="84" t="n">
        <f aca="false">'High pensions'!L55</f>
        <v>940910.372052826</v>
      </c>
      <c r="O55" s="9"/>
      <c r="P55" s="84" t="n">
        <f aca="false">'High pensions'!X55</f>
        <v>21461639.878342</v>
      </c>
      <c r="Q55" s="67"/>
      <c r="R55" s="84" t="n">
        <f aca="false">'High SIPA income'!G50</f>
        <v>21014494.0938268</v>
      </c>
      <c r="S55" s="67"/>
      <c r="T55" s="84" t="n">
        <f aca="false">'High SIPA income'!J50</f>
        <v>80350739.5296744</v>
      </c>
      <c r="U55" s="9"/>
      <c r="V55" s="84" t="n">
        <f aca="false">'High SIPA income'!F50</f>
        <v>136218.15107575</v>
      </c>
      <c r="W55" s="67"/>
      <c r="X55" s="84" t="n">
        <f aca="false">'High SIPA income'!M50</f>
        <v>342140.722719584</v>
      </c>
      <c r="Y55" s="9"/>
      <c r="Z55" s="9" t="n">
        <f aca="false">R55+V55-N55-L55-F55</f>
        <v>-4298815.62247944</v>
      </c>
      <c r="AA55" s="9"/>
      <c r="AB55" s="9" t="n">
        <f aca="false">T55-P55-D55</f>
        <v>-58683684.3404113</v>
      </c>
      <c r="AC55" s="50"/>
      <c r="AD55" s="9"/>
      <c r="AE55" s="9"/>
      <c r="AF55" s="9"/>
      <c r="AG55" s="9" t="n">
        <f aca="false">BF55/100*$AG$53</f>
        <v>5961357546.87916</v>
      </c>
      <c r="AH55" s="39" t="n">
        <f aca="false">(AG55-AG54)/AG54</f>
        <v>0.00944689859372623</v>
      </c>
      <c r="AI55" s="39"/>
      <c r="AJ55" s="39" t="n">
        <f aca="false">AB55/AG55</f>
        <v>-0.00984401352861866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12547843</v>
      </c>
      <c r="AX55" s="7"/>
      <c r="AY55" s="39" t="n">
        <f aca="false">(AW55-AW54)/AW54</f>
        <v>0.00259625180278618</v>
      </c>
      <c r="AZ55" s="12" t="n">
        <f aca="false">workers_and_wage_high!B43</f>
        <v>7157.14776018672</v>
      </c>
      <c r="BA55" s="39" t="n">
        <f aca="false">(AZ55-AZ54)/AZ54</f>
        <v>0.00683290684422769</v>
      </c>
      <c r="BB55" s="38"/>
      <c r="BC55" s="38"/>
      <c r="BD55" s="38"/>
      <c r="BE55" s="38"/>
      <c r="BF55" s="7" t="n">
        <f aca="false">BF54*(1+AY55)*(1+BA55)*(1-BE55)</f>
        <v>102.558905177697</v>
      </c>
      <c r="BG55" s="7"/>
      <c r="BH55" s="7"/>
      <c r="BI55" s="39" t="n">
        <f aca="false">T62/AG62</f>
        <v>0.0115617006883871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4" t="n">
        <f aca="false">'High pensions'!Q56</f>
        <v>118605782.680526</v>
      </c>
      <c r="E56" s="9"/>
      <c r="F56" s="84" t="n">
        <f aca="false">'High pensions'!I56</f>
        <v>21558004.9655231</v>
      </c>
      <c r="G56" s="84" t="n">
        <f aca="false">'High pensions'!K56</f>
        <v>948905.058045233</v>
      </c>
      <c r="H56" s="84" t="n">
        <f aca="false">'High pensions'!V56</f>
        <v>5220595.65710998</v>
      </c>
      <c r="I56" s="84" t="n">
        <f aca="false">'High pensions'!M56</f>
        <v>29347.579114801</v>
      </c>
      <c r="J56" s="84" t="n">
        <f aca="false">'High pensions'!W56</f>
        <v>161461.721353917</v>
      </c>
      <c r="K56" s="9"/>
      <c r="L56" s="84" t="n">
        <f aca="false">'High pensions'!N56</f>
        <v>3159536.00144545</v>
      </c>
      <c r="M56" s="67"/>
      <c r="N56" s="84" t="n">
        <f aca="false">'High pensions'!L56</f>
        <v>951503.278496403</v>
      </c>
      <c r="O56" s="9"/>
      <c r="P56" s="84" t="n">
        <f aca="false">'High pensions'!X56</f>
        <v>21629737.630736</v>
      </c>
      <c r="Q56" s="67"/>
      <c r="R56" s="84" t="n">
        <f aca="false">'High SIPA income'!G51</f>
        <v>18110311.4483645</v>
      </c>
      <c r="S56" s="67"/>
      <c r="T56" s="84" t="n">
        <f aca="false">'High SIPA income'!J51</f>
        <v>69246345.4743025</v>
      </c>
      <c r="U56" s="9"/>
      <c r="V56" s="84" t="n">
        <f aca="false">'High SIPA income'!F51</f>
        <v>140257.749395673</v>
      </c>
      <c r="W56" s="67"/>
      <c r="X56" s="84" t="n">
        <f aca="false">'High SIPA income'!M51</f>
        <v>352287.029050718</v>
      </c>
      <c r="Y56" s="9"/>
      <c r="Z56" s="9" t="n">
        <f aca="false">R56+V56-N56-L56-F56</f>
        <v>-7418475.04770472</v>
      </c>
      <c r="AA56" s="9"/>
      <c r="AB56" s="9" t="n">
        <f aca="false">T56-P56-D56</f>
        <v>-70989174.8369597</v>
      </c>
      <c r="AC56" s="50"/>
      <c r="AD56" s="9"/>
      <c r="AE56" s="9"/>
      <c r="AF56" s="9"/>
      <c r="AG56" s="9" t="n">
        <f aca="false">BF56/100*$AG$53</f>
        <v>5995672221.48736</v>
      </c>
      <c r="AH56" s="39" t="n">
        <f aca="false">(AG56-AG55)/AG55</f>
        <v>0.0057561846170705</v>
      </c>
      <c r="AI56" s="39" t="n">
        <f aca="false">AVERAGE(AG54:AG57)/AVERAGE(AG50:AG53)-1</f>
        <v>0.0190631070365317</v>
      </c>
      <c r="AJ56" s="39" t="n">
        <f aca="false">AB56/AG56</f>
        <v>-0.0118400693391056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12600019</v>
      </c>
      <c r="AX56" s="7"/>
      <c r="AY56" s="39" t="n">
        <f aca="false">(AW56-AW55)/AW55</f>
        <v>0.00415816487343681</v>
      </c>
      <c r="AZ56" s="12" t="n">
        <f aca="false">workers_and_wage_high!B44</f>
        <v>7168.53766252379</v>
      </c>
      <c r="BA56" s="39" t="n">
        <f aca="false">(AZ56-AZ55)/AZ55</f>
        <v>0.00159140242994961</v>
      </c>
      <c r="BB56" s="38"/>
      <c r="BC56" s="38"/>
      <c r="BD56" s="38"/>
      <c r="BE56" s="38"/>
      <c r="BF56" s="7" t="n">
        <f aca="false">BF55*(1+AY56)*(1+BA56)*(1-BE56)</f>
        <v>103.149253170024</v>
      </c>
      <c r="BG56" s="7"/>
      <c r="BH56" s="7"/>
      <c r="BI56" s="39" t="n">
        <f aca="false">T63/AG63</f>
        <v>0.0136548555770867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4" t="n">
        <f aca="false">'High pensions'!Q57</f>
        <v>119086648.261666</v>
      </c>
      <c r="E57" s="9"/>
      <c r="F57" s="84" t="n">
        <f aca="false">'High pensions'!I57</f>
        <v>21645407.9770094</v>
      </c>
      <c r="G57" s="84" t="n">
        <f aca="false">'High pensions'!K57</f>
        <v>1026499.65913253</v>
      </c>
      <c r="H57" s="84" t="n">
        <f aca="false">'High pensions'!V57</f>
        <v>5647498.2581837</v>
      </c>
      <c r="I57" s="84" t="n">
        <f aca="false">'High pensions'!M57</f>
        <v>31747.41213812</v>
      </c>
      <c r="J57" s="84" t="n">
        <f aca="false">'High pensions'!W57</f>
        <v>174664.894583004</v>
      </c>
      <c r="K57" s="9"/>
      <c r="L57" s="84" t="n">
        <f aca="false">'High pensions'!N57</f>
        <v>3140327.72471774</v>
      </c>
      <c r="M57" s="67"/>
      <c r="N57" s="84" t="n">
        <f aca="false">'High pensions'!L57</f>
        <v>957705.81044808</v>
      </c>
      <c r="O57" s="9"/>
      <c r="P57" s="84" t="n">
        <f aca="false">'High pensions'!X57</f>
        <v>21564190.292239</v>
      </c>
      <c r="Q57" s="67"/>
      <c r="R57" s="84" t="n">
        <f aca="false">'High SIPA income'!G52</f>
        <v>21471367.04095</v>
      </c>
      <c r="S57" s="67"/>
      <c r="T57" s="84" t="n">
        <f aca="false">'High SIPA income'!J52</f>
        <v>82097632.8409551</v>
      </c>
      <c r="U57" s="9"/>
      <c r="V57" s="84" t="n">
        <f aca="false">'High SIPA income'!F52</f>
        <v>141069.622637299</v>
      </c>
      <c r="W57" s="67"/>
      <c r="X57" s="84" t="n">
        <f aca="false">'High SIPA income'!M52</f>
        <v>354326.220564132</v>
      </c>
      <c r="Y57" s="9"/>
      <c r="Z57" s="9" t="n">
        <f aca="false">R57+V57-N57-L57-F57</f>
        <v>-4131004.8485879</v>
      </c>
      <c r="AA57" s="9"/>
      <c r="AB57" s="9" t="n">
        <f aca="false">T57-P57-D57</f>
        <v>-58553205.7129503</v>
      </c>
      <c r="AC57" s="50"/>
      <c r="AD57" s="9"/>
      <c r="AE57" s="9"/>
      <c r="AF57" s="9"/>
      <c r="AG57" s="9" t="n">
        <f aca="false">BF57/100*$AG$53</f>
        <v>6029488796.91911</v>
      </c>
      <c r="AH57" s="39" t="n">
        <f aca="false">(AG57-AG56)/AG56</f>
        <v>0.0056401641354841</v>
      </c>
      <c r="AI57" s="39" t="n">
        <f aca="false">(AG57-AG53)/AG53</f>
        <v>0.0373103188835557</v>
      </c>
      <c r="AJ57" s="39" t="n">
        <f aca="false">AB57/AG57</f>
        <v>-0.00971113931629979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12672279</v>
      </c>
      <c r="AX57" s="7"/>
      <c r="AY57" s="39" t="n">
        <f aca="false">(AW57-AW56)/AW56</f>
        <v>0.00573491198703748</v>
      </c>
      <c r="AZ57" s="12" t="n">
        <f aca="false">workers_and_wage_high!B45</f>
        <v>7167.86233194293</v>
      </c>
      <c r="BA57" s="39" t="n">
        <f aca="false">(AZ57-AZ56)/AZ56</f>
        <v>-9.42075793770714E-005</v>
      </c>
      <c r="BB57" s="38"/>
      <c r="BC57" s="38"/>
      <c r="BD57" s="38"/>
      <c r="BE57" s="38"/>
      <c r="BF57" s="7" t="n">
        <f aca="false">BF56*(1+AY57)*(1+BA57)*(1-BE57)</f>
        <v>103.731031888356</v>
      </c>
      <c r="BG57" s="73" t="n">
        <f aca="false">(BB57-BB53)/BB53</f>
        <v>-1</v>
      </c>
      <c r="BH57" s="7"/>
      <c r="BI57" s="39" t="n">
        <f aca="false">T64/AG64</f>
        <v>0.0117013261465698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3" t="n">
        <f aca="false">'High pensions'!Q58</f>
        <v>119350143.150204</v>
      </c>
      <c r="E58" s="6"/>
      <c r="F58" s="83" t="n">
        <f aca="false">'High pensions'!I58</f>
        <v>21693301.2920493</v>
      </c>
      <c r="G58" s="83" t="n">
        <f aca="false">'High pensions'!K58</f>
        <v>1139929.28606837</v>
      </c>
      <c r="H58" s="83" t="n">
        <f aca="false">'High pensions'!V58</f>
        <v>6271554.59843416</v>
      </c>
      <c r="I58" s="83" t="n">
        <f aca="false">'High pensions'!M58</f>
        <v>35255.5449299498</v>
      </c>
      <c r="J58" s="83" t="n">
        <f aca="false">'High pensions'!W58</f>
        <v>193965.60613714</v>
      </c>
      <c r="K58" s="6"/>
      <c r="L58" s="83" t="n">
        <f aca="false">'High pensions'!N58</f>
        <v>3844838.5967539</v>
      </c>
      <c r="M58" s="8"/>
      <c r="N58" s="83" t="n">
        <f aca="false">'High pensions'!L58</f>
        <v>961578.337485749</v>
      </c>
      <c r="O58" s="6"/>
      <c r="P58" s="83" t="n">
        <f aca="false">'High pensions'!X58</f>
        <v>25241206.0575195</v>
      </c>
      <c r="Q58" s="8"/>
      <c r="R58" s="83" t="n">
        <f aca="false">'High SIPA income'!G53</f>
        <v>18326221.9730608</v>
      </c>
      <c r="S58" s="8"/>
      <c r="T58" s="83" t="n">
        <f aca="false">'High SIPA income'!J53</f>
        <v>70071898.078811</v>
      </c>
      <c r="U58" s="6"/>
      <c r="V58" s="83" t="n">
        <f aca="false">'High SIPA income'!F53</f>
        <v>143986.687958143</v>
      </c>
      <c r="W58" s="8"/>
      <c r="X58" s="83" t="n">
        <f aca="false">'High SIPA income'!M53</f>
        <v>361653.047636823</v>
      </c>
      <c r="Y58" s="6"/>
      <c r="Z58" s="6" t="n">
        <f aca="false">R58+V58-N58-L58-F58</f>
        <v>-8029509.56527004</v>
      </c>
      <c r="AA58" s="6"/>
      <c r="AB58" s="6" t="n">
        <f aca="false">T58-P58-D58</f>
        <v>-74519451.1289123</v>
      </c>
      <c r="AC58" s="50"/>
      <c r="AD58" s="6"/>
      <c r="AE58" s="6"/>
      <c r="AF58" s="6"/>
      <c r="AG58" s="6" t="n">
        <f aca="false">BF58/100*$AG$53</f>
        <v>6116470707.21039</v>
      </c>
      <c r="AH58" s="61" t="n">
        <f aca="false">(AG58-AG57)/AG57</f>
        <v>0.0144260837395908</v>
      </c>
      <c r="AI58" s="61"/>
      <c r="AJ58" s="61" t="n">
        <f aca="false">AB58/AG58</f>
        <v>-0.0121834068527566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0.0106360177189816</v>
      </c>
      <c r="AV58" s="5"/>
      <c r="AW58" s="5" t="n">
        <f aca="false">workers_and_wage_high!C46</f>
        <v>12755684</v>
      </c>
      <c r="AX58" s="5"/>
      <c r="AY58" s="61" t="n">
        <f aca="false">(AW58-AW57)/AW57</f>
        <v>0.00658168905529937</v>
      </c>
      <c r="AZ58" s="11" t="n">
        <f aca="false">workers_and_wage_high!B46</f>
        <v>7223.7222206989</v>
      </c>
      <c r="BA58" s="61" t="n">
        <f aca="false">(AZ58-AZ57)/AZ57</f>
        <v>0.00779310290419999</v>
      </c>
      <c r="BB58" s="66"/>
      <c r="BC58" s="66"/>
      <c r="BD58" s="66"/>
      <c r="BE58" s="66"/>
      <c r="BF58" s="5" t="n">
        <f aca="false">BF57*(1+AY58)*(1+BA58)*(1-BE58)</f>
        <v>105.227464440771</v>
      </c>
      <c r="BG58" s="5"/>
      <c r="BH58" s="5"/>
      <c r="BI58" s="61" t="n">
        <f aca="false">T65/AG65</f>
        <v>0.0137830327994929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4" t="n">
        <f aca="false">'High pensions'!Q59</f>
        <v>120986300.78012</v>
      </c>
      <c r="E59" s="9"/>
      <c r="F59" s="84" t="n">
        <f aca="false">'High pensions'!I59</f>
        <v>21990692.3088527</v>
      </c>
      <c r="G59" s="84" t="n">
        <f aca="false">'High pensions'!K59</f>
        <v>1210980.76375062</v>
      </c>
      <c r="H59" s="84" t="n">
        <f aca="false">'High pensions'!V59</f>
        <v>6662458.86506682</v>
      </c>
      <c r="I59" s="84" t="n">
        <f aca="false">'High pensions'!M59</f>
        <v>37453.0133118699</v>
      </c>
      <c r="J59" s="84" t="n">
        <f aca="false">'High pensions'!W59</f>
        <v>206055.428816473</v>
      </c>
      <c r="K59" s="9"/>
      <c r="L59" s="84" t="n">
        <f aca="false">'High pensions'!N59</f>
        <v>3145081.68157752</v>
      </c>
      <c r="M59" s="67"/>
      <c r="N59" s="84" t="n">
        <f aca="false">'High pensions'!L59</f>
        <v>977811.50030813</v>
      </c>
      <c r="O59" s="9"/>
      <c r="P59" s="84" t="n">
        <f aca="false">'High pensions'!X59</f>
        <v>21699474.1704562</v>
      </c>
      <c r="Q59" s="67"/>
      <c r="R59" s="84" t="n">
        <f aca="false">'High SIPA income'!G54</f>
        <v>21896571.4935765</v>
      </c>
      <c r="S59" s="67"/>
      <c r="T59" s="84" t="n">
        <f aca="false">'High SIPA income'!J54</f>
        <v>83723438.9187653</v>
      </c>
      <c r="U59" s="9"/>
      <c r="V59" s="84" t="n">
        <f aca="false">'High SIPA income'!F54</f>
        <v>138884.136317412</v>
      </c>
      <c r="W59" s="67"/>
      <c r="X59" s="84" t="n">
        <f aca="false">'High SIPA income'!M54</f>
        <v>348836.909021766</v>
      </c>
      <c r="Y59" s="9"/>
      <c r="Z59" s="9" t="n">
        <f aca="false">R59+V59-N59-L59-F59</f>
        <v>-4078129.8608444</v>
      </c>
      <c r="AA59" s="9"/>
      <c r="AB59" s="9" t="n">
        <f aca="false">T59-P59-D59</f>
        <v>-58962336.0318112</v>
      </c>
      <c r="AC59" s="50"/>
      <c r="AD59" s="9"/>
      <c r="AE59" s="9"/>
      <c r="AF59" s="9"/>
      <c r="AG59" s="9" t="n">
        <f aca="false">BF59/100*$AG$53</f>
        <v>6185202945.94176</v>
      </c>
      <c r="AH59" s="39" t="n">
        <f aca="false">(AG59-AG58)/AG58</f>
        <v>0.011237238273755</v>
      </c>
      <c r="AI59" s="39"/>
      <c r="AJ59" s="39" t="n">
        <f aca="false">AB59/AG59</f>
        <v>-0.00953280539816363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12765503</v>
      </c>
      <c r="AX59" s="7"/>
      <c r="AY59" s="39" t="n">
        <f aca="false">(AW59-AW58)/AW58</f>
        <v>0.00076977447857755</v>
      </c>
      <c r="AZ59" s="12" t="n">
        <f aca="false">workers_and_wage_high!B47</f>
        <v>7299.2781105148</v>
      </c>
      <c r="BA59" s="39" t="n">
        <f aca="false">(AZ59-AZ58)/AZ58</f>
        <v>0.0104594124064463</v>
      </c>
      <c r="BB59" s="38"/>
      <c r="BC59" s="38"/>
      <c r="BD59" s="38"/>
      <c r="BE59" s="38"/>
      <c r="BF59" s="7" t="n">
        <f aca="false">BF58*(1+AY59)*(1+BA59)*(1-BE59)</f>
        <v>106.409930531635</v>
      </c>
      <c r="BG59" s="7"/>
      <c r="BH59" s="7"/>
      <c r="BI59" s="39" t="n">
        <f aca="false">T66/AG66</f>
        <v>0.0117059780064429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4" t="n">
        <f aca="false">'High pensions'!Q60</f>
        <v>122265774.457312</v>
      </c>
      <c r="E60" s="9"/>
      <c r="F60" s="84" t="n">
        <f aca="false">'High pensions'!I60</f>
        <v>22223251.7951001</v>
      </c>
      <c r="G60" s="84" t="n">
        <f aca="false">'High pensions'!K60</f>
        <v>1274774.47815181</v>
      </c>
      <c r="H60" s="84" t="n">
        <f aca="false">'High pensions'!V60</f>
        <v>7013433.05951346</v>
      </c>
      <c r="I60" s="84" t="n">
        <f aca="false">'High pensions'!M60</f>
        <v>39426.0147882001</v>
      </c>
      <c r="J60" s="84" t="n">
        <f aca="false">'High pensions'!W60</f>
        <v>216910.300809694</v>
      </c>
      <c r="K60" s="9"/>
      <c r="L60" s="84" t="n">
        <f aca="false">'High pensions'!N60</f>
        <v>3176107.44924585</v>
      </c>
      <c r="M60" s="67"/>
      <c r="N60" s="84" t="n">
        <f aca="false">'High pensions'!L60</f>
        <v>989780.800833602</v>
      </c>
      <c r="O60" s="9"/>
      <c r="P60" s="84" t="n">
        <f aca="false">'High pensions'!X60</f>
        <v>21926318.586354</v>
      </c>
      <c r="Q60" s="67"/>
      <c r="R60" s="84" t="n">
        <f aca="false">'High SIPA income'!G55</f>
        <v>18958236.6477927</v>
      </c>
      <c r="S60" s="67"/>
      <c r="T60" s="84" t="n">
        <f aca="false">'High SIPA income'!J55</f>
        <v>72488460.9654346</v>
      </c>
      <c r="U60" s="9"/>
      <c r="V60" s="84" t="n">
        <f aca="false">'High SIPA income'!F55</f>
        <v>136753.104214329</v>
      </c>
      <c r="W60" s="67"/>
      <c r="X60" s="84" t="n">
        <f aca="false">'High SIPA income'!M55</f>
        <v>343484.370772425</v>
      </c>
      <c r="Y60" s="9"/>
      <c r="Z60" s="9" t="n">
        <f aca="false">R60+V60-N60-L60-F60</f>
        <v>-7294150.29317254</v>
      </c>
      <c r="AA60" s="9"/>
      <c r="AB60" s="9" t="n">
        <f aca="false">T60-P60-D60</f>
        <v>-71703632.0782315</v>
      </c>
      <c r="AC60" s="50"/>
      <c r="AD60" s="9"/>
      <c r="AE60" s="9"/>
      <c r="AF60" s="9"/>
      <c r="AG60" s="9" t="n">
        <f aca="false">BF60/100*$AG$53</f>
        <v>6237786394.92722</v>
      </c>
      <c r="AH60" s="39" t="n">
        <f aca="false">(AG60-AG59)/AG59</f>
        <v>0.00850149129220785</v>
      </c>
      <c r="AI60" s="39" t="n">
        <f aca="false">AVERAGE(AG58:AG61)/AVERAGE(AG54:AG57)-1</f>
        <v>0.0392359052425686</v>
      </c>
      <c r="AJ60" s="39" t="n">
        <f aca="false">AB60/AG60</f>
        <v>-0.0114950444818924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12830279</v>
      </c>
      <c r="AX60" s="7"/>
      <c r="AY60" s="39" t="n">
        <f aca="false">(AW60-AW59)/AW59</f>
        <v>0.0050743006366455</v>
      </c>
      <c r="AZ60" s="12" t="n">
        <f aca="false">workers_and_wage_high!B48</f>
        <v>7324.16783032642</v>
      </c>
      <c r="BA60" s="39" t="n">
        <f aca="false">(AZ60-AZ59)/AZ59</f>
        <v>0.00340988785942624</v>
      </c>
      <c r="BB60" s="38"/>
      <c r="BC60" s="38"/>
      <c r="BD60" s="38"/>
      <c r="BE60" s="38"/>
      <c r="BF60" s="7" t="n">
        <f aca="false">BF59*(1+AY60)*(1+BA60)*(1-BE60)</f>
        <v>107.314573629454</v>
      </c>
      <c r="BG60" s="7"/>
      <c r="BH60" s="7"/>
      <c r="BI60" s="39" t="n">
        <f aca="false">T67/AG67</f>
        <v>0.0137751983421315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4" t="n">
        <f aca="false">'High pensions'!Q61</f>
        <v>122569562.337086</v>
      </c>
      <c r="E61" s="9"/>
      <c r="F61" s="84" t="n">
        <f aca="false">'High pensions'!I61</f>
        <v>22278468.8382545</v>
      </c>
      <c r="G61" s="84" t="n">
        <f aca="false">'High pensions'!K61</f>
        <v>1346887.45013995</v>
      </c>
      <c r="H61" s="84" t="n">
        <f aca="false">'High pensions'!V61</f>
        <v>7410177.35462568</v>
      </c>
      <c r="I61" s="84" t="n">
        <f aca="false">'High pensions'!M61</f>
        <v>41656.3128909299</v>
      </c>
      <c r="J61" s="84" t="n">
        <f aca="false">'High pensions'!W61</f>
        <v>229180.742926587</v>
      </c>
      <c r="K61" s="9"/>
      <c r="L61" s="84" t="n">
        <f aca="false">'High pensions'!N61</f>
        <v>3178302.18048104</v>
      </c>
      <c r="M61" s="67"/>
      <c r="N61" s="84" t="n">
        <f aca="false">'High pensions'!L61</f>
        <v>994067.260051672</v>
      </c>
      <c r="O61" s="9"/>
      <c r="P61" s="84" t="n">
        <f aca="false">'High pensions'!X61</f>
        <v>21961289.8910746</v>
      </c>
      <c r="Q61" s="67"/>
      <c r="R61" s="84" t="n">
        <f aca="false">'High SIPA income'!G56</f>
        <v>22378542.5720705</v>
      </c>
      <c r="S61" s="67"/>
      <c r="T61" s="84" t="n">
        <f aca="false">'High SIPA income'!J56</f>
        <v>85566297.1106398</v>
      </c>
      <c r="U61" s="9"/>
      <c r="V61" s="84" t="n">
        <f aca="false">'High SIPA income'!F56</f>
        <v>139982.257263846</v>
      </c>
      <c r="W61" s="67"/>
      <c r="X61" s="84" t="n">
        <f aca="false">'High SIPA income'!M56</f>
        <v>351595.072242154</v>
      </c>
      <c r="Y61" s="9"/>
      <c r="Z61" s="9" t="n">
        <f aca="false">R61+V61-N61-L61-F61</f>
        <v>-3932313.44945291</v>
      </c>
      <c r="AA61" s="9"/>
      <c r="AB61" s="9" t="n">
        <f aca="false">T61-P61-D61</f>
        <v>-58964555.1175211</v>
      </c>
      <c r="AC61" s="50"/>
      <c r="AD61" s="9"/>
      <c r="AE61" s="9"/>
      <c r="AF61" s="9"/>
      <c r="AG61" s="9" t="n">
        <f aca="false">BF61/100*$AG$53</f>
        <v>6290054413.79928</v>
      </c>
      <c r="AH61" s="39" t="n">
        <f aca="false">(AG61-AG60)/AG60</f>
        <v>0.00837925757037285</v>
      </c>
      <c r="AI61" s="39" t="n">
        <f aca="false">(AG61-AG57)/AG57</f>
        <v>0.0432152087276971</v>
      </c>
      <c r="AJ61" s="39" t="n">
        <f aca="false">AB61/AG61</f>
        <v>-0.0093742519918688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12927357</v>
      </c>
      <c r="AX61" s="7"/>
      <c r="AY61" s="39" t="n">
        <f aca="false">(AW61-AW60)/AW60</f>
        <v>0.00756632026474249</v>
      </c>
      <c r="AZ61" s="12" t="n">
        <f aca="false">workers_and_wage_high!B49</f>
        <v>7330.07720734927</v>
      </c>
      <c r="BA61" s="39" t="n">
        <f aca="false">(AZ61-AZ60)/AZ60</f>
        <v>0.000806832552140839</v>
      </c>
      <c r="BB61" s="38"/>
      <c r="BC61" s="38"/>
      <c r="BD61" s="38"/>
      <c r="BE61" s="38"/>
      <c r="BF61" s="7" t="n">
        <f aca="false">BF60*(1+AY61)*(1+BA61)*(1-BE61)</f>
        <v>108.21379008295</v>
      </c>
      <c r="BG61" s="7"/>
      <c r="BH61" s="7"/>
      <c r="BI61" s="39" t="n">
        <f aca="false">T68/AG68</f>
        <v>0.0117975520928817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3" t="n">
        <f aca="false">'High pensions'!Q62</f>
        <v>122758642.313752</v>
      </c>
      <c r="E62" s="6"/>
      <c r="F62" s="83" t="n">
        <f aca="false">'High pensions'!I62</f>
        <v>22312836.3621957</v>
      </c>
      <c r="G62" s="83" t="n">
        <f aca="false">'High pensions'!K62</f>
        <v>1385395.79354149</v>
      </c>
      <c r="H62" s="83" t="n">
        <f aca="false">'High pensions'!V62</f>
        <v>7622038.8982228</v>
      </c>
      <c r="I62" s="83" t="n">
        <f aca="false">'High pensions'!M62</f>
        <v>42847.2925837599</v>
      </c>
      <c r="J62" s="83" t="n">
        <f aca="false">'High pensions'!W62</f>
        <v>235733.161800719</v>
      </c>
      <c r="K62" s="6"/>
      <c r="L62" s="83" t="n">
        <f aca="false">'High pensions'!N62</f>
        <v>3851628.75935266</v>
      </c>
      <c r="M62" s="8"/>
      <c r="N62" s="83" t="n">
        <f aca="false">'High pensions'!L62</f>
        <v>996440.106103141</v>
      </c>
      <c r="O62" s="6"/>
      <c r="P62" s="83" t="n">
        <f aca="false">'High pensions'!X62</f>
        <v>25468239.4085717</v>
      </c>
      <c r="Q62" s="8"/>
      <c r="R62" s="83" t="n">
        <f aca="false">'High SIPA income'!G57</f>
        <v>19187559.9627408</v>
      </c>
      <c r="S62" s="8"/>
      <c r="T62" s="83" t="n">
        <f aca="false">'High SIPA income'!J57</f>
        <v>73365298.5359803</v>
      </c>
      <c r="U62" s="6"/>
      <c r="V62" s="83" t="n">
        <f aca="false">'High SIPA income'!F57</f>
        <v>141637.275265987</v>
      </c>
      <c r="W62" s="8"/>
      <c r="X62" s="83" t="n">
        <f aca="false">'High SIPA income'!M57</f>
        <v>355752.000308602</v>
      </c>
      <c r="Y62" s="6"/>
      <c r="Z62" s="6" t="n">
        <f aca="false">R62+V62-N62-L62-F62</f>
        <v>-7831707.98964471</v>
      </c>
      <c r="AA62" s="6"/>
      <c r="AB62" s="6" t="n">
        <f aca="false">T62-P62-D62</f>
        <v>-74861583.1863431</v>
      </c>
      <c r="AC62" s="50"/>
      <c r="AD62" s="6"/>
      <c r="AE62" s="6"/>
      <c r="AF62" s="6"/>
      <c r="AG62" s="6" t="n">
        <f aca="false">BF62/100*$AG$53</f>
        <v>6345545565.77219</v>
      </c>
      <c r="AH62" s="61" t="n">
        <f aca="false">(AG62-AG61)/AG61</f>
        <v>0.00882204641205899</v>
      </c>
      <c r="AI62" s="61"/>
      <c r="AJ62" s="61" t="n">
        <f aca="false">AB62/AG62</f>
        <v>-0.0117975014772797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0.00918661306354733</v>
      </c>
      <c r="AV62" s="5"/>
      <c r="AW62" s="5" t="n">
        <f aca="false">workers_and_wage_high!C50</f>
        <v>12967459</v>
      </c>
      <c r="AX62" s="5"/>
      <c r="AY62" s="61" t="n">
        <f aca="false">(AW62-AW61)/AW61</f>
        <v>0.0031021035467652</v>
      </c>
      <c r="AZ62" s="11" t="n">
        <f aca="false">workers_and_wage_high!B50</f>
        <v>7371.87516856975</v>
      </c>
      <c r="BA62" s="61" t="n">
        <f aca="false">(AZ62-AZ61)/AZ61</f>
        <v>0.00570225388329778</v>
      </c>
      <c r="BB62" s="66"/>
      <c r="BC62" s="66"/>
      <c r="BD62" s="66"/>
      <c r="BE62" s="66"/>
      <c r="BF62" s="5" t="n">
        <f aca="false">BF61*(1+AY62)*(1+BA62)*(1-BE62)</f>
        <v>109.168457161487</v>
      </c>
      <c r="BG62" s="5"/>
      <c r="BH62" s="5"/>
      <c r="BI62" s="61" t="n">
        <f aca="false">T69/AG69</f>
        <v>0.0138664598457234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4" t="n">
        <f aca="false">'High pensions'!Q63</f>
        <v>122716090.774177</v>
      </c>
      <c r="E63" s="9"/>
      <c r="F63" s="84" t="n">
        <f aca="false">'High pensions'!I63</f>
        <v>22305102.1161859</v>
      </c>
      <c r="G63" s="84" t="n">
        <f aca="false">'High pensions'!K63</f>
        <v>1437912.71723573</v>
      </c>
      <c r="H63" s="84" t="n">
        <f aca="false">'High pensions'!V63</f>
        <v>7910971.51739097</v>
      </c>
      <c r="I63" s="84" t="n">
        <f aca="false">'High pensions'!M63</f>
        <v>44471.52733719</v>
      </c>
      <c r="J63" s="84" t="n">
        <f aca="false">'High pensions'!W63</f>
        <v>244669.222187363</v>
      </c>
      <c r="K63" s="9"/>
      <c r="L63" s="84" t="n">
        <f aca="false">'High pensions'!N63</f>
        <v>3115698.50557294</v>
      </c>
      <c r="M63" s="67"/>
      <c r="N63" s="84" t="n">
        <f aca="false">'High pensions'!L63</f>
        <v>997293.599562511</v>
      </c>
      <c r="O63" s="9"/>
      <c r="P63" s="84" t="n">
        <f aca="false">'High pensions'!X63</f>
        <v>21654189.4924357</v>
      </c>
      <c r="Q63" s="67"/>
      <c r="R63" s="84" t="n">
        <f aca="false">'High SIPA income'!G58</f>
        <v>22874175.2464472</v>
      </c>
      <c r="S63" s="67"/>
      <c r="T63" s="84" t="n">
        <f aca="false">'High SIPA income'!J58</f>
        <v>87461391.5984457</v>
      </c>
      <c r="U63" s="9"/>
      <c r="V63" s="84" t="n">
        <f aca="false">'High SIPA income'!F58</f>
        <v>137978.912850517</v>
      </c>
      <c r="W63" s="67"/>
      <c r="X63" s="84" t="n">
        <f aca="false">'High SIPA income'!M58</f>
        <v>346563.248656093</v>
      </c>
      <c r="Y63" s="9"/>
      <c r="Z63" s="9" t="n">
        <f aca="false">R63+V63-N63-L63-F63</f>
        <v>-3405940.06202357</v>
      </c>
      <c r="AA63" s="9"/>
      <c r="AB63" s="9" t="n">
        <f aca="false">T63-P63-D63</f>
        <v>-56908888.668167</v>
      </c>
      <c r="AC63" s="50"/>
      <c r="AD63" s="9"/>
      <c r="AE63" s="9"/>
      <c r="AF63" s="9"/>
      <c r="AG63" s="9" t="n">
        <f aca="false">BF63/100*$AG$53</f>
        <v>6405149516.57262</v>
      </c>
      <c r="AH63" s="39" t="n">
        <f aca="false">(AG63-AG62)/AG62</f>
        <v>0.00939303802685312</v>
      </c>
      <c r="AI63" s="39"/>
      <c r="AJ63" s="39" t="n">
        <f aca="false">AB63/AG63</f>
        <v>-0.00888486498573085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13010753</v>
      </c>
      <c r="AX63" s="7"/>
      <c r="AY63" s="39" t="n">
        <f aca="false">(AW63-AW62)/AW62</f>
        <v>0.00333866488415348</v>
      </c>
      <c r="AZ63" s="12" t="n">
        <f aca="false">workers_and_wage_high!B51</f>
        <v>7416.35873587758</v>
      </c>
      <c r="BA63" s="39" t="n">
        <f aca="false">(AZ63-AZ62)/AZ62</f>
        <v>0.006034226881308</v>
      </c>
      <c r="BB63" s="38"/>
      <c r="BC63" s="38"/>
      <c r="BD63" s="38"/>
      <c r="BE63" s="38"/>
      <c r="BF63" s="7" t="n">
        <f aca="false">BF62*(1+AY63)*(1+BA63)*(1-BE63)</f>
        <v>110.193880630938</v>
      </c>
      <c r="BG63" s="7"/>
      <c r="BH63" s="7"/>
      <c r="BI63" s="39" t="n">
        <f aca="false">T70/AG70</f>
        <v>0.0118027625731574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4" t="n">
        <f aca="false">'High pensions'!Q64</f>
        <v>123112671.464003</v>
      </c>
      <c r="E64" s="9"/>
      <c r="F64" s="84" t="n">
        <f aca="false">'High pensions'!I64</f>
        <v>22377185.3509767</v>
      </c>
      <c r="G64" s="84" t="n">
        <f aca="false">'High pensions'!K64</f>
        <v>1510629.00788391</v>
      </c>
      <c r="H64" s="84" t="n">
        <f aca="false">'High pensions'!V64</f>
        <v>8311035.09376294</v>
      </c>
      <c r="I64" s="84" t="n">
        <f aca="false">'High pensions'!M64</f>
        <v>46720.48477991</v>
      </c>
      <c r="J64" s="84" t="n">
        <f aca="false">'High pensions'!W64</f>
        <v>257042.322487487</v>
      </c>
      <c r="K64" s="9"/>
      <c r="L64" s="84" t="n">
        <f aca="false">'High pensions'!N64</f>
        <v>3110471.98485456</v>
      </c>
      <c r="M64" s="67"/>
      <c r="N64" s="84" t="n">
        <f aca="false">'High pensions'!L64</f>
        <v>1002777.60623019</v>
      </c>
      <c r="O64" s="9"/>
      <c r="P64" s="84" t="n">
        <f aca="false">'High pensions'!X64</f>
        <v>21657240.4382242</v>
      </c>
      <c r="Q64" s="67"/>
      <c r="R64" s="84" t="n">
        <f aca="false">'High SIPA income'!G59</f>
        <v>19787790.0821893</v>
      </c>
      <c r="S64" s="67"/>
      <c r="T64" s="84" t="n">
        <f aca="false">'High SIPA income'!J59</f>
        <v>75660330.4206563</v>
      </c>
      <c r="U64" s="9"/>
      <c r="V64" s="84" t="n">
        <f aca="false">'High SIPA income'!F59</f>
        <v>137244.607528205</v>
      </c>
      <c r="W64" s="67"/>
      <c r="X64" s="84" t="n">
        <f aca="false">'High SIPA income'!M59</f>
        <v>344718.885392544</v>
      </c>
      <c r="Y64" s="9"/>
      <c r="Z64" s="9" t="n">
        <f aca="false">R64+V64-N64-L64-F64</f>
        <v>-6565400.25234398</v>
      </c>
      <c r="AA64" s="9"/>
      <c r="AB64" s="9" t="n">
        <f aca="false">T64-P64-D64</f>
        <v>-69109581.4815714</v>
      </c>
      <c r="AC64" s="50"/>
      <c r="AD64" s="9"/>
      <c r="AE64" s="9"/>
      <c r="AF64" s="9"/>
      <c r="AG64" s="9" t="n">
        <f aca="false">BF64/100*$AG$53</f>
        <v>6465962017.71847</v>
      </c>
      <c r="AH64" s="39" t="n">
        <f aca="false">(AG64-AG63)/AG63</f>
        <v>0.0094943140653478</v>
      </c>
      <c r="AI64" s="39" t="n">
        <f aca="false">AVERAGE(AG62:AG65)/AVERAGE(AG58:AG61)-1</f>
        <v>0.0367118698032436</v>
      </c>
      <c r="AJ64" s="39" t="n">
        <f aca="false">AB64/AG64</f>
        <v>-0.0106882133381224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13031071</v>
      </c>
      <c r="AX64" s="7"/>
      <c r="AY64" s="39" t="n">
        <f aca="false">(AW64-AW63)/AW63</f>
        <v>0.00156163136753115</v>
      </c>
      <c r="AZ64" s="12" t="n">
        <f aca="false">workers_and_wage_high!B52</f>
        <v>7475.09862644684</v>
      </c>
      <c r="BA64" s="39" t="n">
        <f aca="false">(AZ64-AZ63)/AZ63</f>
        <v>0.00792031408689795</v>
      </c>
      <c r="BB64" s="38"/>
      <c r="BC64" s="38"/>
      <c r="BD64" s="38"/>
      <c r="BE64" s="38"/>
      <c r="BF64" s="7" t="n">
        <f aca="false">BF63*(1+AY64)*(1+BA64)*(1-BE64)</f>
        <v>111.240095941727</v>
      </c>
      <c r="BG64" s="7"/>
      <c r="BH64" s="7"/>
      <c r="BI64" s="39" t="n">
        <f aca="false">T71/AG71</f>
        <v>0.013830931255906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4" t="n">
        <f aca="false">'High pensions'!Q65</f>
        <v>123336071.607078</v>
      </c>
      <c r="E65" s="9"/>
      <c r="F65" s="84" t="n">
        <f aca="false">'High pensions'!I65</f>
        <v>22417790.9714182</v>
      </c>
      <c r="G65" s="84" t="n">
        <f aca="false">'High pensions'!K65</f>
        <v>1629123.36223866</v>
      </c>
      <c r="H65" s="84" t="n">
        <f aca="false">'High pensions'!V65</f>
        <v>8962956.06993606</v>
      </c>
      <c r="I65" s="84" t="n">
        <f aca="false">'High pensions'!M65</f>
        <v>50385.25862594</v>
      </c>
      <c r="J65" s="84" t="n">
        <f aca="false">'High pensions'!W65</f>
        <v>277204.82690525</v>
      </c>
      <c r="K65" s="9"/>
      <c r="L65" s="84" t="n">
        <f aca="false">'High pensions'!N65</f>
        <v>3063345.44172959</v>
      </c>
      <c r="M65" s="67"/>
      <c r="N65" s="84" t="n">
        <f aca="false">'High pensions'!L65</f>
        <v>1007485.71755056</v>
      </c>
      <c r="O65" s="9"/>
      <c r="P65" s="84" t="n">
        <f aca="false">'High pensions'!X65</f>
        <v>21438603.2212858</v>
      </c>
      <c r="Q65" s="67"/>
      <c r="R65" s="84" t="n">
        <f aca="false">'High SIPA income'!G60</f>
        <v>23518743.4317603</v>
      </c>
      <c r="S65" s="67"/>
      <c r="T65" s="84" t="n">
        <f aca="false">'High SIPA income'!J60</f>
        <v>89925953.9208107</v>
      </c>
      <c r="U65" s="9"/>
      <c r="V65" s="84" t="n">
        <f aca="false">'High SIPA income'!F60</f>
        <v>142631.790516127</v>
      </c>
      <c r="W65" s="67"/>
      <c r="X65" s="84" t="n">
        <f aca="false">'High SIPA income'!M60</f>
        <v>358249.935890251</v>
      </c>
      <c r="Y65" s="9"/>
      <c r="Z65" s="9" t="n">
        <f aca="false">R65+V65-N65-L65-F65</f>
        <v>-2827246.90842195</v>
      </c>
      <c r="AA65" s="9"/>
      <c r="AB65" s="9" t="n">
        <f aca="false">T65-P65-D65</f>
        <v>-54848720.9075531</v>
      </c>
      <c r="AC65" s="50"/>
      <c r="AD65" s="9"/>
      <c r="AE65" s="9"/>
      <c r="AF65" s="9"/>
      <c r="AG65" s="9" t="n">
        <f aca="false">BF65/100*$AG$53</f>
        <v>6524395264.0176</v>
      </c>
      <c r="AH65" s="39" t="n">
        <f aca="false">(AG65-AG64)/AG64</f>
        <v>0.0090370537499294</v>
      </c>
      <c r="AI65" s="39" t="n">
        <f aca="false">(AG65-AG61)/AG61</f>
        <v>0.0372557747202017</v>
      </c>
      <c r="AJ65" s="39" t="n">
        <f aca="false">AB65/AG65</f>
        <v>-0.00840671337158968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13090457</v>
      </c>
      <c r="AX65" s="7"/>
      <c r="AY65" s="39" t="n">
        <f aca="false">(AW65-AW64)/AW64</f>
        <v>0.004557261640275</v>
      </c>
      <c r="AZ65" s="12" t="n">
        <f aca="false">workers_and_wage_high!B53</f>
        <v>7508.43359810487</v>
      </c>
      <c r="BA65" s="39" t="n">
        <f aca="false">(AZ65-AZ64)/AZ64</f>
        <v>0.00445946914199778</v>
      </c>
      <c r="BB65" s="38"/>
      <c r="BC65" s="38"/>
      <c r="BD65" s="38"/>
      <c r="BE65" s="38"/>
      <c r="BF65" s="7" t="n">
        <f aca="false">BF64*(1+AY65)*(1+BA65)*(1-BE65)</f>
        <v>112.2453786679</v>
      </c>
      <c r="BG65" s="7"/>
      <c r="BH65" s="7"/>
      <c r="BI65" s="39" t="n">
        <f aca="false">T72/AG72</f>
        <v>0.0118862766368412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3" t="n">
        <f aca="false">'High pensions'!Q66</f>
        <v>124015214.844425</v>
      </c>
      <c r="E66" s="6"/>
      <c r="F66" s="83" t="n">
        <f aca="false">'High pensions'!I66</f>
        <v>22541233.2939774</v>
      </c>
      <c r="G66" s="83" t="n">
        <f aca="false">'High pensions'!K66</f>
        <v>1718038.65885439</v>
      </c>
      <c r="H66" s="83" t="n">
        <f aca="false">'High pensions'!V66</f>
        <v>9452141.79766205</v>
      </c>
      <c r="I66" s="83" t="n">
        <f aca="false">'High pensions'!M66</f>
        <v>53135.2162532299</v>
      </c>
      <c r="J66" s="83" t="n">
        <f aca="false">'High pensions'!W66</f>
        <v>292334.282401926</v>
      </c>
      <c r="K66" s="6"/>
      <c r="L66" s="83" t="n">
        <f aca="false">'High pensions'!N66</f>
        <v>3760201.27508349</v>
      </c>
      <c r="M66" s="8"/>
      <c r="N66" s="83" t="n">
        <f aca="false">'High pensions'!L66</f>
        <v>1015185.46652357</v>
      </c>
      <c r="O66" s="6"/>
      <c r="P66" s="83" t="n">
        <f aca="false">'High pensions'!X66</f>
        <v>25096953.2003288</v>
      </c>
      <c r="Q66" s="8"/>
      <c r="R66" s="83" t="n">
        <f aca="false">'High SIPA income'!G61</f>
        <v>20097077.0521304</v>
      </c>
      <c r="S66" s="8"/>
      <c r="T66" s="83" t="n">
        <f aca="false">'High SIPA income'!J61</f>
        <v>76842915.9566538</v>
      </c>
      <c r="U66" s="6"/>
      <c r="V66" s="83" t="n">
        <f aca="false">'High SIPA income'!F61</f>
        <v>144690.339563122</v>
      </c>
      <c r="W66" s="8"/>
      <c r="X66" s="83" t="n">
        <f aca="false">'High SIPA income'!M61</f>
        <v>363420.417600144</v>
      </c>
      <c r="Y66" s="6"/>
      <c r="Z66" s="6" t="n">
        <f aca="false">R66+V66-N66-L66-F66</f>
        <v>-7074852.64389093</v>
      </c>
      <c r="AA66" s="6"/>
      <c r="AB66" s="6" t="n">
        <f aca="false">T66-P66-D66</f>
        <v>-72269252.0881001</v>
      </c>
      <c r="AC66" s="50"/>
      <c r="AD66" s="6"/>
      <c r="AE66" s="6"/>
      <c r="AF66" s="6"/>
      <c r="AG66" s="6" t="n">
        <f aca="false">BF66/100*$AG$53</f>
        <v>6564416566.84813</v>
      </c>
      <c r="AH66" s="61" t="n">
        <f aca="false">(AG66-AG65)/AG65</f>
        <v>0.00613410150841855</v>
      </c>
      <c r="AI66" s="61"/>
      <c r="AJ66" s="61" t="n">
        <f aca="false">AB66/AG66</f>
        <v>-0.0110092422307684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0.00768300268567629</v>
      </c>
      <c r="AV66" s="5"/>
      <c r="AW66" s="5" t="n">
        <f aca="false">workers_and_wage_high!C54</f>
        <v>13156882</v>
      </c>
      <c r="AX66" s="5"/>
      <c r="AY66" s="61" t="n">
        <f aca="false">(AW66-AW65)/AW65</f>
        <v>0.00507430718423352</v>
      </c>
      <c r="AZ66" s="11" t="n">
        <f aca="false">workers_and_wage_high!B54</f>
        <v>7516.35081900477</v>
      </c>
      <c r="BA66" s="61" t="n">
        <f aca="false">(AZ66-AZ65)/AZ65</f>
        <v>0.00105444375267541</v>
      </c>
      <c r="BB66" s="66"/>
      <c r="BC66" s="66"/>
      <c r="BD66" s="66"/>
      <c r="BE66" s="66"/>
      <c r="BF66" s="5" t="n">
        <f aca="false">BF65*(1+AY66)*(1+BA66)*(1-BE66)</f>
        <v>112.9339032145</v>
      </c>
      <c r="BG66" s="5"/>
      <c r="BH66" s="5"/>
      <c r="BI66" s="61" t="n">
        <f aca="false">T73/AG73</f>
        <v>0.013984933334174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4" t="n">
        <f aca="false">'High pensions'!Q67</f>
        <v>124822797.117623</v>
      </c>
      <c r="E67" s="9"/>
      <c r="F67" s="84" t="n">
        <f aca="false">'High pensions'!I67</f>
        <v>22688020.9316642</v>
      </c>
      <c r="G67" s="84" t="n">
        <f aca="false">'High pensions'!K67</f>
        <v>1756340.32046157</v>
      </c>
      <c r="H67" s="84" t="n">
        <f aca="false">'High pensions'!V67</f>
        <v>9662866.23900759</v>
      </c>
      <c r="I67" s="84" t="n">
        <f aca="false">'High pensions'!M67</f>
        <v>54319.80372561</v>
      </c>
      <c r="J67" s="84" t="n">
        <f aca="false">'High pensions'!W67</f>
        <v>298851.533165153</v>
      </c>
      <c r="K67" s="9"/>
      <c r="L67" s="84" t="n">
        <f aca="false">'High pensions'!N67</f>
        <v>3061960.99163811</v>
      </c>
      <c r="M67" s="67"/>
      <c r="N67" s="84" t="n">
        <f aca="false">'High pensions'!L67</f>
        <v>1023474.55230729</v>
      </c>
      <c r="O67" s="9"/>
      <c r="P67" s="84" t="n">
        <f aca="false">'High pensions'!X67</f>
        <v>21519385.1545424</v>
      </c>
      <c r="Q67" s="67"/>
      <c r="R67" s="84" t="n">
        <f aca="false">'High SIPA income'!G62</f>
        <v>23780092.2604549</v>
      </c>
      <c r="S67" s="67"/>
      <c r="T67" s="84" t="n">
        <f aca="false">'High SIPA income'!J62</f>
        <v>90925243.8188716</v>
      </c>
      <c r="U67" s="9"/>
      <c r="V67" s="84" t="n">
        <f aca="false">'High SIPA income'!F62</f>
        <v>147397.36933089</v>
      </c>
      <c r="W67" s="67"/>
      <c r="X67" s="84" t="n">
        <f aca="false">'High SIPA income'!M62</f>
        <v>370219.695918439</v>
      </c>
      <c r="Y67" s="9"/>
      <c r="Z67" s="9" t="n">
        <f aca="false">R67+V67-N67-L67-F67</f>
        <v>-2845966.84582387</v>
      </c>
      <c r="AA67" s="9"/>
      <c r="AB67" s="9" t="n">
        <f aca="false">T67-P67-D67</f>
        <v>-55416938.4532939</v>
      </c>
      <c r="AC67" s="50"/>
      <c r="AD67" s="9"/>
      <c r="AE67" s="9"/>
      <c r="AF67" s="9"/>
      <c r="AG67" s="9" t="n">
        <f aca="false">BF67/100*$AG$53</f>
        <v>6600648612.13477</v>
      </c>
      <c r="AH67" s="39" t="n">
        <f aca="false">(AG67-AG66)/AG66</f>
        <v>0.00551946161820682</v>
      </c>
      <c r="AI67" s="39"/>
      <c r="AJ67" s="39" t="n">
        <f aca="false">AB67/AG67</f>
        <v>-0.00839568074437629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13222390</v>
      </c>
      <c r="AX67" s="7"/>
      <c r="AY67" s="39" t="n">
        <f aca="false">(AW67-AW66)/AW66</f>
        <v>0.00497899122299645</v>
      </c>
      <c r="AZ67" s="12" t="n">
        <f aca="false">workers_and_wage_high!B55</f>
        <v>7520.39305783082</v>
      </c>
      <c r="BA67" s="39" t="n">
        <f aca="false">(AZ67-AZ66)/AZ66</f>
        <v>0.000537792729928166</v>
      </c>
      <c r="BB67" s="38"/>
      <c r="BC67" s="38"/>
      <c r="BD67" s="38"/>
      <c r="BE67" s="38"/>
      <c r="BF67" s="7" t="n">
        <f aca="false">BF66*(1+AY67)*(1+BA67)*(1-BE67)</f>
        <v>113.557237558686</v>
      </c>
      <c r="BG67" s="7"/>
      <c r="BH67" s="7"/>
      <c r="BI67" s="39" t="n">
        <f aca="false">T74/AG74</f>
        <v>0.0119431149124615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4" t="n">
        <f aca="false">'High pensions'!Q68</f>
        <v>125105098.439465</v>
      </c>
      <c r="E68" s="9"/>
      <c r="F68" s="84" t="n">
        <f aca="false">'High pensions'!I68</f>
        <v>22739332.5385732</v>
      </c>
      <c r="G68" s="84" t="n">
        <f aca="false">'High pensions'!K68</f>
        <v>1811606.35849288</v>
      </c>
      <c r="H68" s="84" t="n">
        <f aca="false">'High pensions'!V68</f>
        <v>9966923.67413845</v>
      </c>
      <c r="I68" s="84" t="n">
        <f aca="false">'High pensions'!M68</f>
        <v>56029.0626338001</v>
      </c>
      <c r="J68" s="84" t="n">
        <f aca="false">'High pensions'!W68</f>
        <v>308255.371365105</v>
      </c>
      <c r="K68" s="9"/>
      <c r="L68" s="84" t="n">
        <f aca="false">'High pensions'!N68</f>
        <v>3018343.63084307</v>
      </c>
      <c r="M68" s="67"/>
      <c r="N68" s="84" t="n">
        <f aca="false">'High pensions'!L68</f>
        <v>1026935.2545228</v>
      </c>
      <c r="O68" s="9"/>
      <c r="P68" s="84" t="n">
        <f aca="false">'High pensions'!X68</f>
        <v>21312094.2245462</v>
      </c>
      <c r="Q68" s="67"/>
      <c r="R68" s="84" t="n">
        <f aca="false">'High SIPA income'!G63</f>
        <v>20527618.0766105</v>
      </c>
      <c r="S68" s="67"/>
      <c r="T68" s="84" t="n">
        <f aca="false">'High SIPA income'!J63</f>
        <v>78489126.879476</v>
      </c>
      <c r="U68" s="9"/>
      <c r="V68" s="84" t="n">
        <f aca="false">'High SIPA income'!F63</f>
        <v>148597.156082954</v>
      </c>
      <c r="W68" s="67"/>
      <c r="X68" s="84" t="n">
        <f aca="false">'High SIPA income'!M63</f>
        <v>373233.214331504</v>
      </c>
      <c r="Y68" s="9"/>
      <c r="Z68" s="9" t="n">
        <f aca="false">R68+V68-N68-L68-F68</f>
        <v>-6108396.1912456</v>
      </c>
      <c r="AA68" s="9"/>
      <c r="AB68" s="9" t="n">
        <f aca="false">T68-P68-D68</f>
        <v>-67928065.784535</v>
      </c>
      <c r="AC68" s="50"/>
      <c r="AD68" s="9"/>
      <c r="AE68" s="9"/>
      <c r="AF68" s="9"/>
      <c r="AG68" s="9" t="n">
        <f aca="false">BF68/100*$AG$53</f>
        <v>6653001085.43992</v>
      </c>
      <c r="AH68" s="39" t="n">
        <f aca="false">(AG68-AG67)/AG67</f>
        <v>0.0079314134688079</v>
      </c>
      <c r="AI68" s="39" t="n">
        <f aca="false">AVERAGE(AG66:AG69)/AVERAGE(AG62:AG65)-1</f>
        <v>0.0312409999672441</v>
      </c>
      <c r="AJ68" s="39" t="n">
        <f aca="false">AB68/AG68</f>
        <v>-0.0102101389902364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13255935</v>
      </c>
      <c r="AX68" s="7"/>
      <c r="AY68" s="39" t="n">
        <f aca="false">(AW68-AW67)/AW67</f>
        <v>0.00253698461473304</v>
      </c>
      <c r="AZ68" s="12" t="n">
        <f aca="false">workers_and_wage_high!B56</f>
        <v>7560.85862262067</v>
      </c>
      <c r="BA68" s="39" t="n">
        <f aca="false">(AZ68-AZ67)/AZ67</f>
        <v>0.00538077790331902</v>
      </c>
      <c r="BB68" s="38"/>
      <c r="BC68" s="38"/>
      <c r="BD68" s="38"/>
      <c r="BE68" s="38"/>
      <c r="BF68" s="7" t="n">
        <f aca="false">BF67*(1+AY68)*(1+BA68)*(1-BE68)</f>
        <v>114.45790696214</v>
      </c>
      <c r="BG68" s="7"/>
      <c r="BH68" s="7"/>
      <c r="BI68" s="39" t="n">
        <f aca="false">T75/AG75</f>
        <v>0.0140107115568513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4" t="n">
        <f aca="false">'High pensions'!Q69</f>
        <v>125159937.440014</v>
      </c>
      <c r="E69" s="9"/>
      <c r="F69" s="84" t="n">
        <f aca="false">'High pensions'!I69</f>
        <v>22749300.1760646</v>
      </c>
      <c r="G69" s="84" t="n">
        <f aca="false">'High pensions'!K69</f>
        <v>1899750.54766702</v>
      </c>
      <c r="H69" s="84" t="n">
        <f aca="false">'High pensions'!V69</f>
        <v>10451866.9962343</v>
      </c>
      <c r="I69" s="84" t="n">
        <f aca="false">'High pensions'!M69</f>
        <v>58755.17157733</v>
      </c>
      <c r="J69" s="84" t="n">
        <f aca="false">'High pensions'!W69</f>
        <v>323253.618440233</v>
      </c>
      <c r="K69" s="9"/>
      <c r="L69" s="84" t="n">
        <f aca="false">'High pensions'!N69</f>
        <v>2979588.93037921</v>
      </c>
      <c r="M69" s="67"/>
      <c r="N69" s="84" t="n">
        <f aca="false">'High pensions'!L69</f>
        <v>1029151.52047417</v>
      </c>
      <c r="O69" s="9"/>
      <c r="P69" s="84" t="n">
        <f aca="false">'High pensions'!X69</f>
        <v>21123189.1409674</v>
      </c>
      <c r="Q69" s="67"/>
      <c r="R69" s="84" t="n">
        <f aca="false">'High SIPA income'!G64</f>
        <v>24396446.0952411</v>
      </c>
      <c r="S69" s="67"/>
      <c r="T69" s="84" t="n">
        <f aca="false">'High SIPA income'!J64</f>
        <v>93281926.1266112</v>
      </c>
      <c r="U69" s="9"/>
      <c r="V69" s="84" t="n">
        <f aca="false">'High SIPA income'!F64</f>
        <v>148877.438426205</v>
      </c>
      <c r="W69" s="67"/>
      <c r="X69" s="84" t="n">
        <f aca="false">'High SIPA income'!M64</f>
        <v>373937.202770109</v>
      </c>
      <c r="Y69" s="9"/>
      <c r="Z69" s="9" t="n">
        <f aca="false">R69+V69-N69-L69-F69</f>
        <v>-2212717.0932507</v>
      </c>
      <c r="AA69" s="9"/>
      <c r="AB69" s="9" t="n">
        <f aca="false">T69-P69-D69</f>
        <v>-53001200.4543699</v>
      </c>
      <c r="AC69" s="50"/>
      <c r="AD69" s="9"/>
      <c r="AE69" s="9"/>
      <c r="AF69" s="9"/>
      <c r="AG69" s="9" t="n">
        <f aca="false">BF69/100*$AG$53</f>
        <v>6727162315.72115</v>
      </c>
      <c r="AH69" s="39" t="n">
        <f aca="false">(AG69-AG68)/AG68</f>
        <v>0.0111470341472719</v>
      </c>
      <c r="AI69" s="39" t="n">
        <f aca="false">(AG69-AG65)/AG65</f>
        <v>0.0310782905538893</v>
      </c>
      <c r="AJ69" s="39" t="n">
        <f aca="false">AB69/AG69</f>
        <v>-0.0078786861334545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13317851</v>
      </c>
      <c r="AX69" s="7"/>
      <c r="AY69" s="39" t="n">
        <f aca="false">(AW69-AW68)/AW68</f>
        <v>0.00467081348844876</v>
      </c>
      <c r="AZ69" s="12" t="n">
        <f aca="false">workers_and_wage_high!B57</f>
        <v>7609.59676465969</v>
      </c>
      <c r="BA69" s="39" t="n">
        <f aca="false">(AZ69-AZ68)/AZ68</f>
        <v>0.00644611207161113</v>
      </c>
      <c r="BB69" s="38"/>
      <c r="BC69" s="38"/>
      <c r="BD69" s="38"/>
      <c r="BE69" s="38"/>
      <c r="BF69" s="7" t="n">
        <f aca="false">BF68*(1+AY69)*(1+BA69)*(1-BE69)</f>
        <v>115.733773159472</v>
      </c>
      <c r="BG69" s="7"/>
      <c r="BH69" s="7"/>
      <c r="BI69" s="39" t="n">
        <f aca="false">T76/AG76</f>
        <v>0.0120092309989795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3" t="n">
        <f aca="false">'High pensions'!Q70</f>
        <v>125649955.084878</v>
      </c>
      <c r="E70" s="6"/>
      <c r="F70" s="83" t="n">
        <f aca="false">'High pensions'!I70</f>
        <v>22838366.6834678</v>
      </c>
      <c r="G70" s="83" t="n">
        <f aca="false">'High pensions'!K70</f>
        <v>1961112.46338877</v>
      </c>
      <c r="H70" s="83" t="n">
        <f aca="false">'High pensions'!V70</f>
        <v>10789462.1518432</v>
      </c>
      <c r="I70" s="83" t="n">
        <f aca="false">'High pensions'!M70</f>
        <v>60652.96278522</v>
      </c>
      <c r="J70" s="83" t="n">
        <f aca="false">'High pensions'!W70</f>
        <v>333694.705727112</v>
      </c>
      <c r="K70" s="6"/>
      <c r="L70" s="83" t="n">
        <f aca="false">'High pensions'!N70</f>
        <v>3653847.73556262</v>
      </c>
      <c r="M70" s="8"/>
      <c r="N70" s="83" t="n">
        <f aca="false">'High pensions'!L70</f>
        <v>1034240.12369748</v>
      </c>
      <c r="O70" s="6"/>
      <c r="P70" s="83" t="n">
        <f aca="false">'High pensions'!X70</f>
        <v>24649917.2799096</v>
      </c>
      <c r="Q70" s="8"/>
      <c r="R70" s="83" t="n">
        <f aca="false">'High SIPA income'!G65</f>
        <v>20933898.7332836</v>
      </c>
      <c r="S70" s="8"/>
      <c r="T70" s="83" t="n">
        <f aca="false">'High SIPA income'!J65</f>
        <v>80042576.1833005</v>
      </c>
      <c r="U70" s="6"/>
      <c r="V70" s="83" t="n">
        <f aca="false">'High SIPA income'!F65</f>
        <v>146045.905864917</v>
      </c>
      <c r="W70" s="8"/>
      <c r="X70" s="83" t="n">
        <f aca="false">'High SIPA income'!M65</f>
        <v>366825.209329643</v>
      </c>
      <c r="Y70" s="6"/>
      <c r="Z70" s="6" t="n">
        <f aca="false">R70+V70-N70-L70-F70</f>
        <v>-6446509.90357945</v>
      </c>
      <c r="AA70" s="6"/>
      <c r="AB70" s="6" t="n">
        <f aca="false">T70-P70-D70</f>
        <v>-70257296.1814873</v>
      </c>
      <c r="AC70" s="50"/>
      <c r="AD70" s="6"/>
      <c r="AE70" s="6"/>
      <c r="AF70" s="6"/>
      <c r="AG70" s="6" t="n">
        <f aca="false">BF70/100*$AG$53</f>
        <v>6781681465.4341</v>
      </c>
      <c r="AH70" s="61" t="n">
        <f aca="false">(AG70-AG69)/AG69</f>
        <v>0.00810433094286064</v>
      </c>
      <c r="AI70" s="61"/>
      <c r="AJ70" s="61" t="n">
        <f aca="false">AB70/AG70</f>
        <v>-0.0103598637800353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0.0082310590473582</v>
      </c>
      <c r="AV70" s="5"/>
      <c r="AW70" s="5" t="n">
        <f aca="false">workers_and_wage_high!C58</f>
        <v>13364649</v>
      </c>
      <c r="AX70" s="5"/>
      <c r="AY70" s="61" t="n">
        <f aca="false">(AW70-AW69)/AW69</f>
        <v>0.00351393028800217</v>
      </c>
      <c r="AZ70" s="11" t="n">
        <f aca="false">workers_and_wage_high!B58</f>
        <v>7644.40554699685</v>
      </c>
      <c r="BA70" s="61" t="n">
        <f aca="false">(AZ70-AZ69)/AZ69</f>
        <v>0.00457432678940596</v>
      </c>
      <c r="BB70" s="66"/>
      <c r="BC70" s="66"/>
      <c r="BD70" s="66"/>
      <c r="BE70" s="66"/>
      <c r="BF70" s="5" t="n">
        <f aca="false">BF69*(1+AY70)*(1+BA70)*(1-BE70)</f>
        <v>116.671717958423</v>
      </c>
      <c r="BG70" s="5"/>
      <c r="BH70" s="5"/>
      <c r="BI70" s="61" t="n">
        <f aca="false">T77/AG77</f>
        <v>0.0141594781288125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4" t="n">
        <f aca="false">'High pensions'!Q71</f>
        <v>125757049.254932</v>
      </c>
      <c r="E71" s="9"/>
      <c r="F71" s="84" t="n">
        <f aca="false">'High pensions'!I71</f>
        <v>22857832.3165729</v>
      </c>
      <c r="G71" s="84" t="n">
        <f aca="false">'High pensions'!K71</f>
        <v>2017016.31371993</v>
      </c>
      <c r="H71" s="84" t="n">
        <f aca="false">'High pensions'!V71</f>
        <v>11097028.6420628</v>
      </c>
      <c r="I71" s="84" t="n">
        <f aca="false">'High pensions'!M71</f>
        <v>62381.9478470101</v>
      </c>
      <c r="J71" s="84" t="n">
        <f aca="false">'High pensions'!W71</f>
        <v>343207.071404016</v>
      </c>
      <c r="K71" s="9"/>
      <c r="L71" s="84" t="n">
        <f aca="false">'High pensions'!N71</f>
        <v>2940631.70607587</v>
      </c>
      <c r="M71" s="67"/>
      <c r="N71" s="84" t="n">
        <f aca="false">'High pensions'!L71</f>
        <v>1035705.48120949</v>
      </c>
      <c r="O71" s="9"/>
      <c r="P71" s="84" t="n">
        <f aca="false">'High pensions'!X71</f>
        <v>20957097.8770972</v>
      </c>
      <c r="Q71" s="67"/>
      <c r="R71" s="84" t="n">
        <f aca="false">'High SIPA income'!G66</f>
        <v>24747800.2840197</v>
      </c>
      <c r="S71" s="67"/>
      <c r="T71" s="84" t="n">
        <f aca="false">'High SIPA income'!J66</f>
        <v>94625359.3198712</v>
      </c>
      <c r="U71" s="9"/>
      <c r="V71" s="84" t="n">
        <f aca="false">'High SIPA income'!F66</f>
        <v>152008.971786277</v>
      </c>
      <c r="W71" s="67"/>
      <c r="X71" s="84" t="n">
        <f aca="false">'High SIPA income'!M66</f>
        <v>381802.71172449</v>
      </c>
      <c r="Y71" s="9"/>
      <c r="Z71" s="9" t="n">
        <f aca="false">R71+V71-N71-L71-F71</f>
        <v>-1934360.24805224</v>
      </c>
      <c r="AA71" s="9"/>
      <c r="AB71" s="9" t="n">
        <f aca="false">T71-P71-D71</f>
        <v>-52088787.8121579</v>
      </c>
      <c r="AC71" s="50"/>
      <c r="AD71" s="9"/>
      <c r="AE71" s="9"/>
      <c r="AF71" s="9"/>
      <c r="AG71" s="9" t="n">
        <f aca="false">BF71/100*$AG$53</f>
        <v>6841575420.2715</v>
      </c>
      <c r="AH71" s="39" t="n">
        <f aca="false">(AG71-AG70)/AG70</f>
        <v>0.00883172634142023</v>
      </c>
      <c r="AI71" s="39"/>
      <c r="AJ71" s="39" t="n">
        <f aca="false">AB71/AG71</f>
        <v>-0.00761356626396597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13466315</v>
      </c>
      <c r="AX71" s="7"/>
      <c r="AY71" s="39" t="n">
        <f aca="false">(AW71-AW70)/AW70</f>
        <v>0.00760708343331725</v>
      </c>
      <c r="AZ71" s="12" t="n">
        <f aca="false">workers_and_wage_high!B59</f>
        <v>7653.69653670277</v>
      </c>
      <c r="BA71" s="39" t="n">
        <f aca="false">(AZ71-AZ70)/AZ70</f>
        <v>0.00121539727959225</v>
      </c>
      <c r="BB71" s="38"/>
      <c r="BC71" s="38"/>
      <c r="BD71" s="38"/>
      <c r="BE71" s="38"/>
      <c r="BF71" s="7" t="n">
        <f aca="false">BF70*(1+AY71)*(1+BA71)*(1-BE71)</f>
        <v>117.702130643215</v>
      </c>
      <c r="BG71" s="7"/>
      <c r="BH71" s="7"/>
      <c r="BI71" s="39" t="n">
        <f aca="false">T78/AG78</f>
        <v>0.0120749339092023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4" t="n">
        <f aca="false">'High pensions'!Q72</f>
        <v>125906390.339639</v>
      </c>
      <c r="E72" s="9"/>
      <c r="F72" s="84" t="n">
        <f aca="false">'High pensions'!I72</f>
        <v>22884976.8265025</v>
      </c>
      <c r="G72" s="84" t="n">
        <f aca="false">'High pensions'!K72</f>
        <v>2055377.53405582</v>
      </c>
      <c r="H72" s="84" t="n">
        <f aca="false">'High pensions'!V72</f>
        <v>11308080.7579611</v>
      </c>
      <c r="I72" s="84" t="n">
        <f aca="false">'High pensions'!M72</f>
        <v>63568.3773419301</v>
      </c>
      <c r="J72" s="84" t="n">
        <f aca="false">'High pensions'!W72</f>
        <v>349734.456431772</v>
      </c>
      <c r="K72" s="9"/>
      <c r="L72" s="84" t="n">
        <f aca="false">'High pensions'!N72</f>
        <v>2976354.17003947</v>
      </c>
      <c r="M72" s="67"/>
      <c r="N72" s="84" t="n">
        <f aca="false">'High pensions'!L72</f>
        <v>1038085.40569197</v>
      </c>
      <c r="O72" s="9"/>
      <c r="P72" s="84" t="n">
        <f aca="false">'High pensions'!X72</f>
        <v>21155555.5547331</v>
      </c>
      <c r="Q72" s="67"/>
      <c r="R72" s="84" t="n">
        <f aca="false">'High SIPA income'!G67</f>
        <v>21490130.0427646</v>
      </c>
      <c r="S72" s="67"/>
      <c r="T72" s="84" t="n">
        <f aca="false">'High SIPA income'!J67</f>
        <v>82169374.8046146</v>
      </c>
      <c r="U72" s="9"/>
      <c r="V72" s="84" t="n">
        <f aca="false">'High SIPA income'!F67</f>
        <v>148884.357589235</v>
      </c>
      <c r="W72" s="67"/>
      <c r="X72" s="84" t="n">
        <f aca="false">'High SIPA income'!M67</f>
        <v>373954.58171279</v>
      </c>
      <c r="Y72" s="9"/>
      <c r="Z72" s="9" t="n">
        <f aca="false">R72+V72-N72-L72-F72</f>
        <v>-5260402.00188005</v>
      </c>
      <c r="AA72" s="9"/>
      <c r="AB72" s="9" t="n">
        <f aca="false">T72-P72-D72</f>
        <v>-64892571.0897579</v>
      </c>
      <c r="AC72" s="50"/>
      <c r="AD72" s="9"/>
      <c r="AE72" s="9"/>
      <c r="AF72" s="9"/>
      <c r="AG72" s="9" t="n">
        <f aca="false">BF72/100*$AG$53</f>
        <v>6912961671.27162</v>
      </c>
      <c r="AH72" s="39" t="n">
        <f aca="false">(AG72-AG71)/AG71</f>
        <v>0.0104341831544541</v>
      </c>
      <c r="AI72" s="39"/>
      <c r="AJ72" s="39" t="n">
        <f aca="false">AB72/AG72</f>
        <v>-0.00938708677634273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13516988</v>
      </c>
      <c r="AX72" s="7"/>
      <c r="AY72" s="39" t="n">
        <f aca="false">(AW72-AW71)/AW71</f>
        <v>0.00376294479967237</v>
      </c>
      <c r="AZ72" s="12" t="n">
        <f aca="false">workers_and_wage_high!B60</f>
        <v>7704.56475629191</v>
      </c>
      <c r="BA72" s="39" t="n">
        <f aca="false">(AZ72-AZ71)/AZ71</f>
        <v>0.00664622896207154</v>
      </c>
      <c r="BB72" s="38"/>
      <c r="BC72" s="38"/>
      <c r="BD72" s="38"/>
      <c r="BE72" s="38"/>
      <c r="BF72" s="7" t="n">
        <f aca="false">BF71*(1+AY72)*(1+BA72)*(1-BE72)</f>
        <v>118.930256232015</v>
      </c>
      <c r="BG72" s="7"/>
      <c r="BH72" s="7"/>
      <c r="BI72" s="39" t="n">
        <f aca="false">T79/AG79</f>
        <v>0.0141257044384744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4" t="n">
        <f aca="false">'High pensions'!Q73</f>
        <v>125714590.662344</v>
      </c>
      <c r="E73" s="9"/>
      <c r="F73" s="84" t="n">
        <f aca="false">'High pensions'!I73</f>
        <v>22850114.964778</v>
      </c>
      <c r="G73" s="84" t="n">
        <f aca="false">'High pensions'!K73</f>
        <v>2130181.79002347</v>
      </c>
      <c r="H73" s="84" t="n">
        <f aca="false">'High pensions'!V73</f>
        <v>11719631.7034714</v>
      </c>
      <c r="I73" s="84" t="n">
        <f aca="false">'High pensions'!M73</f>
        <v>65881.9110316602</v>
      </c>
      <c r="J73" s="84" t="n">
        <f aca="false">'High pensions'!W73</f>
        <v>362462.836189873</v>
      </c>
      <c r="K73" s="9"/>
      <c r="L73" s="84" t="n">
        <f aca="false">'High pensions'!N73</f>
        <v>2882441.13989432</v>
      </c>
      <c r="M73" s="67"/>
      <c r="N73" s="84" t="n">
        <f aca="false">'High pensions'!L73</f>
        <v>1037471.57430894</v>
      </c>
      <c r="O73" s="9"/>
      <c r="P73" s="84" t="n">
        <f aca="false">'High pensions'!X73</f>
        <v>20664863.2757063</v>
      </c>
      <c r="Q73" s="67"/>
      <c r="R73" s="84" t="n">
        <f aca="false">'High SIPA income'!G68</f>
        <v>25424885.5380772</v>
      </c>
      <c r="S73" s="67"/>
      <c r="T73" s="84" t="n">
        <f aca="false">'High SIPA income'!J68</f>
        <v>97214253.4728901</v>
      </c>
      <c r="U73" s="9"/>
      <c r="V73" s="84" t="n">
        <f aca="false">'High SIPA income'!F68</f>
        <v>151215.97251842</v>
      </c>
      <c r="W73" s="67"/>
      <c r="X73" s="84" t="n">
        <f aca="false">'High SIPA income'!M68</f>
        <v>379810.926191666</v>
      </c>
      <c r="Y73" s="9"/>
      <c r="Z73" s="9" t="n">
        <f aca="false">R73+V73-N73-L73-F73</f>
        <v>-1193926.16838566</v>
      </c>
      <c r="AA73" s="9"/>
      <c r="AB73" s="9" t="n">
        <f aca="false">T73-P73-D73</f>
        <v>-49165200.4651598</v>
      </c>
      <c r="AC73" s="50"/>
      <c r="AD73" s="9"/>
      <c r="AE73" s="9"/>
      <c r="AF73" s="9"/>
      <c r="AG73" s="9" t="n">
        <f aca="false">BF73/100*$AG$53</f>
        <v>6951356231.0186</v>
      </c>
      <c r="AH73" s="39" t="n">
        <f aca="false">(AG73-AG72)/AG72</f>
        <v>0.00555399575069786</v>
      </c>
      <c r="AI73" s="39" t="n">
        <f aca="false">(AG73-AG69)/AG69</f>
        <v>0.0333266695191092</v>
      </c>
      <c r="AJ73" s="39" t="n">
        <f aca="false">AB73/AG73</f>
        <v>-0.00707274937885833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13547574</v>
      </c>
      <c r="AX73" s="7"/>
      <c r="AY73" s="39" t="n">
        <f aca="false">(AW73-AW72)/AW72</f>
        <v>0.00226278221154003</v>
      </c>
      <c r="AZ73" s="12" t="n">
        <f aca="false">workers_and_wage_high!B61</f>
        <v>7729.86487547151</v>
      </c>
      <c r="BA73" s="39" t="n">
        <f aca="false">(AZ73-AZ72)/AZ72</f>
        <v>0.00328378305327864</v>
      </c>
      <c r="BB73" s="38"/>
      <c r="BC73" s="38"/>
      <c r="BD73" s="38"/>
      <c r="BE73" s="38"/>
      <c r="BF73" s="7" t="n">
        <f aca="false">BF72*(1+AY73)*(1+BA73)*(1-BE73)</f>
        <v>119.590794369757</v>
      </c>
      <c r="BG73" s="7"/>
      <c r="BH73" s="7"/>
      <c r="BI73" s="39" t="n">
        <f aca="false">T80/AG80</f>
        <v>0.0121046041335897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3" t="n">
        <f aca="false">'High pensions'!Q74</f>
        <v>125810281.50145</v>
      </c>
      <c r="E74" s="6"/>
      <c r="F74" s="83" t="n">
        <f aca="false">'High pensions'!I74</f>
        <v>22867507.9074997</v>
      </c>
      <c r="G74" s="83" t="n">
        <f aca="false">'High pensions'!K74</f>
        <v>2196100.61444554</v>
      </c>
      <c r="H74" s="83" t="n">
        <f aca="false">'High pensions'!V74</f>
        <v>12082297.6262441</v>
      </c>
      <c r="I74" s="83" t="n">
        <f aca="false">'High pensions'!M74</f>
        <v>67920.6375601697</v>
      </c>
      <c r="J74" s="83" t="n">
        <f aca="false">'High pensions'!W74</f>
        <v>373679.308028159</v>
      </c>
      <c r="K74" s="6"/>
      <c r="L74" s="83" t="n">
        <f aca="false">'High pensions'!N74</f>
        <v>3523974.24267706</v>
      </c>
      <c r="M74" s="8"/>
      <c r="N74" s="83" t="n">
        <f aca="false">'High pensions'!L74</f>
        <v>1039255.67063043</v>
      </c>
      <c r="O74" s="6"/>
      <c r="P74" s="83" t="n">
        <f aca="false">'High pensions'!X74</f>
        <v>24003597.1673333</v>
      </c>
      <c r="Q74" s="8"/>
      <c r="R74" s="83" t="n">
        <f aca="false">'High SIPA income'!G69</f>
        <v>21892875.6682965</v>
      </c>
      <c r="S74" s="8"/>
      <c r="T74" s="83" t="n">
        <f aca="false">'High SIPA income'!J69</f>
        <v>83709307.6104836</v>
      </c>
      <c r="U74" s="6"/>
      <c r="V74" s="83" t="n">
        <f aca="false">'High SIPA income'!F69</f>
        <v>152079.331049635</v>
      </c>
      <c r="W74" s="8"/>
      <c r="X74" s="83" t="n">
        <f aca="false">'High SIPA income'!M69</f>
        <v>381979.433908907</v>
      </c>
      <c r="Y74" s="6"/>
      <c r="Z74" s="6" t="n">
        <f aca="false">R74+V74-N74-L74-F74</f>
        <v>-5385782.82146106</v>
      </c>
      <c r="AA74" s="6"/>
      <c r="AB74" s="6" t="n">
        <f aca="false">T74-P74-D74</f>
        <v>-66104571.0583</v>
      </c>
      <c r="AC74" s="50"/>
      <c r="AD74" s="6"/>
      <c r="AE74" s="6"/>
      <c r="AF74" s="6"/>
      <c r="AG74" s="6" t="n">
        <f aca="false">BF74/100*$AG$53</f>
        <v>7009001271.78222</v>
      </c>
      <c r="AH74" s="61" t="n">
        <f aca="false">(AG74-AG73)/AG73</f>
        <v>0.00829263223576337</v>
      </c>
      <c r="AI74" s="61"/>
      <c r="AJ74" s="61" t="n">
        <f aca="false">AB74/AG74</f>
        <v>-0.00943138237460916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0.00789720845685443</v>
      </c>
      <c r="AV74" s="5"/>
      <c r="AW74" s="5" t="n">
        <f aca="false">workers_and_wage_high!C62</f>
        <v>13531504</v>
      </c>
      <c r="AX74" s="5"/>
      <c r="AY74" s="61" t="n">
        <f aca="false">(AW74-AW73)/AW73</f>
        <v>-0.00118619023597878</v>
      </c>
      <c r="AZ74" s="11" t="n">
        <f aca="false">workers_and_wage_high!B62</f>
        <v>7803.22190775209</v>
      </c>
      <c r="BA74" s="61" t="n">
        <f aca="false">(AZ74-AZ73)/AZ73</f>
        <v>0.00949007951139717</v>
      </c>
      <c r="BB74" s="66"/>
      <c r="BC74" s="66"/>
      <c r="BD74" s="66"/>
      <c r="BE74" s="66"/>
      <c r="BF74" s="5" t="n">
        <f aca="false">BF73*(1+AY74)*(1+BA74)*(1-BE74)</f>
        <v>120.582516846249</v>
      </c>
      <c r="BG74" s="5"/>
      <c r="BH74" s="5"/>
      <c r="BI74" s="61" t="n">
        <f aca="false">T81/AG81</f>
        <v>0.0142499124155058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4" t="n">
        <f aca="false">'High pensions'!Q75</f>
        <v>127059297.455965</v>
      </c>
      <c r="E75" s="9"/>
      <c r="F75" s="84" t="n">
        <f aca="false">'High pensions'!I75</f>
        <v>23094531.3421155</v>
      </c>
      <c r="G75" s="84" t="n">
        <f aca="false">'High pensions'!K75</f>
        <v>2231988.80103696</v>
      </c>
      <c r="H75" s="84" t="n">
        <f aca="false">'High pensions'!V75</f>
        <v>12279743.8401432</v>
      </c>
      <c r="I75" s="84" t="n">
        <f aca="false">'High pensions'!M75</f>
        <v>69030.5814753701</v>
      </c>
      <c r="J75" s="84" t="n">
        <f aca="false">'High pensions'!W75</f>
        <v>379785.891963192</v>
      </c>
      <c r="K75" s="9"/>
      <c r="L75" s="84" t="n">
        <f aca="false">'High pensions'!N75</f>
        <v>2896959.7018655</v>
      </c>
      <c r="M75" s="67"/>
      <c r="N75" s="84" t="n">
        <f aca="false">'High pensions'!L75</f>
        <v>1052488.29141293</v>
      </c>
      <c r="O75" s="9"/>
      <c r="P75" s="84" t="n">
        <f aca="false">'High pensions'!X75</f>
        <v>20822817.7096514</v>
      </c>
      <c r="Q75" s="67"/>
      <c r="R75" s="84" t="n">
        <f aca="false">'High SIPA income'!G70</f>
        <v>25801498.7347232</v>
      </c>
      <c r="S75" s="67"/>
      <c r="T75" s="84" t="n">
        <f aca="false">'High SIPA income'!J70</f>
        <v>98654266.6719722</v>
      </c>
      <c r="U75" s="9"/>
      <c r="V75" s="84" t="n">
        <f aca="false">'High SIPA income'!F70</f>
        <v>148866.976569525</v>
      </c>
      <c r="W75" s="67"/>
      <c r="X75" s="84" t="n">
        <f aca="false">'High SIPA income'!M70</f>
        <v>373910.925602366</v>
      </c>
      <c r="Y75" s="9"/>
      <c r="Z75" s="9" t="n">
        <f aca="false">R75+V75-N75-L75-F75</f>
        <v>-1093613.62410121</v>
      </c>
      <c r="AA75" s="9"/>
      <c r="AB75" s="9" t="n">
        <f aca="false">T75-P75-D75</f>
        <v>-49227848.4936438</v>
      </c>
      <c r="AC75" s="50"/>
      <c r="AD75" s="9"/>
      <c r="AE75" s="9"/>
      <c r="AF75" s="9"/>
      <c r="AG75" s="9" t="n">
        <f aca="false">BF75/100*$AG$53</f>
        <v>7041345921.05921</v>
      </c>
      <c r="AH75" s="39" t="n">
        <f aca="false">(AG75-AG74)/AG74</f>
        <v>0.00461473011956874</v>
      </c>
      <c r="AI75" s="39"/>
      <c r="AJ75" s="39" t="n">
        <f aca="false">AB75/AG75</f>
        <v>-0.00699125551358208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13598632</v>
      </c>
      <c r="AX75" s="7"/>
      <c r="AY75" s="39" t="n">
        <f aca="false">(AW75-AW74)/AW74</f>
        <v>0.00496086761678524</v>
      </c>
      <c r="AZ75" s="12" t="n">
        <f aca="false">workers_and_wage_high!B63</f>
        <v>7800.5342531494</v>
      </c>
      <c r="BA75" s="39" t="n">
        <f aca="false">(AZ75-AZ74)/AZ74</f>
        <v>-0.000344428831380607</v>
      </c>
      <c r="BB75" s="38"/>
      <c r="BC75" s="38"/>
      <c r="BD75" s="38"/>
      <c r="BE75" s="38"/>
      <c r="BF75" s="7" t="n">
        <f aca="false">BF74*(1+AY75)*(1+BA75)*(1-BE75)</f>
        <v>121.138972618632</v>
      </c>
      <c r="BG75" s="7"/>
      <c r="BH75" s="7"/>
      <c r="BI75" s="39" t="n">
        <f aca="false">T82/AG82</f>
        <v>0.0121111693379937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4" t="n">
        <f aca="false">'High pensions'!Q76</f>
        <v>128069681.796228</v>
      </c>
      <c r="E76" s="9"/>
      <c r="F76" s="84" t="n">
        <f aca="false">'High pensions'!I76</f>
        <v>23278180.6561052</v>
      </c>
      <c r="G76" s="84" t="n">
        <f aca="false">'High pensions'!K76</f>
        <v>2234977.80679482</v>
      </c>
      <c r="H76" s="84" t="n">
        <f aca="false">'High pensions'!V76</f>
        <v>12296188.4679237</v>
      </c>
      <c r="I76" s="84" t="n">
        <f aca="false">'High pensions'!M76</f>
        <v>69123.02495242</v>
      </c>
      <c r="J76" s="84" t="n">
        <f aca="false">'High pensions'!W76</f>
        <v>380294.488698686</v>
      </c>
      <c r="K76" s="9"/>
      <c r="L76" s="84" t="n">
        <f aca="false">'High pensions'!N76</f>
        <v>2873611.43284303</v>
      </c>
      <c r="M76" s="67"/>
      <c r="N76" s="84" t="n">
        <f aca="false">'High pensions'!L76</f>
        <v>1062778.66854447</v>
      </c>
      <c r="O76" s="9"/>
      <c r="P76" s="84" t="n">
        <f aca="false">'High pensions'!X76</f>
        <v>20758278.0495264</v>
      </c>
      <c r="Q76" s="67"/>
      <c r="R76" s="84" t="n">
        <f aca="false">'High SIPA income'!G71</f>
        <v>22287003.8893776</v>
      </c>
      <c r="S76" s="67"/>
      <c r="T76" s="84" t="n">
        <f aca="false">'High SIPA income'!J71</f>
        <v>85216291.0235501</v>
      </c>
      <c r="U76" s="9"/>
      <c r="V76" s="84" t="n">
        <f aca="false">'High SIPA income'!F71</f>
        <v>154990.541982352</v>
      </c>
      <c r="W76" s="67"/>
      <c r="X76" s="84" t="n">
        <f aca="false">'High SIPA income'!M71</f>
        <v>389291.55644649</v>
      </c>
      <c r="Y76" s="9"/>
      <c r="Z76" s="9" t="n">
        <f aca="false">R76+V76-N76-L76-F76</f>
        <v>-4772576.32613278</v>
      </c>
      <c r="AA76" s="9"/>
      <c r="AB76" s="9" t="n">
        <f aca="false">T76-P76-D76</f>
        <v>-63611668.8222043</v>
      </c>
      <c r="AC76" s="50"/>
      <c r="AD76" s="9"/>
      <c r="AE76" s="9"/>
      <c r="AF76" s="9"/>
      <c r="AG76" s="9" t="n">
        <f aca="false">BF76/100*$AG$53</f>
        <v>7095899065.54314</v>
      </c>
      <c r="AH76" s="39" t="n">
        <f aca="false">(AG76-AG75)/AG75</f>
        <v>0.0077475450141968</v>
      </c>
      <c r="AI76" s="39"/>
      <c r="AJ76" s="39" t="n">
        <f aca="false">AB76/AG76</f>
        <v>-0.00896456787711301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13659111</v>
      </c>
      <c r="AX76" s="7"/>
      <c r="AY76" s="39" t="n">
        <f aca="false">(AW76-AW75)/AW75</f>
        <v>0.00444743265351985</v>
      </c>
      <c r="AZ76" s="12" t="n">
        <f aca="false">workers_and_wage_high!B64</f>
        <v>7826.16291092863</v>
      </c>
      <c r="BA76" s="39" t="n">
        <f aca="false">(AZ76-AZ75)/AZ75</f>
        <v>0.00328550031927396</v>
      </c>
      <c r="BB76" s="38"/>
      <c r="BC76" s="38"/>
      <c r="BD76" s="38"/>
      <c r="BE76" s="38"/>
      <c r="BF76" s="7" t="n">
        <f aca="false">BF75*(1+AY76)*(1+BA76)*(1-BE76)</f>
        <v>122.077502261969</v>
      </c>
      <c r="BG76" s="7"/>
      <c r="BH76" s="7"/>
      <c r="BI76" s="39" t="n">
        <f aca="false">T83/AG83</f>
        <v>0.0142735232600139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4" t="n">
        <f aca="false">'High pensions'!Q77</f>
        <v>128348491.371325</v>
      </c>
      <c r="E77" s="9"/>
      <c r="F77" s="84" t="n">
        <f aca="false">'High pensions'!I77</f>
        <v>23328857.5967107</v>
      </c>
      <c r="G77" s="84" t="n">
        <f aca="false">'High pensions'!K77</f>
        <v>2305846.2704463</v>
      </c>
      <c r="H77" s="84" t="n">
        <f aca="false">'High pensions'!V77</f>
        <v>12686085.8453569</v>
      </c>
      <c r="I77" s="84" t="n">
        <f aca="false">'High pensions'!M77</f>
        <v>71314.83310659</v>
      </c>
      <c r="J77" s="84" t="n">
        <f aca="false">'High pensions'!W77</f>
        <v>392353.170474974</v>
      </c>
      <c r="K77" s="9"/>
      <c r="L77" s="84" t="n">
        <f aca="false">'High pensions'!N77</f>
        <v>2883851.82690642</v>
      </c>
      <c r="M77" s="67"/>
      <c r="N77" s="84" t="n">
        <f aca="false">'High pensions'!L77</f>
        <v>1066757.34218121</v>
      </c>
      <c r="O77" s="9"/>
      <c r="P77" s="84" t="n">
        <f aca="false">'High pensions'!X77</f>
        <v>20833304.991453</v>
      </c>
      <c r="Q77" s="67"/>
      <c r="R77" s="84" t="n">
        <f aca="false">'High SIPA income'!G72</f>
        <v>26564797.4427634</v>
      </c>
      <c r="S77" s="67"/>
      <c r="T77" s="84" t="n">
        <f aca="false">'High SIPA income'!J72</f>
        <v>101572805.43856</v>
      </c>
      <c r="U77" s="9"/>
      <c r="V77" s="84" t="n">
        <f aca="false">'High SIPA income'!F72</f>
        <v>149505.716441487</v>
      </c>
      <c r="W77" s="67"/>
      <c r="X77" s="84" t="n">
        <f aca="false">'High SIPA income'!M72</f>
        <v>375515.256006919</v>
      </c>
      <c r="Y77" s="9"/>
      <c r="Z77" s="9" t="n">
        <f aca="false">R77+V77-N77-L77-F77</f>
        <v>-565163.606593486</v>
      </c>
      <c r="AA77" s="9"/>
      <c r="AB77" s="9" t="n">
        <f aca="false">T77-P77-D77</f>
        <v>-47608990.9242175</v>
      </c>
      <c r="AC77" s="50"/>
      <c r="AD77" s="9"/>
      <c r="AE77" s="9"/>
      <c r="AF77" s="9"/>
      <c r="AG77" s="9" t="n">
        <f aca="false">BF77/100*$AG$53</f>
        <v>7173485104.0784</v>
      </c>
      <c r="AH77" s="39" t="n">
        <f aca="false">(AG77-AG76)/AG76</f>
        <v>0.0109339264578888</v>
      </c>
      <c r="AI77" s="39" t="n">
        <f aca="false">(AG77-AG73)/AG73</f>
        <v>0.0319547532420515</v>
      </c>
      <c r="AJ77" s="39" t="n">
        <f aca="false">AB77/AG77</f>
        <v>-0.00663680069498576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13698458</v>
      </c>
      <c r="AX77" s="7"/>
      <c r="AY77" s="39" t="n">
        <f aca="false">(AW77-AW76)/AW76</f>
        <v>0.00288064135359907</v>
      </c>
      <c r="AZ77" s="12" t="n">
        <f aca="false">workers_and_wage_high!B65</f>
        <v>7889.00819739189</v>
      </c>
      <c r="BA77" s="39" t="n">
        <f aca="false">(AZ77-AZ76)/AZ76</f>
        <v>0.00803015311315605</v>
      </c>
      <c r="BB77" s="38"/>
      <c r="BC77" s="38"/>
      <c r="BD77" s="38"/>
      <c r="BE77" s="38"/>
      <c r="BF77" s="7" t="n">
        <f aca="false">BF76*(1+AY77)*(1+BA77)*(1-BE77)</f>
        <v>123.412288693864</v>
      </c>
      <c r="BG77" s="7"/>
      <c r="BH77" s="7"/>
      <c r="BI77" s="39" t="n">
        <f aca="false">T84/AG84</f>
        <v>0.0122624498598821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3" t="n">
        <f aca="false">'High pensions'!Q78</f>
        <v>129293757.831938</v>
      </c>
      <c r="E78" s="6"/>
      <c r="F78" s="83" t="n">
        <f aca="false">'High pensions'!I78</f>
        <v>23500670.965259</v>
      </c>
      <c r="G78" s="83" t="n">
        <f aca="false">'High pensions'!K78</f>
        <v>2363962.41169691</v>
      </c>
      <c r="H78" s="83" t="n">
        <f aca="false">'High pensions'!V78</f>
        <v>13005823.7074839</v>
      </c>
      <c r="I78" s="83" t="n">
        <f aca="false">'High pensions'!M78</f>
        <v>73112.2395370202</v>
      </c>
      <c r="J78" s="83" t="n">
        <f aca="false">'High pensions'!W78</f>
        <v>402241.970334568</v>
      </c>
      <c r="K78" s="6"/>
      <c r="L78" s="83" t="n">
        <f aca="false">'High pensions'!N78</f>
        <v>3502784.00921207</v>
      </c>
      <c r="M78" s="8"/>
      <c r="N78" s="83" t="n">
        <f aca="false">'High pensions'!L78</f>
        <v>1076277.11993968</v>
      </c>
      <c r="O78" s="6"/>
      <c r="P78" s="83" t="n">
        <f aca="false">'High pensions'!X78</f>
        <v>24097322.0361554</v>
      </c>
      <c r="Q78" s="8"/>
      <c r="R78" s="83" t="n">
        <f aca="false">'High SIPA income'!G73</f>
        <v>22945262.8525438</v>
      </c>
      <c r="S78" s="8"/>
      <c r="T78" s="83" t="n">
        <f aca="false">'High SIPA income'!J73</f>
        <v>87733201.2216396</v>
      </c>
      <c r="U78" s="6"/>
      <c r="V78" s="83" t="n">
        <f aca="false">'High SIPA income'!F73</f>
        <v>151424.019657982</v>
      </c>
      <c r="W78" s="8"/>
      <c r="X78" s="83" t="n">
        <f aca="false">'High SIPA income'!M73</f>
        <v>380333.480624591</v>
      </c>
      <c r="Y78" s="6"/>
      <c r="Z78" s="6" t="n">
        <f aca="false">R78+V78-N78-L78-F78</f>
        <v>-4983045.22220895</v>
      </c>
      <c r="AA78" s="6"/>
      <c r="AB78" s="6" t="n">
        <f aca="false">T78-P78-D78</f>
        <v>-65657878.6464539</v>
      </c>
      <c r="AC78" s="50"/>
      <c r="AD78" s="6"/>
      <c r="AE78" s="6"/>
      <c r="AF78" s="6"/>
      <c r="AG78" s="6" t="n">
        <f aca="false">BF78/100*$AG$53</f>
        <v>7265729310.10236</v>
      </c>
      <c r="AH78" s="61" t="n">
        <f aca="false">(AG78-AG77)/AG77</f>
        <v>0.0128590503340586</v>
      </c>
      <c r="AI78" s="61"/>
      <c r="AJ78" s="61" t="n">
        <f aca="false">AB78/AG78</f>
        <v>-0.00903665356142052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0.00584163526888327</v>
      </c>
      <c r="AV78" s="5"/>
      <c r="AW78" s="5" t="n">
        <f aca="false">workers_and_wage_high!C66</f>
        <v>13788368</v>
      </c>
      <c r="AX78" s="5"/>
      <c r="AY78" s="61" t="n">
        <f aca="false">(AW78-AW77)/AW77</f>
        <v>0.00656351247709779</v>
      </c>
      <c r="AZ78" s="11" t="n">
        <f aca="false">workers_and_wage_high!B66</f>
        <v>7938.34989232213</v>
      </c>
      <c r="BA78" s="61" t="n">
        <f aca="false">(AZ78-AZ77)/AZ77</f>
        <v>0.00625448645706217</v>
      </c>
      <c r="BB78" s="66"/>
      <c r="BC78" s="66"/>
      <c r="BD78" s="66"/>
      <c r="BE78" s="66"/>
      <c r="BF78" s="5" t="n">
        <f aca="false">BF77*(1+AY78)*(1+BA78)*(1-BE78)</f>
        <v>124.99925352602</v>
      </c>
      <c r="BG78" s="5"/>
      <c r="BH78" s="5"/>
      <c r="BI78" s="61" t="n">
        <f aca="false">T85/AG85</f>
        <v>0.0143869173240433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4" t="n">
        <f aca="false">'High pensions'!Q79</f>
        <v>129288664.312799</v>
      </c>
      <c r="E79" s="9"/>
      <c r="F79" s="84" t="n">
        <f aca="false">'High pensions'!I79</f>
        <v>23499745.1578623</v>
      </c>
      <c r="G79" s="84" t="n">
        <f aca="false">'High pensions'!K79</f>
        <v>2418166.17668548</v>
      </c>
      <c r="H79" s="84" t="n">
        <f aca="false">'High pensions'!V79</f>
        <v>13304036.8297549</v>
      </c>
      <c r="I79" s="84" t="n">
        <f aca="false">'High pensions'!M79</f>
        <v>74788.64463975</v>
      </c>
      <c r="J79" s="84" t="n">
        <f aca="false">'High pensions'!W79</f>
        <v>411465.056590317</v>
      </c>
      <c r="K79" s="9"/>
      <c r="L79" s="84" t="n">
        <f aca="false">'High pensions'!N79</f>
        <v>2789919.47763503</v>
      </c>
      <c r="M79" s="67"/>
      <c r="N79" s="84" t="n">
        <f aca="false">'High pensions'!L79</f>
        <v>1077951.50758345</v>
      </c>
      <c r="O79" s="9"/>
      <c r="P79" s="84" t="n">
        <f aca="false">'High pensions'!X79</f>
        <v>20407476.5797785</v>
      </c>
      <c r="Q79" s="67"/>
      <c r="R79" s="84" t="n">
        <f aca="false">'High SIPA income'!G74</f>
        <v>26709081.9898868</v>
      </c>
      <c r="S79" s="67"/>
      <c r="T79" s="84" t="n">
        <f aca="false">'High SIPA income'!J74</f>
        <v>102124489.909874</v>
      </c>
      <c r="U79" s="9"/>
      <c r="V79" s="84" t="n">
        <f aca="false">'High SIPA income'!F74</f>
        <v>151822.246663959</v>
      </c>
      <c r="W79" s="67"/>
      <c r="X79" s="84" t="n">
        <f aca="false">'High SIPA income'!M74</f>
        <v>381333.712051574</v>
      </c>
      <c r="Y79" s="9"/>
      <c r="Z79" s="9" t="n">
        <f aca="false">R79+V79-N79-L79-F79</f>
        <v>-506711.906530011</v>
      </c>
      <c r="AA79" s="9"/>
      <c r="AB79" s="9" t="n">
        <f aca="false">T79-P79-D79</f>
        <v>-47571650.9827037</v>
      </c>
      <c r="AC79" s="50"/>
      <c r="AD79" s="9"/>
      <c r="AE79" s="9"/>
      <c r="AF79" s="9"/>
      <c r="AG79" s="9" t="n">
        <f aca="false">BF79/100*$AG$53</f>
        <v>7229691825.61374</v>
      </c>
      <c r="AH79" s="39" t="n">
        <f aca="false">(AG79-AG78)/AG78</f>
        <v>-0.00495992665712357</v>
      </c>
      <c r="AI79" s="39"/>
      <c r="AJ79" s="39" t="n">
        <f aca="false">AB79/AG79</f>
        <v>-0.00658003855906615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13740259</v>
      </c>
      <c r="AX79" s="7"/>
      <c r="AY79" s="39" t="n">
        <f aca="false">(AW79-AW78)/AW78</f>
        <v>-0.00348910037794175</v>
      </c>
      <c r="AZ79" s="12" t="n">
        <f aca="false">workers_and_wage_high!B67</f>
        <v>7926.63307754429</v>
      </c>
      <c r="BA79" s="39" t="n">
        <f aca="false">(AZ79-AZ78)/AZ78</f>
        <v>-0.00147597610797827</v>
      </c>
      <c r="BB79" s="38"/>
      <c r="BC79" s="38"/>
      <c r="BD79" s="38"/>
      <c r="BE79" s="38"/>
      <c r="BF79" s="7" t="n">
        <f aca="false">BF78*(1+AY79)*(1+BA79)*(1-BE79)</f>
        <v>124.379266396336</v>
      </c>
      <c r="BG79" s="7"/>
      <c r="BH79" s="7"/>
      <c r="BI79" s="39" t="n">
        <f aca="false">T86/AG86</f>
        <v>0.0122263425197959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4" t="n">
        <f aca="false">'High pensions'!Q80</f>
        <v>129505900.426672</v>
      </c>
      <c r="E80" s="9"/>
      <c r="F80" s="84" t="n">
        <f aca="false">'High pensions'!I80</f>
        <v>23539230.3930315</v>
      </c>
      <c r="G80" s="84" t="n">
        <f aca="false">'High pensions'!K80</f>
        <v>2476108.77359536</v>
      </c>
      <c r="H80" s="84" t="n">
        <f aca="false">'High pensions'!V80</f>
        <v>13622819.9021231</v>
      </c>
      <c r="I80" s="84" t="n">
        <f aca="false">'High pensions'!M80</f>
        <v>76580.6837194497</v>
      </c>
      <c r="J80" s="84" t="n">
        <f aca="false">'High pensions'!W80</f>
        <v>421324.326869816</v>
      </c>
      <c r="K80" s="9"/>
      <c r="L80" s="84" t="n">
        <f aca="false">'High pensions'!N80</f>
        <v>2758085.67864906</v>
      </c>
      <c r="M80" s="67"/>
      <c r="N80" s="84" t="n">
        <f aca="false">'High pensions'!L80</f>
        <v>1080704.77018115</v>
      </c>
      <c r="O80" s="9"/>
      <c r="P80" s="84" t="n">
        <f aca="false">'High pensions'!X80</f>
        <v>20257438.4839775</v>
      </c>
      <c r="Q80" s="67"/>
      <c r="R80" s="84" t="n">
        <f aca="false">'High SIPA income'!G75</f>
        <v>23027242.5259614</v>
      </c>
      <c r="S80" s="67"/>
      <c r="T80" s="84" t="n">
        <f aca="false">'High SIPA income'!J75</f>
        <v>88046657.6082696</v>
      </c>
      <c r="U80" s="9"/>
      <c r="V80" s="84" t="n">
        <f aca="false">'High SIPA income'!F75</f>
        <v>152668.256343816</v>
      </c>
      <c r="W80" s="67"/>
      <c r="X80" s="84" t="n">
        <f aca="false">'High SIPA income'!M75</f>
        <v>383458.644456016</v>
      </c>
      <c r="Y80" s="9"/>
      <c r="Z80" s="9" t="n">
        <f aca="false">R80+V80-N80-L80-F80</f>
        <v>-4198110.0595565</v>
      </c>
      <c r="AA80" s="9"/>
      <c r="AB80" s="9" t="n">
        <f aca="false">T80-P80-D80</f>
        <v>-61716681.3023803</v>
      </c>
      <c r="AC80" s="50"/>
      <c r="AD80" s="9"/>
      <c r="AE80" s="9"/>
      <c r="AF80" s="9"/>
      <c r="AG80" s="9" t="n">
        <f aca="false">BF80/100*$AG$53</f>
        <v>7273815536.34987</v>
      </c>
      <c r="AH80" s="39" t="n">
        <f aca="false">(AG80-AG79)/AG79</f>
        <v>0.00610312469748819</v>
      </c>
      <c r="AI80" s="39"/>
      <c r="AJ80" s="39" t="n">
        <f aca="false">AB80/AG80</f>
        <v>-0.00848477404932251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13754458</v>
      </c>
      <c r="AX80" s="7"/>
      <c r="AY80" s="39" t="n">
        <f aca="false">(AW80-AW79)/AW79</f>
        <v>0.00103338663412385</v>
      </c>
      <c r="AZ80" s="12" t="n">
        <f aca="false">workers_and_wage_high!B68</f>
        <v>7966.77754621448</v>
      </c>
      <c r="BA80" s="39" t="n">
        <f aca="false">(AZ80-AZ79)/AZ79</f>
        <v>0.00506450447213418</v>
      </c>
      <c r="BB80" s="38"/>
      <c r="BC80" s="38"/>
      <c r="BD80" s="38"/>
      <c r="BE80" s="38"/>
      <c r="BF80" s="7" t="n">
        <f aca="false">BF79*(1+AY80)*(1+BA80)*(1-BE80)</f>
        <v>125.138368568934</v>
      </c>
      <c r="BG80" s="7"/>
      <c r="BH80" s="7"/>
      <c r="BI80" s="39" t="n">
        <f aca="false">T87/AG87</f>
        <v>0.0143825281902052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4" t="n">
        <f aca="false">'High pensions'!Q81</f>
        <v>129562487.991183</v>
      </c>
      <c r="E81" s="9"/>
      <c r="F81" s="84" t="n">
        <f aca="false">'High pensions'!I81</f>
        <v>23549515.8527211</v>
      </c>
      <c r="G81" s="84" t="n">
        <f aca="false">'High pensions'!K81</f>
        <v>2545337.26212607</v>
      </c>
      <c r="H81" s="84" t="n">
        <f aca="false">'High pensions'!V81</f>
        <v>14003694.6203127</v>
      </c>
      <c r="I81" s="84" t="n">
        <f aca="false">'High pensions'!M81</f>
        <v>78721.7709935899</v>
      </c>
      <c r="J81" s="84" t="n">
        <f aca="false">'High pensions'!W81</f>
        <v>433103.95732926</v>
      </c>
      <c r="K81" s="9"/>
      <c r="L81" s="84" t="n">
        <f aca="false">'High pensions'!N81</f>
        <v>2714126.23443437</v>
      </c>
      <c r="M81" s="67"/>
      <c r="N81" s="84" t="n">
        <f aca="false">'High pensions'!L81</f>
        <v>1082010.22270801</v>
      </c>
      <c r="O81" s="9"/>
      <c r="P81" s="84" t="n">
        <f aca="false">'High pensions'!X81</f>
        <v>20036514.9336051</v>
      </c>
      <c r="Q81" s="67"/>
      <c r="R81" s="84" t="n">
        <f aca="false">'High SIPA income'!G76</f>
        <v>27362229.1841536</v>
      </c>
      <c r="S81" s="67"/>
      <c r="T81" s="84" t="n">
        <f aca="false">'High SIPA income'!J76</f>
        <v>104621854.816531</v>
      </c>
      <c r="U81" s="9"/>
      <c r="V81" s="84" t="n">
        <f aca="false">'High SIPA income'!F76</f>
        <v>154193.767377933</v>
      </c>
      <c r="W81" s="67"/>
      <c r="X81" s="84" t="n">
        <f aca="false">'High SIPA income'!M76</f>
        <v>387290.288356682</v>
      </c>
      <c r="Y81" s="9"/>
      <c r="Z81" s="9" t="n">
        <f aca="false">R81+V81-N81-L81-F81</f>
        <v>170770.64166807</v>
      </c>
      <c r="AA81" s="9"/>
      <c r="AB81" s="9" t="n">
        <f aca="false">T81-P81-D81</f>
        <v>-44977148.1082577</v>
      </c>
      <c r="AC81" s="50"/>
      <c r="AD81" s="9"/>
      <c r="AE81" s="9"/>
      <c r="AF81" s="9"/>
      <c r="AG81" s="9" t="n">
        <f aca="false">BF81/100*$AG$53</f>
        <v>7341929674.08613</v>
      </c>
      <c r="AH81" s="39" t="n">
        <f aca="false">(AG81-AG80)/AG80</f>
        <v>0.00936429270110984</v>
      </c>
      <c r="AI81" s="39" t="n">
        <f aca="false">(AG81-AG77)/AG77</f>
        <v>0.0234815529082187</v>
      </c>
      <c r="AJ81" s="39" t="n">
        <f aca="false">AB81/AG81</f>
        <v>-0.00612606632109372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13797426</v>
      </c>
      <c r="AX81" s="7"/>
      <c r="AY81" s="39" t="n">
        <f aca="false">(AW81-AW80)/AW80</f>
        <v>0.00312393261879167</v>
      </c>
      <c r="AZ81" s="12" t="n">
        <f aca="false">workers_and_wage_high!B69</f>
        <v>8016.33828239821</v>
      </c>
      <c r="BA81" s="39" t="n">
        <f aca="false">(AZ81-AZ80)/AZ80</f>
        <v>0.00622092632764417</v>
      </c>
      <c r="BB81" s="38"/>
      <c r="BC81" s="38"/>
      <c r="BD81" s="38"/>
      <c r="BE81" s="38"/>
      <c r="BF81" s="7" t="n">
        <f aca="false">BF80*(1+AY81)*(1+BA81)*(1-BE81)</f>
        <v>126.310200880353</v>
      </c>
      <c r="BG81" s="7"/>
      <c r="BH81" s="7"/>
      <c r="BI81" s="39" t="n">
        <f aca="false">T88/AG88</f>
        <v>0.0123399967498258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3" t="n">
        <f aca="false">'High pensions'!Q82</f>
        <v>129570116.424579</v>
      </c>
      <c r="E82" s="6"/>
      <c r="F82" s="83" t="n">
        <f aca="false">'High pensions'!I82</f>
        <v>23550902.4107903</v>
      </c>
      <c r="G82" s="83" t="n">
        <f aca="false">'High pensions'!K82</f>
        <v>2617332.89842642</v>
      </c>
      <c r="H82" s="83" t="n">
        <f aca="false">'High pensions'!V82</f>
        <v>14399793.3690903</v>
      </c>
      <c r="I82" s="83" t="n">
        <f aca="false">'High pensions'!M82</f>
        <v>80948.4401575201</v>
      </c>
      <c r="J82" s="83" t="n">
        <f aca="false">'High pensions'!W82</f>
        <v>445354.434095589</v>
      </c>
      <c r="K82" s="6"/>
      <c r="L82" s="83" t="n">
        <f aca="false">'High pensions'!N82</f>
        <v>3462286.05700289</v>
      </c>
      <c r="M82" s="8"/>
      <c r="N82" s="83" t="n">
        <f aca="false">'High pensions'!L82</f>
        <v>1083997.76071818</v>
      </c>
      <c r="O82" s="6"/>
      <c r="P82" s="83" t="n">
        <f aca="false">'High pensions'!X82</f>
        <v>23929654.6572288</v>
      </c>
      <c r="Q82" s="8"/>
      <c r="R82" s="83" t="n">
        <f aca="false">'High SIPA income'!G77</f>
        <v>23399700.9132754</v>
      </c>
      <c r="S82" s="8"/>
      <c r="T82" s="83" t="n">
        <f aca="false">'High SIPA income'!J77</f>
        <v>89470784.533766</v>
      </c>
      <c r="U82" s="6"/>
      <c r="V82" s="83" t="n">
        <f aca="false">'High SIPA income'!F77</f>
        <v>157869.825450059</v>
      </c>
      <c r="W82" s="8"/>
      <c r="X82" s="83" t="n">
        <f aca="false">'High SIPA income'!M77</f>
        <v>396523.486396912</v>
      </c>
      <c r="Y82" s="6"/>
      <c r="Z82" s="6" t="n">
        <f aca="false">R82+V82-N82-L82-F82</f>
        <v>-4539615.48978594</v>
      </c>
      <c r="AA82" s="6"/>
      <c r="AB82" s="6" t="n">
        <f aca="false">T82-P82-D82</f>
        <v>-64028986.5480417</v>
      </c>
      <c r="AC82" s="50"/>
      <c r="AD82" s="6"/>
      <c r="AE82" s="6"/>
      <c r="AF82" s="6"/>
      <c r="AG82" s="6" t="n">
        <f aca="false">BF82/100*$AG$53</f>
        <v>7387460453.80515</v>
      </c>
      <c r="AH82" s="61" t="n">
        <f aca="false">(AG82-AG81)/AG81</f>
        <v>0.00620147314672901</v>
      </c>
      <c r="AI82" s="61"/>
      <c r="AJ82" s="61" t="n">
        <f aca="false">AB82/AG82</f>
        <v>-0.00866725269778758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0.00728304935288735</v>
      </c>
      <c r="AV82" s="5"/>
      <c r="AW82" s="5" t="n">
        <f aca="false">workers_and_wage_high!C70</f>
        <v>13813179</v>
      </c>
      <c r="AX82" s="5"/>
      <c r="AY82" s="61" t="n">
        <f aca="false">(AW82-AW81)/AW81</f>
        <v>0.00114173469747183</v>
      </c>
      <c r="AZ82" s="11" t="n">
        <f aca="false">workers_and_wage_high!B70</f>
        <v>8056.85260082482</v>
      </c>
      <c r="BA82" s="61" t="n">
        <f aca="false">(AZ82-AZ81)/AZ81</f>
        <v>0.00505396815845069</v>
      </c>
      <c r="BB82" s="66"/>
      <c r="BC82" s="66"/>
      <c r="BD82" s="66"/>
      <c r="BE82" s="66"/>
      <c r="BF82" s="5" t="n">
        <f aca="false">BF81*(1+AY82)*(1+BA82)*(1-BE82)</f>
        <v>127.093510199271</v>
      </c>
      <c r="BG82" s="5"/>
      <c r="BH82" s="5"/>
      <c r="BI82" s="61" t="n">
        <f aca="false">T89/AG89</f>
        <v>0.0144984804569077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4" t="n">
        <f aca="false">'High pensions'!Q83</f>
        <v>129751699.278379</v>
      </c>
      <c r="E83" s="9"/>
      <c r="F83" s="84" t="n">
        <f aca="false">'High pensions'!I83</f>
        <v>23583907.2439056</v>
      </c>
      <c r="G83" s="84" t="n">
        <f aca="false">'High pensions'!K83</f>
        <v>2681865.50658019</v>
      </c>
      <c r="H83" s="84" t="n">
        <f aca="false">'High pensions'!V83</f>
        <v>14754832.7389548</v>
      </c>
      <c r="I83" s="84" t="n">
        <f aca="false">'High pensions'!M83</f>
        <v>82944.2940179501</v>
      </c>
      <c r="J83" s="84" t="n">
        <f aca="false">'High pensions'!W83</f>
        <v>456335.033163583</v>
      </c>
      <c r="K83" s="9"/>
      <c r="L83" s="84" t="n">
        <f aca="false">'High pensions'!N83</f>
        <v>2797649.97614505</v>
      </c>
      <c r="M83" s="67"/>
      <c r="N83" s="84" t="n">
        <f aca="false">'High pensions'!L83</f>
        <v>1087422.41300675</v>
      </c>
      <c r="O83" s="9"/>
      <c r="P83" s="84" t="n">
        <f aca="false">'High pensions'!X83</f>
        <v>20499696.3005664</v>
      </c>
      <c r="Q83" s="67"/>
      <c r="R83" s="84" t="n">
        <f aca="false">'High SIPA income'!G78</f>
        <v>27837471.0298077</v>
      </c>
      <c r="S83" s="67"/>
      <c r="T83" s="84" t="n">
        <f aca="false">'High SIPA income'!J78</f>
        <v>106438983.203407</v>
      </c>
      <c r="U83" s="9"/>
      <c r="V83" s="84" t="n">
        <f aca="false">'High SIPA income'!F78</f>
        <v>154126.402356755</v>
      </c>
      <c r="W83" s="67"/>
      <c r="X83" s="84" t="n">
        <f aca="false">'High SIPA income'!M78</f>
        <v>387121.086845358</v>
      </c>
      <c r="Y83" s="9"/>
      <c r="Z83" s="9" t="n">
        <f aca="false">R83+V83-N83-L83-F83</f>
        <v>522617.799107011</v>
      </c>
      <c r="AA83" s="9"/>
      <c r="AB83" s="9" t="n">
        <f aca="false">T83-P83-D83</f>
        <v>-43812412.3755382</v>
      </c>
      <c r="AC83" s="50"/>
      <c r="AD83" s="9"/>
      <c r="AE83" s="9"/>
      <c r="AF83" s="9"/>
      <c r="AG83" s="9" t="n">
        <f aca="false">BF83/100*$AG$53</f>
        <v>7457092496.67795</v>
      </c>
      <c r="AH83" s="39" t="n">
        <f aca="false">(AG83-AG82)/AG82</f>
        <v>0.00942570769863557</v>
      </c>
      <c r="AI83" s="39"/>
      <c r="AJ83" s="39" t="n">
        <f aca="false">AB83/AG83</f>
        <v>-0.00587526739074997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13867196</v>
      </c>
      <c r="AX83" s="7"/>
      <c r="AY83" s="39" t="n">
        <f aca="false">(AW83-AW82)/AW82</f>
        <v>0.00391054079585879</v>
      </c>
      <c r="AZ83" s="12" t="n">
        <f aca="false">workers_and_wage_high!B71</f>
        <v>8101.11440005784</v>
      </c>
      <c r="BA83" s="39" t="n">
        <f aca="false">(AZ83-AZ82)/AZ82</f>
        <v>0.00549368362882652</v>
      </c>
      <c r="BB83" s="38"/>
      <c r="BC83" s="38"/>
      <c r="BD83" s="38"/>
      <c r="BE83" s="38"/>
      <c r="BF83" s="7" t="n">
        <f aca="false">BF82*(1+AY83)*(1+BA83)*(1-BE83)</f>
        <v>128.291456476803</v>
      </c>
      <c r="BG83" s="7"/>
      <c r="BH83" s="7"/>
      <c r="BI83" s="39" t="n">
        <f aca="false">T90/AG90</f>
        <v>0.0123360808034753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4" t="n">
        <f aca="false">'High pensions'!Q84</f>
        <v>130000970.361191</v>
      </c>
      <c r="E84" s="9"/>
      <c r="F84" s="84" t="n">
        <f aca="false">'High pensions'!I84</f>
        <v>23629215.2138845</v>
      </c>
      <c r="G84" s="84" t="n">
        <f aca="false">'High pensions'!K84</f>
        <v>2788251.42888846</v>
      </c>
      <c r="H84" s="84" t="n">
        <f aca="false">'High pensions'!V84</f>
        <v>15340136.6945732</v>
      </c>
      <c r="I84" s="84" t="n">
        <f aca="false">'High pensions'!M84</f>
        <v>86234.5802749</v>
      </c>
      <c r="J84" s="84" t="n">
        <f aca="false">'High pensions'!W84</f>
        <v>474437.217357929</v>
      </c>
      <c r="K84" s="9"/>
      <c r="L84" s="84" t="n">
        <f aca="false">'High pensions'!N84</f>
        <v>2750842.7184645</v>
      </c>
      <c r="M84" s="67"/>
      <c r="N84" s="84" t="n">
        <f aca="false">'High pensions'!L84</f>
        <v>1091477.768428</v>
      </c>
      <c r="O84" s="9"/>
      <c r="P84" s="84" t="n">
        <f aca="false">'High pensions'!X84</f>
        <v>20279124.5869541</v>
      </c>
      <c r="Q84" s="67"/>
      <c r="R84" s="84" t="n">
        <f aca="false">'High SIPA income'!G79</f>
        <v>24056593.9271395</v>
      </c>
      <c r="S84" s="67"/>
      <c r="T84" s="84" t="n">
        <f aca="false">'High SIPA income'!J79</f>
        <v>91982471.9063097</v>
      </c>
      <c r="U84" s="9"/>
      <c r="V84" s="84" t="n">
        <f aca="false">'High SIPA income'!F79</f>
        <v>152078.453083453</v>
      </c>
      <c r="W84" s="67"/>
      <c r="X84" s="84" t="n">
        <f aca="false">'High SIPA income'!M79</f>
        <v>381977.228710982</v>
      </c>
      <c r="Y84" s="9"/>
      <c r="Z84" s="9" t="n">
        <f aca="false">R84+V84-N84-L84-F84</f>
        <v>-3262863.3205541</v>
      </c>
      <c r="AA84" s="9"/>
      <c r="AB84" s="9" t="n">
        <f aca="false">T84-P84-D84</f>
        <v>-58297623.0418355</v>
      </c>
      <c r="AC84" s="50"/>
      <c r="AD84" s="9"/>
      <c r="AE84" s="9"/>
      <c r="AF84" s="9"/>
      <c r="AG84" s="9" t="n">
        <f aca="false">BF84/100*$AG$53</f>
        <v>7501149685.20605</v>
      </c>
      <c r="AH84" s="39" t="n">
        <f aca="false">(AG84-AG83)/AG83</f>
        <v>0.00590809200069986</v>
      </c>
      <c r="AI84" s="39"/>
      <c r="AJ84" s="39" t="n">
        <f aca="false">AB84/AG84</f>
        <v>-0.0077718250519399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13828066</v>
      </c>
      <c r="AX84" s="7"/>
      <c r="AY84" s="39" t="n">
        <f aca="false">(AW84-AW83)/AW83</f>
        <v>-0.00282176728446039</v>
      </c>
      <c r="AZ84" s="12" t="n">
        <f aca="false">workers_and_wage_high!B72</f>
        <v>8172.03611339378</v>
      </c>
      <c r="BA84" s="39" t="n">
        <f aca="false">(AZ84-AZ83)/AZ83</f>
        <v>0.00875456262356131</v>
      </c>
      <c r="BB84" s="38"/>
      <c r="BC84" s="38"/>
      <c r="BD84" s="38"/>
      <c r="BE84" s="38"/>
      <c r="BF84" s="7" t="n">
        <f aca="false">BF83*(1+AY84)*(1+BA84)*(1-BE84)</f>
        <v>129.049414204571</v>
      </c>
      <c r="BG84" s="7"/>
      <c r="BH84" s="7"/>
      <c r="BI84" s="39" t="n">
        <f aca="false">T91/AG91</f>
        <v>0.0144914552371425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4" t="n">
        <f aca="false">'High pensions'!Q85</f>
        <v>130683394.156546</v>
      </c>
      <c r="E85" s="9"/>
      <c r="F85" s="84" t="n">
        <f aca="false">'High pensions'!I85</f>
        <v>23753253.8166943</v>
      </c>
      <c r="G85" s="84" t="n">
        <f aca="false">'High pensions'!K85</f>
        <v>2840717.50836402</v>
      </c>
      <c r="H85" s="84" t="n">
        <f aca="false">'High pensions'!V85</f>
        <v>15628789.5838516</v>
      </c>
      <c r="I85" s="84" t="n">
        <f aca="false">'High pensions'!M85</f>
        <v>87857.2425267203</v>
      </c>
      <c r="J85" s="84" t="n">
        <f aca="false">'High pensions'!W85</f>
        <v>483364.626304679</v>
      </c>
      <c r="K85" s="9"/>
      <c r="L85" s="84" t="n">
        <f aca="false">'High pensions'!N85</f>
        <v>2719369.8868709</v>
      </c>
      <c r="M85" s="67"/>
      <c r="N85" s="84" t="n">
        <f aca="false">'High pensions'!L85</f>
        <v>1099636.02657728</v>
      </c>
      <c r="O85" s="9"/>
      <c r="P85" s="84" t="n">
        <f aca="false">'High pensions'!X85</f>
        <v>20160696.2434614</v>
      </c>
      <c r="Q85" s="67"/>
      <c r="R85" s="84" t="n">
        <f aca="false">'High SIPA income'!G80</f>
        <v>28438813.5516385</v>
      </c>
      <c r="S85" s="67"/>
      <c r="T85" s="84" t="n">
        <f aca="false">'High SIPA income'!J80</f>
        <v>108738268.455006</v>
      </c>
      <c r="U85" s="9"/>
      <c r="V85" s="84" t="n">
        <f aca="false">'High SIPA income'!F80</f>
        <v>154416.623779945</v>
      </c>
      <c r="W85" s="67"/>
      <c r="X85" s="84" t="n">
        <f aca="false">'High SIPA income'!M80</f>
        <v>387850.039387253</v>
      </c>
      <c r="Y85" s="9"/>
      <c r="Z85" s="9" t="n">
        <f aca="false">R85+V85-N85-L85-F85</f>
        <v>1020970.44527602</v>
      </c>
      <c r="AA85" s="9"/>
      <c r="AB85" s="9" t="n">
        <f aca="false">T85-P85-D85</f>
        <v>-42105821.9450007</v>
      </c>
      <c r="AC85" s="50"/>
      <c r="AD85" s="9"/>
      <c r="AE85" s="9"/>
      <c r="AF85" s="9"/>
      <c r="AG85" s="9" t="n">
        <f aca="false">BF85/100*$AG$53</f>
        <v>7558135353.51897</v>
      </c>
      <c r="AH85" s="39" t="n">
        <f aca="false">(AG85-AG84)/AG84</f>
        <v>0.00759692456548495</v>
      </c>
      <c r="AI85" s="39" t="n">
        <f aca="false">(AG85-AG81)/AG81</f>
        <v>0.0294480727860895</v>
      </c>
      <c r="AJ85" s="39" t="n">
        <f aca="false">AB85/AG85</f>
        <v>-0.00557092721624743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13933974</v>
      </c>
      <c r="AX85" s="7"/>
      <c r="AY85" s="39" t="n">
        <f aca="false">(AW85-AW84)/AW84</f>
        <v>0.00765891629386206</v>
      </c>
      <c r="AZ85" s="12" t="n">
        <f aca="false">workers_and_wage_high!B73</f>
        <v>8171.53336525665</v>
      </c>
      <c r="BA85" s="39" t="n">
        <f aca="false">(AZ85-AZ84)/AZ84</f>
        <v>-6.15205476523498E-005</v>
      </c>
      <c r="BB85" s="38"/>
      <c r="BC85" s="38"/>
      <c r="BD85" s="38"/>
      <c r="BE85" s="38"/>
      <c r="BF85" s="7" t="n">
        <f aca="false">BF84*(1+AY85)*(1+BA85)*(1-BE85)</f>
        <v>130.029792869504</v>
      </c>
      <c r="BG85" s="7"/>
      <c r="BH85" s="7"/>
      <c r="BI85" s="39" t="n">
        <f aca="false">T92/AG92</f>
        <v>0.0123717220488241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3" t="n">
        <f aca="false">'High pensions'!Q86</f>
        <v>130874255.793065</v>
      </c>
      <c r="E86" s="6"/>
      <c r="F86" s="83" t="n">
        <f aca="false">'High pensions'!I86</f>
        <v>23787945.1784038</v>
      </c>
      <c r="G86" s="83" t="n">
        <f aca="false">'High pensions'!K86</f>
        <v>2941854.2301622</v>
      </c>
      <c r="H86" s="83" t="n">
        <f aca="false">'High pensions'!V86</f>
        <v>16185213.9870281</v>
      </c>
      <c r="I86" s="83" t="n">
        <f aca="false">'High pensions'!M86</f>
        <v>90985.18237615</v>
      </c>
      <c r="J86" s="83" t="n">
        <f aca="false">'High pensions'!W86</f>
        <v>500573.628464783</v>
      </c>
      <c r="K86" s="6"/>
      <c r="L86" s="83" t="n">
        <f aca="false">'High pensions'!N86</f>
        <v>3234026.68262454</v>
      </c>
      <c r="M86" s="8"/>
      <c r="N86" s="83" t="n">
        <f aca="false">'High pensions'!L86</f>
        <v>1103057.68025135</v>
      </c>
      <c r="O86" s="6"/>
      <c r="P86" s="83" t="n">
        <f aca="false">'High pensions'!X86</f>
        <v>22850077.7321662</v>
      </c>
      <c r="Q86" s="8"/>
      <c r="R86" s="83" t="n">
        <f aca="false">'High SIPA income'!G81</f>
        <v>24258435.5734257</v>
      </c>
      <c r="S86" s="8"/>
      <c r="T86" s="83" t="n">
        <f aca="false">'High SIPA income'!J81</f>
        <v>92754230.9348436</v>
      </c>
      <c r="U86" s="6"/>
      <c r="V86" s="83" t="n">
        <f aca="false">'High SIPA income'!F81</f>
        <v>158427.818731587</v>
      </c>
      <c r="W86" s="8"/>
      <c r="X86" s="83" t="n">
        <f aca="false">'High SIPA income'!M81</f>
        <v>397925.004646184</v>
      </c>
      <c r="Y86" s="6"/>
      <c r="Z86" s="6" t="n">
        <f aca="false">R86+V86-N86-L86-F86</f>
        <v>-3708166.14912241</v>
      </c>
      <c r="AA86" s="6"/>
      <c r="AB86" s="6" t="n">
        <f aca="false">T86-P86-D86</f>
        <v>-60970102.5903876</v>
      </c>
      <c r="AC86" s="50"/>
      <c r="AD86" s="6"/>
      <c r="AE86" s="6"/>
      <c r="AF86" s="6"/>
      <c r="AG86" s="6" t="n">
        <f aca="false">BF86/100*$AG$53</f>
        <v>7586425031.41587</v>
      </c>
      <c r="AH86" s="61" t="n">
        <f aca="false">(AG86-AG85)/AG85</f>
        <v>0.00374294406936309</v>
      </c>
      <c r="AI86" s="61"/>
      <c r="AJ86" s="61" t="n">
        <f aca="false">AB86/AG86</f>
        <v>-0.00803673697926317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0.00746262806430627</v>
      </c>
      <c r="AV86" s="5"/>
      <c r="AW86" s="5" t="n">
        <f aca="false">workers_and_wage_high!C74</f>
        <v>13889331</v>
      </c>
      <c r="AX86" s="5"/>
      <c r="AY86" s="61" t="n">
        <f aca="false">(AW86-AW85)/AW85</f>
        <v>-0.0032038957443153</v>
      </c>
      <c r="AZ86" s="11" t="n">
        <f aca="false">workers_and_wage_high!B74</f>
        <v>8228.48215656734</v>
      </c>
      <c r="BA86" s="61" t="n">
        <f aca="false">(AZ86-AZ85)/AZ85</f>
        <v>0.00696916830234357</v>
      </c>
      <c r="BB86" s="66"/>
      <c r="BC86" s="66"/>
      <c r="BD86" s="66"/>
      <c r="BE86" s="66"/>
      <c r="BF86" s="5" t="n">
        <f aca="false">BF85*(1+AY86)*(1+BA86)*(1-BE86)</f>
        <v>130.516487111565</v>
      </c>
      <c r="BG86" s="5"/>
      <c r="BH86" s="5"/>
      <c r="BI86" s="61" t="n">
        <f aca="false">T93/AG93</f>
        <v>0.0146169056488468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4" t="n">
        <f aca="false">'High pensions'!Q87</f>
        <v>131106790.286767</v>
      </c>
      <c r="E87" s="9"/>
      <c r="F87" s="84" t="n">
        <f aca="false">'High pensions'!I87</f>
        <v>23830211.0751973</v>
      </c>
      <c r="G87" s="84" t="n">
        <f aca="false">'High pensions'!K87</f>
        <v>3001050.60820837</v>
      </c>
      <c r="H87" s="84" t="n">
        <f aca="false">'High pensions'!V87</f>
        <v>16510894.9932829</v>
      </c>
      <c r="I87" s="84" t="n">
        <f aca="false">'High pensions'!M87</f>
        <v>92815.99819201</v>
      </c>
      <c r="J87" s="84" t="n">
        <f aca="false">'High pensions'!W87</f>
        <v>510646.236905649</v>
      </c>
      <c r="K87" s="9"/>
      <c r="L87" s="84" t="n">
        <f aca="false">'High pensions'!N87</f>
        <v>2636833.75743916</v>
      </c>
      <c r="M87" s="67"/>
      <c r="N87" s="84" t="n">
        <f aca="false">'High pensions'!L87</f>
        <v>1106668.55287079</v>
      </c>
      <c r="O87" s="9"/>
      <c r="P87" s="84" t="n">
        <f aca="false">'High pensions'!X87</f>
        <v>19771106.760216</v>
      </c>
      <c r="Q87" s="67"/>
      <c r="R87" s="84" t="n">
        <f aca="false">'High SIPA income'!G82</f>
        <v>28722683.2228302</v>
      </c>
      <c r="S87" s="67"/>
      <c r="T87" s="84" t="n">
        <f aca="false">'High SIPA income'!J82</f>
        <v>109823668.746275</v>
      </c>
      <c r="U87" s="9"/>
      <c r="V87" s="84" t="n">
        <f aca="false">'High SIPA income'!F82</f>
        <v>159257.82147534</v>
      </c>
      <c r="W87" s="67"/>
      <c r="X87" s="84" t="n">
        <f aca="false">'High SIPA income'!M82</f>
        <v>400009.73224206</v>
      </c>
      <c r="Y87" s="9"/>
      <c r="Z87" s="9" t="n">
        <f aca="false">R87+V87-N87-L87-F87</f>
        <v>1308227.65879822</v>
      </c>
      <c r="AA87" s="9"/>
      <c r="AB87" s="9" t="n">
        <f aca="false">T87-P87-D87</f>
        <v>-41054228.3007089</v>
      </c>
      <c r="AC87" s="50"/>
      <c r="AD87" s="9"/>
      <c r="AE87" s="9"/>
      <c r="AF87" s="9"/>
      <c r="AG87" s="9" t="n">
        <f aca="false">BF87/100*$AG$53</f>
        <v>7635908464.34544</v>
      </c>
      <c r="AH87" s="39" t="n">
        <f aca="false">(AG87-AG86)/AG86</f>
        <v>0.00652262860631419</v>
      </c>
      <c r="AI87" s="39"/>
      <c r="AJ87" s="39" t="n">
        <f aca="false">AB87/AG87</f>
        <v>-0.00537646941322104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13942014</v>
      </c>
      <c r="AX87" s="7"/>
      <c r="AY87" s="39" t="n">
        <f aca="false">(AW87-AW86)/AW86</f>
        <v>0.00379305525946498</v>
      </c>
      <c r="AZ87" s="12" t="n">
        <f aca="false">workers_and_wage_high!B75</f>
        <v>8250.85753111482</v>
      </c>
      <c r="BA87" s="39" t="n">
        <f aca="false">(AZ87-AZ86)/AZ86</f>
        <v>0.00271925904701905</v>
      </c>
      <c r="BB87" s="38"/>
      <c r="BC87" s="38"/>
      <c r="BD87" s="38"/>
      <c r="BE87" s="38"/>
      <c r="BF87" s="7" t="n">
        <f aca="false">BF86*(1+AY87)*(1+BA87)*(1-BE87)</f>
        <v>131.367797683994</v>
      </c>
      <c r="BG87" s="7"/>
      <c r="BH87" s="7"/>
      <c r="BI87" s="39" t="n">
        <f aca="false">T94/AG94</f>
        <v>0.0124105558057197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4" t="n">
        <f aca="false">'High pensions'!Q88</f>
        <v>131089452.052046</v>
      </c>
      <c r="E88" s="9"/>
      <c r="F88" s="84" t="n">
        <f aca="false">'High pensions'!I88</f>
        <v>23827059.6458001</v>
      </c>
      <c r="G88" s="84" t="n">
        <f aca="false">'High pensions'!K88</f>
        <v>3081070.49019202</v>
      </c>
      <c r="H88" s="84" t="n">
        <f aca="false">'High pensions'!V88</f>
        <v>16951140.7742748</v>
      </c>
      <c r="I88" s="84" t="n">
        <f aca="false">'High pensions'!M88</f>
        <v>95290.8399028503</v>
      </c>
      <c r="J88" s="84" t="n">
        <f aca="false">'High pensions'!W88</f>
        <v>524262.085802338</v>
      </c>
      <c r="K88" s="9"/>
      <c r="L88" s="84" t="n">
        <f aca="false">'High pensions'!N88</f>
        <v>2680366.03426836</v>
      </c>
      <c r="M88" s="67"/>
      <c r="N88" s="84" t="n">
        <f aca="false">'High pensions'!L88</f>
        <v>1107573.79670345</v>
      </c>
      <c r="O88" s="9"/>
      <c r="P88" s="84" t="n">
        <f aca="false">'High pensions'!X88</f>
        <v>20001976.3361037</v>
      </c>
      <c r="Q88" s="67"/>
      <c r="R88" s="84" t="n">
        <f aca="false">'High SIPA income'!G83</f>
        <v>24884724.7025982</v>
      </c>
      <c r="S88" s="67"/>
      <c r="T88" s="84" t="n">
        <f aca="false">'High SIPA income'!J83</f>
        <v>95148901.7017781</v>
      </c>
      <c r="U88" s="9"/>
      <c r="V88" s="84" t="n">
        <f aca="false">'High SIPA income'!F83</f>
        <v>158562.956056037</v>
      </c>
      <c r="W88" s="67"/>
      <c r="X88" s="84" t="n">
        <f aca="false">'High SIPA income'!M83</f>
        <v>398264.43064403</v>
      </c>
      <c r="Y88" s="9"/>
      <c r="Z88" s="9" t="n">
        <f aca="false">R88+V88-N88-L88-F88</f>
        <v>-2571711.81811768</v>
      </c>
      <c r="AA88" s="9"/>
      <c r="AB88" s="9" t="n">
        <f aca="false">T88-P88-D88</f>
        <v>-55942526.6863713</v>
      </c>
      <c r="AC88" s="50"/>
      <c r="AD88" s="9"/>
      <c r="AE88" s="9"/>
      <c r="AF88" s="9"/>
      <c r="AG88" s="9" t="n">
        <f aca="false">BF88/100*$AG$53</f>
        <v>7710609948.34714</v>
      </c>
      <c r="AH88" s="39" t="n">
        <f aca="false">(AG88-AG87)/AG87</f>
        <v>0.00978292031007237</v>
      </c>
      <c r="AI88" s="39"/>
      <c r="AJ88" s="39" t="n">
        <f aca="false">AB88/AG88</f>
        <v>-0.0072552660634018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13974139</v>
      </c>
      <c r="AX88" s="7"/>
      <c r="AY88" s="39" t="n">
        <f aca="false">(AW88-AW87)/AW87</f>
        <v>0.00230418646832516</v>
      </c>
      <c r="AZ88" s="12" t="n">
        <f aca="false">workers_and_wage_high!B76</f>
        <v>8312.42164336183</v>
      </c>
      <c r="BA88" s="39" t="n">
        <f aca="false">(AZ88-AZ87)/AZ87</f>
        <v>0.00746154105980441</v>
      </c>
      <c r="BB88" s="38"/>
      <c r="BC88" s="38"/>
      <c r="BD88" s="38"/>
      <c r="BE88" s="38"/>
      <c r="BF88" s="7" t="n">
        <f aca="false">BF87*(1+AY88)*(1+BA88)*(1-BE88)</f>
        <v>132.652958380047</v>
      </c>
      <c r="BG88" s="7"/>
      <c r="BH88" s="7"/>
      <c r="BI88" s="39" t="n">
        <f aca="false">T95/AG95</f>
        <v>0.0145249638503014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4" t="n">
        <f aca="false">'High pensions'!Q89</f>
        <v>131245091.968566</v>
      </c>
      <c r="E89" s="9"/>
      <c r="F89" s="84" t="n">
        <f aca="false">'High pensions'!I89</f>
        <v>23855349.0429724</v>
      </c>
      <c r="G89" s="84" t="n">
        <f aca="false">'High pensions'!K89</f>
        <v>3145582.84613879</v>
      </c>
      <c r="H89" s="84" t="n">
        <f aca="false">'High pensions'!V89</f>
        <v>17306068.7224717</v>
      </c>
      <c r="I89" s="84" t="n">
        <f aca="false">'High pensions'!M89</f>
        <v>97286.0674063503</v>
      </c>
      <c r="J89" s="84" t="n">
        <f aca="false">'High pensions'!W89</f>
        <v>535239.238839309</v>
      </c>
      <c r="K89" s="9"/>
      <c r="L89" s="84" t="n">
        <f aca="false">'High pensions'!N89</f>
        <v>2599906.63490237</v>
      </c>
      <c r="M89" s="67"/>
      <c r="N89" s="84" t="n">
        <f aca="false">'High pensions'!L89</f>
        <v>1109573.07578175</v>
      </c>
      <c r="O89" s="9"/>
      <c r="P89" s="84" t="n">
        <f aca="false">'High pensions'!X89</f>
        <v>19595471.5739118</v>
      </c>
      <c r="Q89" s="67"/>
      <c r="R89" s="84" t="n">
        <f aca="false">'High SIPA income'!G84</f>
        <v>29524089.7956035</v>
      </c>
      <c r="S89" s="67"/>
      <c r="T89" s="84" t="n">
        <f aca="false">'High SIPA income'!J84</f>
        <v>112887916.236543</v>
      </c>
      <c r="U89" s="9"/>
      <c r="V89" s="84" t="n">
        <f aca="false">'High SIPA income'!F84</f>
        <v>161675.180576914</v>
      </c>
      <c r="W89" s="67"/>
      <c r="X89" s="84" t="n">
        <f aca="false">'High SIPA income'!M84</f>
        <v>406081.441361246</v>
      </c>
      <c r="Y89" s="9"/>
      <c r="Z89" s="9" t="n">
        <f aca="false">R89+V89-N89-L89-F89</f>
        <v>2120936.22252385</v>
      </c>
      <c r="AA89" s="9"/>
      <c r="AB89" s="9" t="n">
        <f aca="false">T89-P89-D89</f>
        <v>-37952647.3059348</v>
      </c>
      <c r="AC89" s="50"/>
      <c r="AD89" s="9"/>
      <c r="AE89" s="9"/>
      <c r="AF89" s="9"/>
      <c r="AG89" s="9" t="n">
        <f aca="false">BF89/100*$AG$53</f>
        <v>7786189495.65566</v>
      </c>
      <c r="AH89" s="39" t="n">
        <f aca="false">(AG89-AG88)/AG88</f>
        <v>0.00980201927147544</v>
      </c>
      <c r="AI89" s="39" t="n">
        <f aca="false">(AG89-AG85)/AG85</f>
        <v>0.0301733339600113</v>
      </c>
      <c r="AJ89" s="39" t="n">
        <f aca="false">AB89/AG89</f>
        <v>-0.00487435443577511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14047188</v>
      </c>
      <c r="AX89" s="7"/>
      <c r="AY89" s="39" t="n">
        <f aca="false">(AW89-AW88)/AW88</f>
        <v>0.00522744191967748</v>
      </c>
      <c r="AZ89" s="12" t="n">
        <f aca="false">workers_and_wage_high!B77</f>
        <v>8350.24971510219</v>
      </c>
      <c r="BA89" s="39" t="n">
        <f aca="false">(AZ89-AZ88)/AZ88</f>
        <v>0.00455078836990545</v>
      </c>
      <c r="BB89" s="38"/>
      <c r="BC89" s="38"/>
      <c r="BD89" s="38"/>
      <c r="BE89" s="38"/>
      <c r="BF89" s="7" t="n">
        <f aca="false">BF88*(1+AY89)*(1+BA89)*(1-BE89)</f>
        <v>133.953225234506</v>
      </c>
      <c r="BG89" s="7"/>
      <c r="BH89" s="7"/>
      <c r="BI89" s="39" t="n">
        <f aca="false">T96/AG96</f>
        <v>0.0124749138181519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3" t="n">
        <f aca="false">'High pensions'!Q90</f>
        <v>131178298.285582</v>
      </c>
      <c r="E90" s="6"/>
      <c r="F90" s="83" t="n">
        <f aca="false">'High pensions'!I90</f>
        <v>23843208.5004382</v>
      </c>
      <c r="G90" s="83" t="n">
        <f aca="false">'High pensions'!K90</f>
        <v>3206973.04072109</v>
      </c>
      <c r="H90" s="83" t="n">
        <f aca="false">'High pensions'!V90</f>
        <v>17643819.4600278</v>
      </c>
      <c r="I90" s="83" t="n">
        <f aca="false">'High pensions'!M90</f>
        <v>99184.7332181698</v>
      </c>
      <c r="J90" s="83" t="n">
        <f aca="false">'High pensions'!W90</f>
        <v>545685.137938959</v>
      </c>
      <c r="K90" s="6"/>
      <c r="L90" s="83" t="n">
        <f aca="false">'High pensions'!N90</f>
        <v>3288489.93693699</v>
      </c>
      <c r="M90" s="8"/>
      <c r="N90" s="83" t="n">
        <f aca="false">'High pensions'!L90</f>
        <v>1109788.43742483</v>
      </c>
      <c r="O90" s="6"/>
      <c r="P90" s="83" t="n">
        <f aca="false">'High pensions'!X90</f>
        <v>23169718.457775</v>
      </c>
      <c r="Q90" s="8"/>
      <c r="R90" s="83" t="n">
        <f aca="false">'High SIPA income'!G85</f>
        <v>25263091.938462</v>
      </c>
      <c r="S90" s="8"/>
      <c r="T90" s="83" t="n">
        <f aca="false">'High SIPA income'!J85</f>
        <v>96595621.6218349</v>
      </c>
      <c r="U90" s="6"/>
      <c r="V90" s="83" t="n">
        <f aca="false">'High SIPA income'!F85</f>
        <v>160014.81965249</v>
      </c>
      <c r="W90" s="8"/>
      <c r="X90" s="83" t="n">
        <f aca="false">'High SIPA income'!M85</f>
        <v>401911.093414431</v>
      </c>
      <c r="Y90" s="6"/>
      <c r="Z90" s="6" t="n">
        <f aca="false">R90+V90-N90-L90-F90</f>
        <v>-2818380.11668558</v>
      </c>
      <c r="AA90" s="6"/>
      <c r="AB90" s="6" t="n">
        <f aca="false">T90-P90-D90</f>
        <v>-57752395.1215225</v>
      </c>
      <c r="AC90" s="50"/>
      <c r="AD90" s="6"/>
      <c r="AE90" s="6"/>
      <c r="AF90" s="6"/>
      <c r="AG90" s="6" t="n">
        <f aca="false">BF90/100*$AG$53</f>
        <v>7830333082.33699</v>
      </c>
      <c r="AH90" s="61" t="n">
        <f aca="false">(AG90-AG89)/AG89</f>
        <v>0.00566947243012208</v>
      </c>
      <c r="AI90" s="61"/>
      <c r="AJ90" s="61" t="n">
        <f aca="false">AB90/AG90</f>
        <v>-0.00737547107054686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0.00767152186937643</v>
      </c>
      <c r="AV90" s="5"/>
      <c r="AW90" s="5" t="n">
        <f aca="false">workers_and_wage_high!C78</f>
        <v>14105843</v>
      </c>
      <c r="AX90" s="5"/>
      <c r="AY90" s="61" t="n">
        <f aca="false">(AW90-AW89)/AW89</f>
        <v>0.00417556880423327</v>
      </c>
      <c r="AZ90" s="11" t="n">
        <f aca="false">workers_and_wage_high!B78</f>
        <v>8362.6723120205</v>
      </c>
      <c r="BA90" s="61" t="n">
        <f aca="false">(AZ90-AZ89)/AZ89</f>
        <v>0.00148769166697404</v>
      </c>
      <c r="BB90" s="66"/>
      <c r="BC90" s="66"/>
      <c r="BD90" s="66"/>
      <c r="BE90" s="66"/>
      <c r="BF90" s="5" t="n">
        <f aca="false">BF89*(1+AY90)*(1+BA90)*(1-BE90)</f>
        <v>134.712669351899</v>
      </c>
      <c r="BG90" s="5"/>
      <c r="BH90" s="5"/>
      <c r="BI90" s="61" t="n">
        <f aca="false">T97/AG97</f>
        <v>0.0146587174761126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4" t="n">
        <f aca="false">'High pensions'!Q91</f>
        <v>131893475.075957</v>
      </c>
      <c r="E91" s="9"/>
      <c r="F91" s="84" t="n">
        <f aca="false">'High pensions'!I91</f>
        <v>23973200.3477973</v>
      </c>
      <c r="G91" s="84" t="n">
        <f aca="false">'High pensions'!K91</f>
        <v>3298514.42317728</v>
      </c>
      <c r="H91" s="84" t="n">
        <f aca="false">'High pensions'!V91</f>
        <v>18147453.1372274</v>
      </c>
      <c r="I91" s="84" t="n">
        <f aca="false">'High pensions'!M91</f>
        <v>102015.90999517</v>
      </c>
      <c r="J91" s="84" t="n">
        <f aca="false">'High pensions'!W91</f>
        <v>561261.437233817</v>
      </c>
      <c r="K91" s="9"/>
      <c r="L91" s="84" t="n">
        <f aca="false">'High pensions'!N91</f>
        <v>2601061.26552671</v>
      </c>
      <c r="M91" s="67"/>
      <c r="N91" s="84" t="n">
        <f aca="false">'High pensions'!L91</f>
        <v>1118299.02437863</v>
      </c>
      <c r="O91" s="9"/>
      <c r="P91" s="84" t="n">
        <f aca="false">'High pensions'!X91</f>
        <v>19649470.5523193</v>
      </c>
      <c r="Q91" s="67"/>
      <c r="R91" s="84" t="n">
        <f aca="false">'High SIPA income'!G86</f>
        <v>29823918.6262475</v>
      </c>
      <c r="S91" s="67"/>
      <c r="T91" s="84" t="n">
        <f aca="false">'High SIPA income'!J86</f>
        <v>114034337.757185</v>
      </c>
      <c r="U91" s="9"/>
      <c r="V91" s="84" t="n">
        <f aca="false">'High SIPA income'!F86</f>
        <v>161660.883550193</v>
      </c>
      <c r="W91" s="67"/>
      <c r="X91" s="84" t="n">
        <f aca="false">'High SIPA income'!M86</f>
        <v>406045.53135207</v>
      </c>
      <c r="Y91" s="9"/>
      <c r="Z91" s="9" t="n">
        <f aca="false">R91+V91-N91-L91-F91</f>
        <v>2293018.872095</v>
      </c>
      <c r="AA91" s="9"/>
      <c r="AB91" s="9" t="n">
        <f aca="false">T91-P91-D91</f>
        <v>-37508607.8710907</v>
      </c>
      <c r="AC91" s="50"/>
      <c r="AD91" s="9"/>
      <c r="AE91" s="9"/>
      <c r="AF91" s="9"/>
      <c r="AG91" s="9" t="n">
        <f aca="false">BF91/100*$AG$53</f>
        <v>7869074284.88674</v>
      </c>
      <c r="AH91" s="39" t="n">
        <f aca="false">(AG91-AG90)/AG90</f>
        <v>0.0049475804084421</v>
      </c>
      <c r="AI91" s="39"/>
      <c r="AJ91" s="39" t="n">
        <f aca="false">AB91/AG91</f>
        <v>-0.00476658454516427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14106603</v>
      </c>
      <c r="AX91" s="7"/>
      <c r="AY91" s="39" t="n">
        <f aca="false">(AW91-AW90)/AW90</f>
        <v>5.38783821711329E-005</v>
      </c>
      <c r="AZ91" s="12" t="n">
        <f aca="false">workers_and_wage_high!B79</f>
        <v>8403.59453363578</v>
      </c>
      <c r="BA91" s="39" t="n">
        <f aca="false">(AZ91-AZ90)/AZ90</f>
        <v>0.00489343837572803</v>
      </c>
      <c r="BB91" s="38"/>
      <c r="BC91" s="38"/>
      <c r="BD91" s="38"/>
      <c r="BE91" s="38"/>
      <c r="BF91" s="7" t="n">
        <f aca="false">BF90*(1+AY91)*(1+BA91)*(1-BE91)</f>
        <v>135.379171115554</v>
      </c>
      <c r="BG91" s="7"/>
      <c r="BH91" s="7"/>
      <c r="BI91" s="39" t="n">
        <f aca="false">T98/AG98</f>
        <v>0.0124410751532922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4" t="n">
        <f aca="false">'High pensions'!Q92</f>
        <v>132232552.253011</v>
      </c>
      <c r="E92" s="9"/>
      <c r="F92" s="84" t="n">
        <f aca="false">'High pensions'!I92</f>
        <v>24034831.6384597</v>
      </c>
      <c r="G92" s="84" t="n">
        <f aca="false">'High pensions'!K92</f>
        <v>3353951.86171889</v>
      </c>
      <c r="H92" s="84" t="n">
        <f aca="false">'High pensions'!V92</f>
        <v>18452453.5673946</v>
      </c>
      <c r="I92" s="84" t="n">
        <f aca="false">'High pensions'!M92</f>
        <v>103730.46995006</v>
      </c>
      <c r="J92" s="84" t="n">
        <f aca="false">'High pensions'!W92</f>
        <v>570694.440228653</v>
      </c>
      <c r="K92" s="9"/>
      <c r="L92" s="84" t="n">
        <f aca="false">'High pensions'!N92</f>
        <v>2673361.73782776</v>
      </c>
      <c r="M92" s="67"/>
      <c r="N92" s="84" t="n">
        <f aca="false">'High pensions'!L92</f>
        <v>1122539.70634714</v>
      </c>
      <c r="O92" s="9"/>
      <c r="P92" s="84" t="n">
        <f aca="false">'High pensions'!X92</f>
        <v>20047969.0277787</v>
      </c>
      <c r="Q92" s="67"/>
      <c r="R92" s="84" t="n">
        <f aca="false">'High SIPA income'!G87</f>
        <v>25637480.5637814</v>
      </c>
      <c r="S92" s="67"/>
      <c r="T92" s="84" t="n">
        <f aca="false">'High SIPA income'!J87</f>
        <v>98027128.9796424</v>
      </c>
      <c r="U92" s="9"/>
      <c r="V92" s="84" t="n">
        <f aca="false">'High SIPA income'!F87</f>
        <v>164562.027015833</v>
      </c>
      <c r="W92" s="67"/>
      <c r="X92" s="84" t="n">
        <f aca="false">'High SIPA income'!M87</f>
        <v>413332.367314888</v>
      </c>
      <c r="Y92" s="9"/>
      <c r="Z92" s="9" t="n">
        <f aca="false">R92+V92-N92-L92-F92</f>
        <v>-2028690.49183736</v>
      </c>
      <c r="AA92" s="9"/>
      <c r="AB92" s="9" t="n">
        <f aca="false">T92-P92-D92</f>
        <v>-54253392.3011468</v>
      </c>
      <c r="AC92" s="50"/>
      <c r="AD92" s="9"/>
      <c r="AE92" s="9"/>
      <c r="AF92" s="9"/>
      <c r="AG92" s="9" t="n">
        <f aca="false">BF92/100*$AG$53</f>
        <v>7923482971.31037</v>
      </c>
      <c r="AH92" s="39" t="n">
        <f aca="false">(AG92-AG91)/AG91</f>
        <v>0.00691424231794715</v>
      </c>
      <c r="AI92" s="39"/>
      <c r="AJ92" s="39" t="n">
        <f aca="false">AB92/AG92</f>
        <v>-0.00684716462414186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14146354</v>
      </c>
      <c r="AX92" s="7"/>
      <c r="AY92" s="39" t="n">
        <f aca="false">(AW92-AW91)/AW91</f>
        <v>0.00281790024146848</v>
      </c>
      <c r="AZ92" s="12" t="n">
        <f aca="false">workers_and_wage_high!B80</f>
        <v>8437.92180070342</v>
      </c>
      <c r="BA92" s="39" t="n">
        <f aca="false">(AZ92-AZ91)/AZ91</f>
        <v>0.00408483142900853</v>
      </c>
      <c r="BB92" s="38"/>
      <c r="BC92" s="38"/>
      <c r="BD92" s="38"/>
      <c r="BE92" s="38"/>
      <c r="BF92" s="7" t="n">
        <f aca="false">BF91*(1+AY92)*(1+BA92)*(1-BE92)</f>
        <v>136.315215509449</v>
      </c>
      <c r="BG92" s="7"/>
      <c r="BH92" s="7"/>
      <c r="BI92" s="39" t="n">
        <f aca="false">T99/AG99</f>
        <v>0.014674444980967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4" t="n">
        <f aca="false">'High pensions'!Q93</f>
        <v>133055671.89052</v>
      </c>
      <c r="E93" s="9"/>
      <c r="F93" s="84" t="n">
        <f aca="false">'High pensions'!I93</f>
        <v>24184443.3760293</v>
      </c>
      <c r="G93" s="84" t="n">
        <f aca="false">'High pensions'!K93</f>
        <v>3354709.96309087</v>
      </c>
      <c r="H93" s="84" t="n">
        <f aca="false">'High pensions'!V93</f>
        <v>18456624.4174672</v>
      </c>
      <c r="I93" s="84" t="n">
        <f aca="false">'High pensions'!M93</f>
        <v>103753.91638425</v>
      </c>
      <c r="J93" s="84" t="n">
        <f aca="false">'High pensions'!W93</f>
        <v>570823.435591748</v>
      </c>
      <c r="K93" s="9"/>
      <c r="L93" s="84" t="n">
        <f aca="false">'High pensions'!N93</f>
        <v>2595037.81362482</v>
      </c>
      <c r="M93" s="67"/>
      <c r="N93" s="84" t="n">
        <f aca="false">'High pensions'!L93</f>
        <v>1129921.14910805</v>
      </c>
      <c r="O93" s="9"/>
      <c r="P93" s="84" t="n">
        <f aca="false">'High pensions'!X93</f>
        <v>19682156.3329462</v>
      </c>
      <c r="Q93" s="67"/>
      <c r="R93" s="84" t="n">
        <f aca="false">'High SIPA income'!G88</f>
        <v>30688554.7700921</v>
      </c>
      <c r="S93" s="67"/>
      <c r="T93" s="84" t="n">
        <f aca="false">'High SIPA income'!J88</f>
        <v>117340348.99266</v>
      </c>
      <c r="U93" s="9"/>
      <c r="V93" s="84" t="n">
        <f aca="false">'High SIPA income'!F88</f>
        <v>168295.349039124</v>
      </c>
      <c r="W93" s="67"/>
      <c r="X93" s="84" t="n">
        <f aca="false">'High SIPA income'!M88</f>
        <v>422709.395890789</v>
      </c>
      <c r="Y93" s="9"/>
      <c r="Z93" s="9" t="n">
        <f aca="false">R93+V93-N93-L93-F93</f>
        <v>2947447.78036904</v>
      </c>
      <c r="AA93" s="9"/>
      <c r="AB93" s="9" t="n">
        <f aca="false">T93-P93-D93</f>
        <v>-35397479.230806</v>
      </c>
      <c r="AC93" s="50"/>
      <c r="AD93" s="9"/>
      <c r="AE93" s="9"/>
      <c r="AF93" s="9"/>
      <c r="AG93" s="9" t="n">
        <f aca="false">BF93/100*$AG$53</f>
        <v>8027714744.25689</v>
      </c>
      <c r="AH93" s="39" t="n">
        <f aca="false">(AG93-AG92)/AG92</f>
        <v>0.0131547923209944</v>
      </c>
      <c r="AI93" s="39" t="n">
        <f aca="false">(AG93-AG89)/AG89</f>
        <v>0.0310196982408391</v>
      </c>
      <c r="AJ93" s="39" t="n">
        <f aca="false">AB93/AG93</f>
        <v>-0.00440940919782056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14237471</v>
      </c>
      <c r="AX93" s="7"/>
      <c r="AY93" s="39" t="n">
        <f aca="false">(AW93-AW92)/AW92</f>
        <v>0.00644102360226529</v>
      </c>
      <c r="AZ93" s="12" t="n">
        <f aca="false">workers_and_wage_high!B81</f>
        <v>8494.20950570364</v>
      </c>
      <c r="BA93" s="39" t="n">
        <f aca="false">(AZ93-AZ92)/AZ92</f>
        <v>0.00667080192607715</v>
      </c>
      <c r="BB93" s="38"/>
      <c r="BC93" s="38"/>
      <c r="BD93" s="38"/>
      <c r="BE93" s="38"/>
      <c r="BF93" s="7" t="n">
        <f aca="false">BF92*(1+AY93)*(1+BA93)*(1-BE93)</f>
        <v>138.108413859668</v>
      </c>
      <c r="BG93" s="7"/>
      <c r="BH93" s="7"/>
      <c r="BI93" s="39" t="n">
        <f aca="false">T100/AG100</f>
        <v>0.01253488876401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3" t="n">
        <f aca="false">'High pensions'!Q94</f>
        <v>133554979.619967</v>
      </c>
      <c r="E94" s="6"/>
      <c r="F94" s="83" t="n">
        <f aca="false">'High pensions'!I94</f>
        <v>24275198.4662744</v>
      </c>
      <c r="G94" s="83" t="n">
        <f aca="false">'High pensions'!K94</f>
        <v>3402944.66147517</v>
      </c>
      <c r="H94" s="83" t="n">
        <f aca="false">'High pensions'!V94</f>
        <v>18721997.4964408</v>
      </c>
      <c r="I94" s="83" t="n">
        <f aca="false">'High pensions'!M94</f>
        <v>105245.71117964</v>
      </c>
      <c r="J94" s="83" t="n">
        <f aca="false">'High pensions'!W94</f>
        <v>579030.850405362</v>
      </c>
      <c r="K94" s="6"/>
      <c r="L94" s="83" t="n">
        <f aca="false">'High pensions'!N94</f>
        <v>3081104.89272989</v>
      </c>
      <c r="M94" s="8"/>
      <c r="N94" s="83" t="n">
        <f aca="false">'High pensions'!L94</f>
        <v>1134908.48081756</v>
      </c>
      <c r="O94" s="6"/>
      <c r="P94" s="83" t="n">
        <f aca="false">'High pensions'!X94</f>
        <v>22231799.5446531</v>
      </c>
      <c r="Q94" s="8"/>
      <c r="R94" s="83" t="n">
        <f aca="false">'High SIPA income'!G89</f>
        <v>26129985.8935463</v>
      </c>
      <c r="S94" s="8"/>
      <c r="T94" s="83" t="n">
        <f aca="false">'High SIPA income'!J89</f>
        <v>99910265.7942727</v>
      </c>
      <c r="U94" s="6"/>
      <c r="V94" s="83" t="n">
        <f aca="false">'High SIPA income'!F89</f>
        <v>164311.193262262</v>
      </c>
      <c r="W94" s="8"/>
      <c r="X94" s="83" t="n">
        <f aca="false">'High SIPA income'!M89</f>
        <v>412702.345243295</v>
      </c>
      <c r="Y94" s="6"/>
      <c r="Z94" s="6" t="n">
        <f aca="false">R94+V94-N94-L94-F94</f>
        <v>-2196914.7530133</v>
      </c>
      <c r="AA94" s="6"/>
      <c r="AB94" s="6" t="n">
        <f aca="false">T94-P94-D94</f>
        <v>-55876513.3703478</v>
      </c>
      <c r="AC94" s="50"/>
      <c r="AD94" s="6"/>
      <c r="AE94" s="6"/>
      <c r="AF94" s="6"/>
      <c r="AG94" s="6" t="n">
        <f aca="false">BF94/100*$AG$53</f>
        <v>8050426375.60412</v>
      </c>
      <c r="AH94" s="61" t="n">
        <f aca="false">(AG94-AG93)/AG93</f>
        <v>0.00282915276274312</v>
      </c>
      <c r="AI94" s="61"/>
      <c r="AJ94" s="61" t="n">
        <f aca="false">AB94/AG94</f>
        <v>-0.00694081415857364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0.00440835457551249</v>
      </c>
      <c r="AV94" s="5"/>
      <c r="AW94" s="5" t="n">
        <f aca="false">workers_and_wage_high!C82</f>
        <v>14242889</v>
      </c>
      <c r="AX94" s="5"/>
      <c r="AY94" s="61" t="n">
        <f aca="false">(AW94-AW93)/AW93</f>
        <v>0.000380545112260457</v>
      </c>
      <c r="AZ94" s="11" t="n">
        <f aca="false">workers_and_wage_high!B82</f>
        <v>8515.00058014235</v>
      </c>
      <c r="BA94" s="61" t="n">
        <f aca="false">(AZ94-AZ93)/AZ93</f>
        <v>0.00244767619926837</v>
      </c>
      <c r="BB94" s="66"/>
      <c r="BC94" s="66"/>
      <c r="BD94" s="66"/>
      <c r="BE94" s="66"/>
      <c r="BF94" s="5" t="n">
        <f aca="false">BF93*(1+AY94)*(1+BA94)*(1-BE94)</f>
        <v>138.499143660297</v>
      </c>
      <c r="BG94" s="5"/>
      <c r="BH94" s="5"/>
      <c r="BI94" s="61" t="n">
        <f aca="false">T101/AG101</f>
        <v>0.0147341683628587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4" t="n">
        <f aca="false">'High pensions'!Q95</f>
        <v>133981950.30108</v>
      </c>
      <c r="E95" s="9"/>
      <c r="F95" s="84" t="n">
        <f aca="false">'High pensions'!I95</f>
        <v>24352805.4417147</v>
      </c>
      <c r="G95" s="84" t="n">
        <f aca="false">'High pensions'!K95</f>
        <v>3489370.02806042</v>
      </c>
      <c r="H95" s="84" t="n">
        <f aca="false">'High pensions'!V95</f>
        <v>19197484.3637872</v>
      </c>
      <c r="I95" s="84" t="n">
        <f aca="false">'High pensions'!M95</f>
        <v>107918.66066166</v>
      </c>
      <c r="J95" s="84" t="n">
        <f aca="false">'High pensions'!W95</f>
        <v>593736.629807839</v>
      </c>
      <c r="K95" s="9"/>
      <c r="L95" s="84" t="n">
        <f aca="false">'High pensions'!N95</f>
        <v>2514293.4608443</v>
      </c>
      <c r="M95" s="67"/>
      <c r="N95" s="84" t="n">
        <f aca="false">'High pensions'!L95</f>
        <v>1139328.21009254</v>
      </c>
      <c r="O95" s="9"/>
      <c r="P95" s="84" t="n">
        <f aca="false">'High pensions'!X95</f>
        <v>19314928.3765306</v>
      </c>
      <c r="Q95" s="67"/>
      <c r="R95" s="84" t="n">
        <f aca="false">'High SIPA income'!G90</f>
        <v>30695862.1993729</v>
      </c>
      <c r="S95" s="67"/>
      <c r="T95" s="84" t="n">
        <f aca="false">'High SIPA income'!J90</f>
        <v>117368289.581862</v>
      </c>
      <c r="U95" s="9"/>
      <c r="V95" s="84" t="n">
        <f aca="false">'High SIPA income'!F90</f>
        <v>172476.262507304</v>
      </c>
      <c r="W95" s="67"/>
      <c r="X95" s="84" t="n">
        <f aca="false">'High SIPA income'!M90</f>
        <v>433210.645132057</v>
      </c>
      <c r="Y95" s="9"/>
      <c r="Z95" s="9" t="n">
        <f aca="false">R95+V95-N95-L95-F95</f>
        <v>2861911.34922867</v>
      </c>
      <c r="AA95" s="9"/>
      <c r="AB95" s="9" t="n">
        <f aca="false">T95-P95-D95</f>
        <v>-35928589.0957486</v>
      </c>
      <c r="AC95" s="50"/>
      <c r="AD95" s="9"/>
      <c r="AE95" s="9"/>
      <c r="AF95" s="9"/>
      <c r="AG95" s="9" t="n">
        <f aca="false">BF95/100*$AG$53</f>
        <v>8080453128.24833</v>
      </c>
      <c r="AH95" s="39" t="n">
        <f aca="false">(AG95-AG94)/AG94</f>
        <v>0.00372983383031754</v>
      </c>
      <c r="AI95" s="39"/>
      <c r="AJ95" s="39" t="n">
        <f aca="false">AB95/AG95</f>
        <v>-0.00444635820856956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14278531</v>
      </c>
      <c r="AX95" s="7"/>
      <c r="AY95" s="39" t="n">
        <f aca="false">(AW95-AW94)/AW94</f>
        <v>0.00250244174478928</v>
      </c>
      <c r="AZ95" s="12" t="n">
        <f aca="false">workers_and_wage_high!B83</f>
        <v>8525.42573611718</v>
      </c>
      <c r="BA95" s="39" t="n">
        <f aca="false">(AZ95-AZ94)/AZ94</f>
        <v>0.00122432827534296</v>
      </c>
      <c r="BB95" s="38"/>
      <c r="BC95" s="38"/>
      <c r="BD95" s="38"/>
      <c r="BE95" s="38"/>
      <c r="BF95" s="7" t="n">
        <f aca="false">BF94*(1+AY95)*(1+BA95)*(1-BE95)</f>
        <v>139.015722451791</v>
      </c>
      <c r="BG95" s="7"/>
      <c r="BH95" s="7"/>
      <c r="BI95" s="39" t="n">
        <f aca="false">T102/AG102</f>
        <v>0.0125619331056719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4" t="n">
        <f aca="false">'High pensions'!Q96</f>
        <v>134177561.634504</v>
      </c>
      <c r="E96" s="9"/>
      <c r="F96" s="84" t="n">
        <f aca="false">'High pensions'!I96</f>
        <v>24388360.1170598</v>
      </c>
      <c r="G96" s="84" t="n">
        <f aca="false">'High pensions'!K96</f>
        <v>3564558.77498975</v>
      </c>
      <c r="H96" s="84" t="n">
        <f aca="false">'High pensions'!V96</f>
        <v>19611150.6651255</v>
      </c>
      <c r="I96" s="84" t="n">
        <f aca="false">'High pensions'!M96</f>
        <v>110244.08582443</v>
      </c>
      <c r="J96" s="84" t="n">
        <f aca="false">'High pensions'!W96</f>
        <v>606530.432942055</v>
      </c>
      <c r="K96" s="9"/>
      <c r="L96" s="84" t="n">
        <f aca="false">'High pensions'!N96</f>
        <v>2548436.50024892</v>
      </c>
      <c r="M96" s="67"/>
      <c r="N96" s="84" t="n">
        <f aca="false">'High pensions'!L96</f>
        <v>1142232.10105207</v>
      </c>
      <c r="O96" s="9"/>
      <c r="P96" s="84" t="n">
        <f aca="false">'High pensions'!X96</f>
        <v>19508073.1215833</v>
      </c>
      <c r="Q96" s="67"/>
      <c r="R96" s="84" t="n">
        <f aca="false">'High SIPA income'!G91</f>
        <v>26464683.7204447</v>
      </c>
      <c r="S96" s="67"/>
      <c r="T96" s="84" t="n">
        <f aca="false">'High SIPA income'!J91</f>
        <v>101190011.944248</v>
      </c>
      <c r="U96" s="9"/>
      <c r="V96" s="84" t="n">
        <f aca="false">'High SIPA income'!F91</f>
        <v>172931.266135659</v>
      </c>
      <c r="W96" s="67"/>
      <c r="X96" s="84" t="n">
        <f aca="false">'High SIPA income'!M91</f>
        <v>434353.483065298</v>
      </c>
      <c r="Y96" s="9"/>
      <c r="Z96" s="9" t="n">
        <f aca="false">R96+V96-N96-L96-F96</f>
        <v>-1441413.73178044</v>
      </c>
      <c r="AA96" s="9"/>
      <c r="AB96" s="9" t="n">
        <f aca="false">T96-P96-D96</f>
        <v>-52495622.8118388</v>
      </c>
      <c r="AC96" s="50"/>
      <c r="AD96" s="9"/>
      <c r="AE96" s="9"/>
      <c r="AF96" s="9"/>
      <c r="AG96" s="9" t="n">
        <f aca="false">BF96/100*$AG$53</f>
        <v>8111479840.20616</v>
      </c>
      <c r="AH96" s="39" t="n">
        <f aca="false">(AG96-AG95)/AG95</f>
        <v>0.00383972426612619</v>
      </c>
      <c r="AI96" s="39"/>
      <c r="AJ96" s="39" t="n">
        <f aca="false">AB96/AG96</f>
        <v>-0.00647176888138633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14287688</v>
      </c>
      <c r="AX96" s="7"/>
      <c r="AY96" s="39" t="n">
        <f aca="false">(AW96-AW95)/AW95</f>
        <v>0.000641312471149868</v>
      </c>
      <c r="AZ96" s="12" t="n">
        <f aca="false">workers_and_wage_high!B84</f>
        <v>8552.67608236188</v>
      </c>
      <c r="BA96" s="39" t="n">
        <f aca="false">(AZ96-AZ95)/AZ95</f>
        <v>0.00319636192820925</v>
      </c>
      <c r="BB96" s="38"/>
      <c r="BC96" s="38"/>
      <c r="BD96" s="38"/>
      <c r="BE96" s="38"/>
      <c r="BF96" s="7" t="n">
        <f aca="false">BF95*(1+AY96)*(1+BA96)*(1-BE96)</f>
        <v>139.549504494662</v>
      </c>
      <c r="BG96" s="7"/>
      <c r="BH96" s="7"/>
      <c r="BI96" s="39" t="n">
        <f aca="false">T103/AG103</f>
        <v>0.014846082420084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4" t="n">
        <f aca="false">'High pensions'!Q97</f>
        <v>134045069.612141</v>
      </c>
      <c r="E97" s="9"/>
      <c r="F97" s="84" t="n">
        <f aca="false">'High pensions'!I97</f>
        <v>24364278.1236575</v>
      </c>
      <c r="G97" s="84" t="n">
        <f aca="false">'High pensions'!K97</f>
        <v>3631082.39096117</v>
      </c>
      <c r="H97" s="84" t="n">
        <f aca="false">'High pensions'!V97</f>
        <v>19977143.9725604</v>
      </c>
      <c r="I97" s="84" t="n">
        <f aca="false">'High pensions'!M97</f>
        <v>112301.51724623</v>
      </c>
      <c r="J97" s="84" t="n">
        <f aca="false">'High pensions'!W97</f>
        <v>617849.813584385</v>
      </c>
      <c r="K97" s="9"/>
      <c r="L97" s="84" t="n">
        <f aca="false">'High pensions'!N97</f>
        <v>2526395.79344662</v>
      </c>
      <c r="M97" s="67"/>
      <c r="N97" s="84" t="n">
        <f aca="false">'High pensions'!L97</f>
        <v>1142134.33907367</v>
      </c>
      <c r="O97" s="9"/>
      <c r="P97" s="84" t="n">
        <f aca="false">'High pensions'!X97</f>
        <v>19393165.9316483</v>
      </c>
      <c r="Q97" s="67"/>
      <c r="R97" s="84" t="n">
        <f aca="false">'High SIPA income'!G92</f>
        <v>31322456.2279435</v>
      </c>
      <c r="S97" s="67"/>
      <c r="T97" s="84" t="n">
        <f aca="false">'High SIPA income'!J92</f>
        <v>119764126.158072</v>
      </c>
      <c r="U97" s="9"/>
      <c r="V97" s="84" t="n">
        <f aca="false">'High SIPA income'!F92</f>
        <v>176018.236987083</v>
      </c>
      <c r="W97" s="67"/>
      <c r="X97" s="84" t="n">
        <f aca="false">'High SIPA income'!M92</f>
        <v>442107.063845683</v>
      </c>
      <c r="Y97" s="9"/>
      <c r="Z97" s="9" t="n">
        <f aca="false">R97+V97-N97-L97-F97</f>
        <v>3465666.20875281</v>
      </c>
      <c r="AA97" s="9"/>
      <c r="AB97" s="9" t="n">
        <f aca="false">T97-P97-D97</f>
        <v>-33674109.3857179</v>
      </c>
      <c r="AC97" s="50"/>
      <c r="AD97" s="9"/>
      <c r="AE97" s="9"/>
      <c r="AF97" s="9"/>
      <c r="AG97" s="9" t="n">
        <f aca="false">BF97/100*$AG$53</f>
        <v>8170164023.77874</v>
      </c>
      <c r="AH97" s="39" t="n">
        <f aca="false">(AG97-AG96)/AG96</f>
        <v>0.00723470744286312</v>
      </c>
      <c r="AI97" s="39" t="n">
        <f aca="false">(AG97-AG93)/AG93</f>
        <v>0.0177446862600282</v>
      </c>
      <c r="AJ97" s="39" t="n">
        <f aca="false">AB97/AG97</f>
        <v>-0.00412159526879896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14341787</v>
      </c>
      <c r="AX97" s="7"/>
      <c r="AY97" s="39" t="n">
        <f aca="false">(AW97-AW96)/AW96</f>
        <v>0.00378640687002684</v>
      </c>
      <c r="AZ97" s="12" t="n">
        <f aca="false">workers_and_wage_high!B85</f>
        <v>8582.05703196654</v>
      </c>
      <c r="BA97" s="39" t="n">
        <f aca="false">(AZ97-AZ96)/AZ96</f>
        <v>0.00343529315523264</v>
      </c>
      <c r="BB97" s="38"/>
      <c r="BC97" s="38"/>
      <c r="BD97" s="38"/>
      <c r="BE97" s="38"/>
      <c r="BF97" s="7" t="n">
        <f aca="false">BF96*(1+AY97)*(1+BA97)*(1-BE97)</f>
        <v>140.559104333478</v>
      </c>
      <c r="BG97" s="7"/>
      <c r="BH97" s="7"/>
      <c r="BI97" s="39" t="n">
        <f aca="false">T104/AG104</f>
        <v>0.0126832681504737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3" t="n">
        <f aca="false">'High pensions'!Q98</f>
        <v>134702941.835975</v>
      </c>
      <c r="E98" s="6"/>
      <c r="F98" s="83" t="n">
        <f aca="false">'High pensions'!I98</f>
        <v>24483854.1877209</v>
      </c>
      <c r="G98" s="83" t="n">
        <f aca="false">'High pensions'!K98</f>
        <v>3715479.4390879</v>
      </c>
      <c r="H98" s="83" t="n">
        <f aca="false">'High pensions'!V98</f>
        <v>20441471.6301987</v>
      </c>
      <c r="I98" s="83" t="n">
        <f aca="false">'High pensions'!M98</f>
        <v>114911.73522952</v>
      </c>
      <c r="J98" s="83" t="n">
        <f aca="false">'High pensions'!W98</f>
        <v>632210.462789637</v>
      </c>
      <c r="K98" s="6"/>
      <c r="L98" s="83" t="n">
        <f aca="false">'High pensions'!N98</f>
        <v>3153242.27640487</v>
      </c>
      <c r="M98" s="8"/>
      <c r="N98" s="83" t="n">
        <f aca="false">'High pensions'!L98</f>
        <v>1148340.75475818</v>
      </c>
      <c r="O98" s="6"/>
      <c r="P98" s="83" t="n">
        <f aca="false">'High pensions'!X98</f>
        <v>22680021.179529</v>
      </c>
      <c r="Q98" s="8"/>
      <c r="R98" s="83" t="n">
        <f aca="false">'High SIPA income'!G93</f>
        <v>26730585.2249394</v>
      </c>
      <c r="S98" s="8"/>
      <c r="T98" s="83" t="n">
        <f aca="false">'High SIPA income'!J93</f>
        <v>102206709.392819</v>
      </c>
      <c r="U98" s="6"/>
      <c r="V98" s="83" t="n">
        <f aca="false">'High SIPA income'!F93</f>
        <v>171976.665274911</v>
      </c>
      <c r="W98" s="8"/>
      <c r="X98" s="83" t="n">
        <f aca="false">'High SIPA income'!M93</f>
        <v>431955.800922164</v>
      </c>
      <c r="Y98" s="6"/>
      <c r="Z98" s="6" t="n">
        <f aca="false">R98+V98-N98-L98-F98</f>
        <v>-1882875.32866968</v>
      </c>
      <c r="AA98" s="6"/>
      <c r="AB98" s="6" t="n">
        <f aca="false">T98-P98-D98</f>
        <v>-55176253.6226851</v>
      </c>
      <c r="AC98" s="50"/>
      <c r="AD98" s="6"/>
      <c r="AE98" s="6"/>
      <c r="AF98" s="6"/>
      <c r="AG98" s="6" t="n">
        <f aca="false">BF98/100*$AG$53</f>
        <v>8215263402.35735</v>
      </c>
      <c r="AH98" s="61" t="n">
        <f aca="false">(AG98-AG97)/AG97</f>
        <v>0.00552000895543289</v>
      </c>
      <c r="AI98" s="61"/>
      <c r="AJ98" s="61" t="n">
        <f aca="false">AB98/AG98</f>
        <v>-0.00671630974204094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0.00586211254533794</v>
      </c>
      <c r="AV98" s="5"/>
      <c r="AW98" s="5" t="n">
        <f aca="false">workers_and_wage_high!C86</f>
        <v>14373377</v>
      </c>
      <c r="AX98" s="5"/>
      <c r="AY98" s="61" t="n">
        <f aca="false">(AW98-AW97)/AW97</f>
        <v>0.00220265438330663</v>
      </c>
      <c r="AZ98" s="11" t="n">
        <f aca="false">workers_and_wage_high!B86</f>
        <v>8610.46418695533</v>
      </c>
      <c r="BA98" s="61" t="n">
        <f aca="false">(AZ98-AZ97)/AZ97</f>
        <v>0.00331006364592767</v>
      </c>
      <c r="BB98" s="66"/>
      <c r="BC98" s="66"/>
      <c r="BD98" s="66"/>
      <c r="BE98" s="66"/>
      <c r="BF98" s="5" t="n">
        <f aca="false">BF97*(1+AY98)*(1+BA98)*(1-BE98)</f>
        <v>141.334991848166</v>
      </c>
      <c r="BG98" s="5"/>
      <c r="BH98" s="5"/>
      <c r="BI98" s="61" t="n">
        <f aca="false">T105/AG105</f>
        <v>0.0149606268681767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4" t="n">
        <f aca="false">'High pensions'!Q99</f>
        <v>135096615.607774</v>
      </c>
      <c r="E99" s="9"/>
      <c r="F99" s="84" t="n">
        <f aca="false">'High pensions'!I99</f>
        <v>24555409.0557503</v>
      </c>
      <c r="G99" s="84" t="n">
        <f aca="false">'High pensions'!K99</f>
        <v>3763307.10377815</v>
      </c>
      <c r="H99" s="84" t="n">
        <f aca="false">'High pensions'!V99</f>
        <v>20704605.329882</v>
      </c>
      <c r="I99" s="84" t="n">
        <f aca="false">'High pensions'!M99</f>
        <v>116390.94135396</v>
      </c>
      <c r="J99" s="84" t="n">
        <f aca="false">'High pensions'!W99</f>
        <v>640348.61844994</v>
      </c>
      <c r="K99" s="9"/>
      <c r="L99" s="84" t="n">
        <f aca="false">'High pensions'!N99</f>
        <v>2501358.37608575</v>
      </c>
      <c r="M99" s="67"/>
      <c r="N99" s="84" t="n">
        <f aca="false">'High pensions'!L99</f>
        <v>1151934.14876294</v>
      </c>
      <c r="O99" s="9"/>
      <c r="P99" s="84" t="n">
        <f aca="false">'High pensions'!X99</f>
        <v>19317162.3154389</v>
      </c>
      <c r="Q99" s="67"/>
      <c r="R99" s="84" t="n">
        <f aca="false">'High SIPA income'!G94</f>
        <v>31594881.0491034</v>
      </c>
      <c r="S99" s="67"/>
      <c r="T99" s="84" t="n">
        <f aca="false">'High SIPA income'!J94</f>
        <v>120805766.073299</v>
      </c>
      <c r="U99" s="9"/>
      <c r="V99" s="84" t="n">
        <f aca="false">'High SIPA income'!F94</f>
        <v>166530.563777548</v>
      </c>
      <c r="W99" s="67"/>
      <c r="X99" s="84" t="n">
        <f aca="false">'High SIPA income'!M94</f>
        <v>418276.764115419</v>
      </c>
      <c r="Y99" s="9"/>
      <c r="Z99" s="9" t="n">
        <f aca="false">R99+V99-N99-L99-F99</f>
        <v>3552710.03228192</v>
      </c>
      <c r="AA99" s="9"/>
      <c r="AB99" s="9" t="n">
        <f aca="false">T99-P99-D99</f>
        <v>-33608011.8499142</v>
      </c>
      <c r="AC99" s="50"/>
      <c r="AD99" s="9"/>
      <c r="AE99" s="9"/>
      <c r="AF99" s="9"/>
      <c r="AG99" s="9" t="n">
        <f aca="false">BF99/100*$AG$53</f>
        <v>8232390814.77944</v>
      </c>
      <c r="AH99" s="39" t="n">
        <f aca="false">(AG99-AG98)/AG98</f>
        <v>0.00208482815257925</v>
      </c>
      <c r="AI99" s="39"/>
      <c r="AJ99" s="39" t="n">
        <f aca="false">AB99/AG99</f>
        <v>-0.00408241209705186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14357436</v>
      </c>
      <c r="AX99" s="7"/>
      <c r="AY99" s="39" t="n">
        <f aca="false">(AW99-AW98)/AW98</f>
        <v>-0.00110906434862176</v>
      </c>
      <c r="AZ99" s="12" t="n">
        <f aca="false">workers_and_wage_high!B87</f>
        <v>8637.99561808264</v>
      </c>
      <c r="BA99" s="39" t="n">
        <f aca="false">(AZ99-AZ98)/AZ98</f>
        <v>0.00319743866643313</v>
      </c>
      <c r="BB99" s="38"/>
      <c r="BC99" s="38"/>
      <c r="BD99" s="38"/>
      <c r="BE99" s="38"/>
      <c r="BF99" s="7" t="n">
        <f aca="false">BF98*(1+AY99)*(1+BA99)*(1-BE99)</f>
        <v>141.629651018116</v>
      </c>
      <c r="BG99" s="7"/>
      <c r="BH99" s="7"/>
      <c r="BI99" s="39" t="n">
        <f aca="false">T106/AG106</f>
        <v>0.0127101728789524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4" t="n">
        <f aca="false">'High pensions'!Q100</f>
        <v>135289587.21685</v>
      </c>
      <c r="E100" s="9"/>
      <c r="F100" s="84" t="n">
        <f aca="false">'High pensions'!I100</f>
        <v>24590483.9299482</v>
      </c>
      <c r="G100" s="84" t="n">
        <f aca="false">'High pensions'!K100</f>
        <v>3825681.50219921</v>
      </c>
      <c r="H100" s="84" t="n">
        <f aca="false">'High pensions'!V100</f>
        <v>21047770.8665719</v>
      </c>
      <c r="I100" s="84" t="n">
        <f aca="false">'High pensions'!M100</f>
        <v>118320.04645977</v>
      </c>
      <c r="J100" s="84" t="n">
        <f aca="false">'High pensions'!W100</f>
        <v>650961.985564082</v>
      </c>
      <c r="K100" s="9"/>
      <c r="L100" s="84" t="n">
        <f aca="false">'High pensions'!N100</f>
        <v>2417622.11260417</v>
      </c>
      <c r="M100" s="67"/>
      <c r="N100" s="84" t="n">
        <f aca="false">'High pensions'!L100</f>
        <v>1154651.73733693</v>
      </c>
      <c r="O100" s="9"/>
      <c r="P100" s="84" t="n">
        <f aca="false">'High pensions'!X100</f>
        <v>18897605.8166834</v>
      </c>
      <c r="Q100" s="67"/>
      <c r="R100" s="84" t="n">
        <f aca="false">'High SIPA income'!G95</f>
        <v>27247242.6141593</v>
      </c>
      <c r="S100" s="67"/>
      <c r="T100" s="84" t="n">
        <f aca="false">'High SIPA income'!J95</f>
        <v>104182193.700076</v>
      </c>
      <c r="U100" s="9"/>
      <c r="V100" s="84" t="n">
        <f aca="false">'High SIPA income'!F95</f>
        <v>168523.67687673</v>
      </c>
      <c r="W100" s="67"/>
      <c r="X100" s="84" t="n">
        <f aca="false">'High SIPA income'!M95</f>
        <v>423282.889590113</v>
      </c>
      <c r="Y100" s="9"/>
      <c r="Z100" s="9" t="n">
        <f aca="false">R100+V100-N100-L100-F100</f>
        <v>-746991.488853272</v>
      </c>
      <c r="AA100" s="9"/>
      <c r="AB100" s="9" t="n">
        <f aca="false">T100-P100-D100</f>
        <v>-50004999.3334572</v>
      </c>
      <c r="AC100" s="50"/>
      <c r="AD100" s="9"/>
      <c r="AE100" s="9"/>
      <c r="AF100" s="9"/>
      <c r="AG100" s="9" t="n">
        <f aca="false">BF100/100*$AG$53</f>
        <v>8311377600.66942</v>
      </c>
      <c r="AH100" s="39" t="n">
        <f aca="false">(AG100-AG99)/AG99</f>
        <v>0.00959463510262158</v>
      </c>
      <c r="AI100" s="39"/>
      <c r="AJ100" s="39" t="n">
        <f aca="false">AB100/AG100</f>
        <v>-0.00601645139181616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14421148</v>
      </c>
      <c r="AX100" s="7"/>
      <c r="AY100" s="39" t="n">
        <f aca="false">(AW100-AW99)/AW99</f>
        <v>0.00443756113556766</v>
      </c>
      <c r="AZ100" s="12" t="n">
        <f aca="false">workers_and_wage_high!B88</f>
        <v>8682.34559467967</v>
      </c>
      <c r="BA100" s="39" t="n">
        <f aca="false">(AZ100-AZ99)/AZ99</f>
        <v>0.00513429024022523</v>
      </c>
      <c r="BB100" s="38"/>
      <c r="BC100" s="38"/>
      <c r="BD100" s="38"/>
      <c r="BE100" s="38"/>
      <c r="BF100" s="7" t="n">
        <f aca="false">BF99*(1+AY100)*(1+BA100)*(1-BE100)</f>
        <v>142.988535839346</v>
      </c>
      <c r="BG100" s="7"/>
      <c r="BH100" s="7"/>
      <c r="BI100" s="39" t="n">
        <f aca="false">T107/AG107</f>
        <v>0.0149459496201891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4" t="n">
        <f aca="false">'High pensions'!Q101</f>
        <v>136068941.515532</v>
      </c>
      <c r="E101" s="9"/>
      <c r="F101" s="84" t="n">
        <f aca="false">'High pensions'!I101</f>
        <v>24732140.7991259</v>
      </c>
      <c r="G101" s="84" t="n">
        <f aca="false">'High pensions'!K101</f>
        <v>3905496.4925638</v>
      </c>
      <c r="H101" s="84" t="n">
        <f aca="false">'High pensions'!V101</f>
        <v>21486889.3943285</v>
      </c>
      <c r="I101" s="84" t="n">
        <f aca="false">'High pensions'!M101</f>
        <v>120788.55131641</v>
      </c>
      <c r="J101" s="84" t="n">
        <f aca="false">'High pensions'!W101</f>
        <v>664542.970958635</v>
      </c>
      <c r="K101" s="9"/>
      <c r="L101" s="84" t="n">
        <f aca="false">'High pensions'!N101</f>
        <v>2450498.70540263</v>
      </c>
      <c r="M101" s="67"/>
      <c r="N101" s="84" t="n">
        <f aca="false">'High pensions'!L101</f>
        <v>1162437.94889689</v>
      </c>
      <c r="O101" s="9"/>
      <c r="P101" s="84" t="n">
        <f aca="false">'High pensions'!X101</f>
        <v>19111040.0517025</v>
      </c>
      <c r="Q101" s="67"/>
      <c r="R101" s="84" t="n">
        <f aca="false">'High SIPA income'!G96</f>
        <v>32227985.1478809</v>
      </c>
      <c r="S101" s="67"/>
      <c r="T101" s="84" t="n">
        <f aca="false">'High SIPA income'!J96</f>
        <v>123226494.467183</v>
      </c>
      <c r="U101" s="9"/>
      <c r="V101" s="84" t="n">
        <f aca="false">'High SIPA income'!F96</f>
        <v>171935.708783176</v>
      </c>
      <c r="W101" s="67"/>
      <c r="X101" s="84" t="n">
        <f aca="false">'High SIPA income'!M96</f>
        <v>431852.93002301</v>
      </c>
      <c r="Y101" s="9"/>
      <c r="Z101" s="9" t="n">
        <f aca="false">R101+V101-N101-L101-F101</f>
        <v>4054843.40323863</v>
      </c>
      <c r="AA101" s="9"/>
      <c r="AB101" s="9" t="n">
        <f aca="false">T101-P101-D101</f>
        <v>-31953487.1000514</v>
      </c>
      <c r="AC101" s="50"/>
      <c r="AD101" s="9"/>
      <c r="AE101" s="9"/>
      <c r="AF101" s="9"/>
      <c r="AG101" s="9" t="n">
        <f aca="false">BF101/100*$AG$53</f>
        <v>8363315216.20232</v>
      </c>
      <c r="AH101" s="39" t="n">
        <f aca="false">(AG101-AG100)/AG100</f>
        <v>0.00624897797071806</v>
      </c>
      <c r="AI101" s="39" t="n">
        <f aca="false">(AG101-AG97)/AG97</f>
        <v>0.0236410421946773</v>
      </c>
      <c r="AJ101" s="39" t="n">
        <f aca="false">AB101/AG101</f>
        <v>-0.00382067233794413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14425571</v>
      </c>
      <c r="AX101" s="7"/>
      <c r="AY101" s="39" t="n">
        <f aca="false">(AW101-AW100)/AW100</f>
        <v>0.000306702351296859</v>
      </c>
      <c r="AZ101" s="12" t="n">
        <f aca="false">workers_and_wage_high!B89</f>
        <v>8733.92266641715</v>
      </c>
      <c r="BA101" s="39" t="n">
        <f aca="false">(AZ101-AZ100)/AZ100</f>
        <v>0.00594045366831344</v>
      </c>
      <c r="BB101" s="38"/>
      <c r="BC101" s="38"/>
      <c r="BD101" s="38"/>
      <c r="BE101" s="38"/>
      <c r="BF101" s="7" t="n">
        <f aca="false">BF100*(1+AY101)*(1+BA101)*(1-BE101)</f>
        <v>143.882068049871</v>
      </c>
      <c r="BG101" s="7"/>
      <c r="BH101" s="7"/>
      <c r="BI101" s="39" t="n">
        <f aca="false">T108/AG108</f>
        <v>0.0128134721282193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3" t="n">
        <f aca="false">'High pensions'!Q102</f>
        <v>136436369.659144</v>
      </c>
      <c r="E102" s="6"/>
      <c r="F102" s="83" t="n">
        <f aca="false">'High pensions'!I102</f>
        <v>24798925.213557</v>
      </c>
      <c r="G102" s="83" t="n">
        <f aca="false">'High pensions'!K102</f>
        <v>3955267.76346848</v>
      </c>
      <c r="H102" s="83" t="n">
        <f aca="false">'High pensions'!V102</f>
        <v>21760716.2419471</v>
      </c>
      <c r="I102" s="83" t="n">
        <f aca="false">'High pensions'!M102</f>
        <v>122327.86897325</v>
      </c>
      <c r="J102" s="83" t="n">
        <f aca="false">'High pensions'!W102</f>
        <v>673011.842534433</v>
      </c>
      <c r="K102" s="6"/>
      <c r="L102" s="83" t="n">
        <f aca="false">'High pensions'!N102</f>
        <v>3033292.86742759</v>
      </c>
      <c r="M102" s="8"/>
      <c r="N102" s="83" t="n">
        <f aca="false">'High pensions'!L102</f>
        <v>1167163.35115695</v>
      </c>
      <c r="O102" s="6"/>
      <c r="P102" s="83" t="n">
        <f aca="false">'High pensions'!X102</f>
        <v>22161159.4979527</v>
      </c>
      <c r="Q102" s="8"/>
      <c r="R102" s="83" t="n">
        <f aca="false">'High SIPA income'!G97</f>
        <v>27682159.5029559</v>
      </c>
      <c r="S102" s="8"/>
      <c r="T102" s="83" t="n">
        <f aca="false">'High SIPA income'!J97</f>
        <v>105845136.119376</v>
      </c>
      <c r="U102" s="6"/>
      <c r="V102" s="83" t="n">
        <f aca="false">'High SIPA income'!F97</f>
        <v>165188.888285344</v>
      </c>
      <c r="W102" s="8"/>
      <c r="X102" s="83" t="n">
        <f aca="false">'High SIPA income'!M97</f>
        <v>414906.86209478</v>
      </c>
      <c r="Y102" s="6"/>
      <c r="Z102" s="6" t="n">
        <f aca="false">R102+V102-N102-L102-F102</f>
        <v>-1152033.04090036</v>
      </c>
      <c r="AA102" s="6"/>
      <c r="AB102" s="6" t="n">
        <f aca="false">T102-P102-D102</f>
        <v>-52752393.0377211</v>
      </c>
      <c r="AC102" s="50"/>
      <c r="AD102" s="6"/>
      <c r="AE102" s="6"/>
      <c r="AF102" s="6"/>
      <c r="AG102" s="6" t="n">
        <f aca="false">BF102/100*$AG$53</f>
        <v>8425863697.01214</v>
      </c>
      <c r="AH102" s="61" t="n">
        <f aca="false">(AG102-AG101)/AG101</f>
        <v>0.0074789098811729</v>
      </c>
      <c r="AI102" s="61"/>
      <c r="AJ102" s="61" t="n">
        <f aca="false">AB102/AG102</f>
        <v>-0.00626076980766107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0.00760918387204477</v>
      </c>
      <c r="AV102" s="5"/>
      <c r="AW102" s="5" t="n">
        <f aca="false">workers_and_wage_high!C90</f>
        <v>14486984</v>
      </c>
      <c r="AX102" s="5"/>
      <c r="AY102" s="61" t="n">
        <f aca="false">(AW102-AW101)/AW101</f>
        <v>0.00425723182811966</v>
      </c>
      <c r="AZ102" s="11" t="n">
        <f aca="false">workers_and_wage_high!B90</f>
        <v>8761.94127169046</v>
      </c>
      <c r="BA102" s="61" t="n">
        <f aca="false">(AZ102-AZ101)/AZ101</f>
        <v>0.00320802076494747</v>
      </c>
      <c r="BB102" s="66"/>
      <c r="BC102" s="66"/>
      <c r="BD102" s="66"/>
      <c r="BE102" s="66"/>
      <c r="BF102" s="5" t="n">
        <f aca="false">BF101*(1+AY102)*(1+BA102)*(1-BE102)</f>
        <v>144.958149070333</v>
      </c>
      <c r="BG102" s="5"/>
      <c r="BH102" s="5"/>
      <c r="BI102" s="61" t="n">
        <f aca="false">T109/AG109</f>
        <v>0.0150492466965631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4" t="n">
        <f aca="false">'High pensions'!Q103</f>
        <v>136741018.421609</v>
      </c>
      <c r="E103" s="9"/>
      <c r="F103" s="84" t="n">
        <f aca="false">'High pensions'!I103</f>
        <v>24854298.732331</v>
      </c>
      <c r="G103" s="84" t="n">
        <f aca="false">'High pensions'!K103</f>
        <v>4032511.82626489</v>
      </c>
      <c r="H103" s="84" t="n">
        <f aca="false">'High pensions'!V103</f>
        <v>22185690.2847699</v>
      </c>
      <c r="I103" s="84" t="n">
        <f aca="false">'High pensions'!M103</f>
        <v>124716.86060614</v>
      </c>
      <c r="J103" s="84" t="n">
        <f aca="false">'High pensions'!W103</f>
        <v>686155.369632109</v>
      </c>
      <c r="K103" s="9"/>
      <c r="L103" s="84" t="n">
        <f aca="false">'High pensions'!N103</f>
        <v>2474062.37057169</v>
      </c>
      <c r="M103" s="67"/>
      <c r="N103" s="84" t="n">
        <f aca="false">'High pensions'!L103</f>
        <v>1171201.72988086</v>
      </c>
      <c r="O103" s="9"/>
      <c r="P103" s="84" t="n">
        <f aca="false">'High pensions'!X103</f>
        <v>19281527.7595221</v>
      </c>
      <c r="Q103" s="67"/>
      <c r="R103" s="84" t="n">
        <f aca="false">'High SIPA income'!G98</f>
        <v>32975650.870588</v>
      </c>
      <c r="S103" s="67"/>
      <c r="T103" s="84" t="n">
        <f aca="false">'High SIPA income'!J98</f>
        <v>126085259.159413</v>
      </c>
      <c r="U103" s="9"/>
      <c r="V103" s="84" t="n">
        <f aca="false">'High SIPA income'!F98</f>
        <v>163622.4394696</v>
      </c>
      <c r="W103" s="67"/>
      <c r="X103" s="84" t="n">
        <f aca="false">'High SIPA income'!M98</f>
        <v>410972.394289357</v>
      </c>
      <c r="Y103" s="9"/>
      <c r="Z103" s="9" t="n">
        <f aca="false">R103+V103-N103-L103-F103</f>
        <v>4639710.47727402</v>
      </c>
      <c r="AA103" s="9"/>
      <c r="AB103" s="9" t="n">
        <f aca="false">T103-P103-D103</f>
        <v>-29937287.0217185</v>
      </c>
      <c r="AC103" s="50"/>
      <c r="AD103" s="9"/>
      <c r="AE103" s="9"/>
      <c r="AF103" s="9"/>
      <c r="AG103" s="9" t="n">
        <f aca="false">BF103/100*$AG$53</f>
        <v>8492830336.76564</v>
      </c>
      <c r="AH103" s="39" t="n">
        <f aca="false">(AG103-AG102)/AG102</f>
        <v>0.00794774781097431</v>
      </c>
      <c r="AI103" s="39"/>
      <c r="AJ103" s="39" t="n">
        <f aca="false">AB103/AG103</f>
        <v>-0.00352500707474625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14528771</v>
      </c>
      <c r="AX103" s="7"/>
      <c r="AY103" s="39" t="n">
        <f aca="false">(AW103-AW102)/AW102</f>
        <v>0.00288445131160495</v>
      </c>
      <c r="AZ103" s="12" t="n">
        <f aca="false">workers_and_wage_high!B91</f>
        <v>8806.17797962886</v>
      </c>
      <c r="BA103" s="39" t="n">
        <f aca="false">(AZ103-AZ102)/AZ102</f>
        <v>0.00504873367290486</v>
      </c>
      <c r="BB103" s="38"/>
      <c r="BC103" s="38"/>
      <c r="BD103" s="38"/>
      <c r="BE103" s="38"/>
      <c r="BF103" s="7" t="n">
        <f aca="false">BF102*(1+AY103)*(1+BA103)*(1-BE103)</f>
        <v>146.11023988229</v>
      </c>
      <c r="BG103" s="7"/>
      <c r="BH103" s="7"/>
      <c r="BI103" s="39" t="n">
        <f aca="false">T110/AG110</f>
        <v>0.012817600157163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4" t="n">
        <f aca="false">'High pensions'!Q104</f>
        <v>137383364.169695</v>
      </c>
      <c r="E104" s="9"/>
      <c r="F104" s="84" t="n">
        <f aca="false">'High pensions'!I104</f>
        <v>24971052.6756367</v>
      </c>
      <c r="G104" s="84" t="n">
        <f aca="false">'High pensions'!K104</f>
        <v>4132829.24882331</v>
      </c>
      <c r="H104" s="84" t="n">
        <f aca="false">'High pensions'!V104</f>
        <v>22737607.1452615</v>
      </c>
      <c r="I104" s="84" t="n">
        <f aca="false">'High pensions'!M104</f>
        <v>127819.46130382</v>
      </c>
      <c r="J104" s="84" t="n">
        <f aca="false">'High pensions'!W104</f>
        <v>703224.963255547</v>
      </c>
      <c r="K104" s="9"/>
      <c r="L104" s="84" t="n">
        <f aca="false">'High pensions'!N104</f>
        <v>2502186.17551433</v>
      </c>
      <c r="M104" s="67"/>
      <c r="N104" s="84" t="n">
        <f aca="false">'High pensions'!L104</f>
        <v>1177947.80736138</v>
      </c>
      <c r="O104" s="9"/>
      <c r="P104" s="84" t="n">
        <f aca="false">'High pensions'!X104</f>
        <v>19464577.2449475</v>
      </c>
      <c r="Q104" s="67"/>
      <c r="R104" s="84" t="n">
        <f aca="false">'High SIPA income'!G99</f>
        <v>28374706.9329444</v>
      </c>
      <c r="S104" s="67"/>
      <c r="T104" s="84" t="n">
        <f aca="false">'High SIPA income'!J99</f>
        <v>108493151.2422</v>
      </c>
      <c r="U104" s="9"/>
      <c r="V104" s="84" t="n">
        <f aca="false">'High SIPA income'!F99</f>
        <v>169164.432356366</v>
      </c>
      <c r="W104" s="67"/>
      <c r="X104" s="84" t="n">
        <f aca="false">'High SIPA income'!M99</f>
        <v>424892.282620028</v>
      </c>
      <c r="Y104" s="9"/>
      <c r="Z104" s="9" t="n">
        <f aca="false">R104+V104-N104-L104-F104</f>
        <v>-107315.293211591</v>
      </c>
      <c r="AA104" s="9"/>
      <c r="AB104" s="9" t="n">
        <f aca="false">T104-P104-D104</f>
        <v>-48354790.1724421</v>
      </c>
      <c r="AC104" s="50"/>
      <c r="AD104" s="9"/>
      <c r="AE104" s="9"/>
      <c r="AF104" s="9"/>
      <c r="AG104" s="9" t="n">
        <f aca="false">BF104/100*$AG$53</f>
        <v>8554037489.00063</v>
      </c>
      <c r="AH104" s="39" t="n">
        <f aca="false">(AG104-AG103)/AG103</f>
        <v>0.00720692040320413</v>
      </c>
      <c r="AI104" s="39"/>
      <c r="AJ104" s="39" t="n">
        <f aca="false">AB104/AG104</f>
        <v>-0.00565286161471937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14612070</v>
      </c>
      <c r="AX104" s="7"/>
      <c r="AY104" s="39" t="n">
        <f aca="false">(AW104-AW103)/AW103</f>
        <v>0.0057333824037835</v>
      </c>
      <c r="AZ104" s="12" t="n">
        <f aca="false">workers_and_wage_high!B92</f>
        <v>8819.08024389658</v>
      </c>
      <c r="BA104" s="39" t="n">
        <f aca="false">(AZ104-AZ103)/AZ103</f>
        <v>0.00146513780411519</v>
      </c>
      <c r="BB104" s="38"/>
      <c r="BC104" s="38"/>
      <c r="BD104" s="38"/>
      <c r="BE104" s="38"/>
      <c r="BF104" s="7" t="n">
        <f aca="false">BF103*(1+AY104)*(1+BA104)*(1-BE104)</f>
        <v>147.163244751215</v>
      </c>
      <c r="BG104" s="7"/>
      <c r="BH104" s="7"/>
      <c r="BI104" s="39" t="n">
        <f aca="false">T111/AG111</f>
        <v>0.015049842531745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4" t="n">
        <f aca="false">'High pensions'!Q105</f>
        <v>138281543.059162</v>
      </c>
      <c r="E105" s="9"/>
      <c r="F105" s="84" t="n">
        <f aca="false">'High pensions'!I105</f>
        <v>25134307.320743</v>
      </c>
      <c r="G105" s="84" t="n">
        <f aca="false">'High pensions'!K105</f>
        <v>4256264.01930664</v>
      </c>
      <c r="H105" s="84" t="n">
        <f aca="false">'High pensions'!V105</f>
        <v>23416708.8333156</v>
      </c>
      <c r="I105" s="84" t="n">
        <f aca="false">'High pensions'!M105</f>
        <v>131637.031524939</v>
      </c>
      <c r="J105" s="84" t="n">
        <f aca="false">'High pensions'!W105</f>
        <v>724228.108246831</v>
      </c>
      <c r="K105" s="9"/>
      <c r="L105" s="84" t="n">
        <f aca="false">'High pensions'!N105</f>
        <v>2417312.61312608</v>
      </c>
      <c r="M105" s="67"/>
      <c r="N105" s="84" t="n">
        <f aca="false">'High pensions'!L105</f>
        <v>1187353.61319596</v>
      </c>
      <c r="O105" s="9"/>
      <c r="P105" s="84" t="n">
        <f aca="false">'High pensions'!X105</f>
        <v>19075915.8947835</v>
      </c>
      <c r="Q105" s="67"/>
      <c r="R105" s="84" t="n">
        <f aca="false">'High SIPA income'!G100</f>
        <v>33730728.1300699</v>
      </c>
      <c r="S105" s="67"/>
      <c r="T105" s="84" t="n">
        <f aca="false">'High SIPA income'!J100</f>
        <v>128972362.504872</v>
      </c>
      <c r="U105" s="9"/>
      <c r="V105" s="84" t="n">
        <f aca="false">'High SIPA income'!F100</f>
        <v>161508.410802656</v>
      </c>
      <c r="W105" s="67"/>
      <c r="X105" s="84" t="n">
        <f aca="false">'High SIPA income'!M100</f>
        <v>405662.56376937</v>
      </c>
      <c r="Y105" s="9"/>
      <c r="Z105" s="9" t="n">
        <f aca="false">R105+V105-N105-L105-F105</f>
        <v>5153262.9938076</v>
      </c>
      <c r="AA105" s="9"/>
      <c r="AB105" s="9" t="n">
        <f aca="false">T105-P105-D105</f>
        <v>-28385096.4490734</v>
      </c>
      <c r="AC105" s="50"/>
      <c r="AD105" s="9"/>
      <c r="AE105" s="9"/>
      <c r="AF105" s="9"/>
      <c r="AG105" s="9" t="n">
        <f aca="false">BF105/100*$AG$53</f>
        <v>8620785989.87145</v>
      </c>
      <c r="AH105" s="39" t="n">
        <f aca="false">(AG105-AG104)/AG104</f>
        <v>0.00780315739282776</v>
      </c>
      <c r="AI105" s="39" t="n">
        <f aca="false">(AG105-AG101)/AG101</f>
        <v>0.0307857311380926</v>
      </c>
      <c r="AJ105" s="39" t="n">
        <f aca="false">AB105/AG105</f>
        <v>-0.00329263439347909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14626456</v>
      </c>
      <c r="AX105" s="7"/>
      <c r="AY105" s="39" t="n">
        <f aca="false">(AW105-AW104)/AW104</f>
        <v>0.000984528543868186</v>
      </c>
      <c r="AZ105" s="12" t="n">
        <f aca="false">workers_and_wage_high!B93</f>
        <v>8879.15513342539</v>
      </c>
      <c r="BA105" s="39" t="n">
        <f aca="false">(AZ105-AZ104)/AZ104</f>
        <v>0.00681192231699975</v>
      </c>
      <c r="BB105" s="38"/>
      <c r="BC105" s="38"/>
      <c r="BD105" s="38"/>
      <c r="BE105" s="38"/>
      <c r="BF105" s="7" t="n">
        <f aca="false">BF104*(1+AY105)*(1+BA105)*(1-BE105)</f>
        <v>148.311582712447</v>
      </c>
      <c r="BG105" s="7"/>
      <c r="BH105" s="7"/>
      <c r="BI105" s="39" t="n">
        <f aca="false">T112/AG112</f>
        <v>0.0128495782218708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3" t="n">
        <f aca="false">'High pensions'!Q106</f>
        <v>139281389.725248</v>
      </c>
      <c r="E106" s="6"/>
      <c r="F106" s="83" t="n">
        <f aca="false">'High pensions'!I106</f>
        <v>25316041.2877142</v>
      </c>
      <c r="G106" s="83" t="n">
        <f aca="false">'High pensions'!K106</f>
        <v>4304582.96864192</v>
      </c>
      <c r="H106" s="83" t="n">
        <f aca="false">'High pensions'!V106</f>
        <v>23682545.4361635</v>
      </c>
      <c r="I106" s="83" t="n">
        <f aca="false">'High pensions'!M106</f>
        <v>133131.43201985</v>
      </c>
      <c r="J106" s="83" t="n">
        <f aca="false">'High pensions'!W106</f>
        <v>732449.858850401</v>
      </c>
      <c r="K106" s="6"/>
      <c r="L106" s="83" t="n">
        <f aca="false">'High pensions'!N106</f>
        <v>3022027.98036681</v>
      </c>
      <c r="M106" s="8"/>
      <c r="N106" s="83" t="n">
        <f aca="false">'High pensions'!L106</f>
        <v>1196572.77428965</v>
      </c>
      <c r="O106" s="6"/>
      <c r="P106" s="83" t="n">
        <f aca="false">'High pensions'!X106</f>
        <v>22264507.9143367</v>
      </c>
      <c r="Q106" s="8"/>
      <c r="R106" s="83" t="n">
        <f aca="false">'High SIPA income'!G101</f>
        <v>28816002.896501</v>
      </c>
      <c r="S106" s="8"/>
      <c r="T106" s="83" t="n">
        <f aca="false">'High SIPA income'!J101</f>
        <v>110180484.60673</v>
      </c>
      <c r="U106" s="6"/>
      <c r="V106" s="83" t="n">
        <f aca="false">'High SIPA income'!F101</f>
        <v>165657.630388158</v>
      </c>
      <c r="W106" s="8"/>
      <c r="X106" s="83" t="n">
        <f aca="false">'High SIPA income'!M101</f>
        <v>416084.207114951</v>
      </c>
      <c r="Y106" s="6"/>
      <c r="Z106" s="6" t="n">
        <f aca="false">R106+V106-N106-L106-F106</f>
        <v>-552981.515481491</v>
      </c>
      <c r="AA106" s="6"/>
      <c r="AB106" s="6" t="n">
        <f aca="false">T106-P106-D106</f>
        <v>-51365413.0328553</v>
      </c>
      <c r="AC106" s="50"/>
      <c r="AD106" s="6"/>
      <c r="AE106" s="6"/>
      <c r="AF106" s="6"/>
      <c r="AG106" s="6" t="n">
        <f aca="false">BF106/100*$AG$53</f>
        <v>8668684970.38187</v>
      </c>
      <c r="AH106" s="61" t="n">
        <f aca="false">(AG106-AG105)/AG105</f>
        <v>0.00555621964942619</v>
      </c>
      <c r="AI106" s="61"/>
      <c r="AJ106" s="61" t="n">
        <f aca="false">AB106/AG106</f>
        <v>-0.00592539851296414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0.00558330155110926</v>
      </c>
      <c r="AV106" s="5"/>
      <c r="AW106" s="5" t="n">
        <f aca="false">workers_and_wage_high!C94</f>
        <v>14641182</v>
      </c>
      <c r="AX106" s="5"/>
      <c r="AY106" s="61" t="n">
        <f aca="false">(AW106-AW105)/AW105</f>
        <v>0.00100680574980023</v>
      </c>
      <c r="AZ106" s="11" t="n">
        <f aca="false">workers_and_wage_high!B94</f>
        <v>8919.50945624209</v>
      </c>
      <c r="BA106" s="61" t="n">
        <f aca="false">(AZ106-AZ105)/AZ105</f>
        <v>0.00454483813046435</v>
      </c>
      <c r="BB106" s="66"/>
      <c r="BC106" s="66"/>
      <c r="BD106" s="66"/>
      <c r="BE106" s="66"/>
      <c r="BF106" s="5" t="n">
        <f aca="false">BF105*(1+AY106)*(1+BA106)*(1-BE106)</f>
        <v>149.135634442552</v>
      </c>
      <c r="BG106" s="5"/>
      <c r="BH106" s="5"/>
      <c r="BI106" s="61" t="n">
        <f aca="false">T113/AG113</f>
        <v>0.0150608228870305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4" t="n">
        <f aca="false">'High pensions'!Q107</f>
        <v>140340289.30087</v>
      </c>
      <c r="E107" s="9"/>
      <c r="F107" s="84" t="n">
        <f aca="false">'High pensions'!I107</f>
        <v>25508508.8200159</v>
      </c>
      <c r="G107" s="84" t="n">
        <f aca="false">'High pensions'!K107</f>
        <v>4354763.31913809</v>
      </c>
      <c r="H107" s="84" t="n">
        <f aca="false">'High pensions'!V107</f>
        <v>23958622.9189964</v>
      </c>
      <c r="I107" s="84" t="n">
        <f aca="false">'High pensions'!M107</f>
        <v>134683.40162282</v>
      </c>
      <c r="J107" s="84" t="n">
        <f aca="false">'High pensions'!W107</f>
        <v>740988.337700877</v>
      </c>
      <c r="K107" s="9"/>
      <c r="L107" s="84" t="n">
        <f aca="false">'High pensions'!N107</f>
        <v>2449982.87655541</v>
      </c>
      <c r="M107" s="67"/>
      <c r="N107" s="84" t="n">
        <f aca="false">'High pensions'!L107</f>
        <v>1206589.43005668</v>
      </c>
      <c r="O107" s="9"/>
      <c r="P107" s="84" t="n">
        <f aca="false">'High pensions'!X107</f>
        <v>19351271.8359103</v>
      </c>
      <c r="Q107" s="67"/>
      <c r="R107" s="84" t="n">
        <f aca="false">'High SIPA income'!G102</f>
        <v>34012096.7895391</v>
      </c>
      <c r="S107" s="67"/>
      <c r="T107" s="84" t="n">
        <f aca="false">'High SIPA income'!J102</f>
        <v>130048199.961052</v>
      </c>
      <c r="U107" s="9"/>
      <c r="V107" s="84" t="n">
        <f aca="false">'High SIPA income'!F102</f>
        <v>165897.174718432</v>
      </c>
      <c r="W107" s="67"/>
      <c r="X107" s="84" t="n">
        <f aca="false">'High SIPA income'!M102</f>
        <v>416685.873410053</v>
      </c>
      <c r="Y107" s="9"/>
      <c r="Z107" s="9" t="n">
        <f aca="false">R107+V107-N107-L107-F107</f>
        <v>5012912.83762953</v>
      </c>
      <c r="AA107" s="9"/>
      <c r="AB107" s="9" t="n">
        <f aca="false">T107-P107-D107</f>
        <v>-29643361.175728</v>
      </c>
      <c r="AC107" s="50"/>
      <c r="AD107" s="9"/>
      <c r="AE107" s="9"/>
      <c r="AF107" s="9"/>
      <c r="AG107" s="9" t="n">
        <f aca="false">BF107/100*$AG$53</f>
        <v>8701233663.02414</v>
      </c>
      <c r="AH107" s="39" t="n">
        <f aca="false">(AG107-AG106)/AG106</f>
        <v>0.00375474397252613</v>
      </c>
      <c r="AI107" s="39"/>
      <c r="AJ107" s="39" t="n">
        <f aca="false">AB107/AG107</f>
        <v>-0.0034067998083648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14695558</v>
      </c>
      <c r="AX107" s="7"/>
      <c r="AY107" s="39" t="n">
        <f aca="false">(AW107-AW106)/AW106</f>
        <v>0.00371390779788135</v>
      </c>
      <c r="AZ107" s="12" t="n">
        <f aca="false">workers_and_wage_high!B95</f>
        <v>8919.87234714464</v>
      </c>
      <c r="BA107" s="39" t="n">
        <f aca="false">(AZ107-AZ106)/AZ106</f>
        <v>4.06850740311011E-005</v>
      </c>
      <c r="BB107" s="38"/>
      <c r="BC107" s="38"/>
      <c r="BD107" s="38"/>
      <c r="BE107" s="38"/>
      <c r="BF107" s="7" t="n">
        <f aca="false">BF106*(1+AY107)*(1+BA107)*(1-BE107)</f>
        <v>149.695600567064</v>
      </c>
      <c r="BG107" s="7"/>
      <c r="BH107" s="7"/>
      <c r="BI107" s="39" t="n">
        <f aca="false">T114/AG114</f>
        <v>0.0127674391766639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4" t="n">
        <f aca="false">'High pensions'!Q108</f>
        <v>140710872.703901</v>
      </c>
      <c r="E108" s="9"/>
      <c r="F108" s="84" t="n">
        <f aca="false">'High pensions'!I108</f>
        <v>25575866.740196</v>
      </c>
      <c r="G108" s="84" t="n">
        <f aca="false">'High pensions'!K108</f>
        <v>4422821.12327859</v>
      </c>
      <c r="H108" s="84" t="n">
        <f aca="false">'High pensions'!V108</f>
        <v>24333056.8770789</v>
      </c>
      <c r="I108" s="84" t="n">
        <f aca="false">'High pensions'!M108</f>
        <v>136788.282163261</v>
      </c>
      <c r="J108" s="84" t="n">
        <f aca="false">'High pensions'!W108</f>
        <v>752568.76939422</v>
      </c>
      <c r="K108" s="9"/>
      <c r="L108" s="84" t="n">
        <f aca="false">'High pensions'!N108</f>
        <v>2465436.16424105</v>
      </c>
      <c r="M108" s="67"/>
      <c r="N108" s="84" t="n">
        <f aca="false">'High pensions'!L108</f>
        <v>1211302.46514554</v>
      </c>
      <c r="O108" s="9"/>
      <c r="P108" s="84" t="n">
        <f aca="false">'High pensions'!X108</f>
        <v>19457388.7476616</v>
      </c>
      <c r="Q108" s="67"/>
      <c r="R108" s="84" t="n">
        <f aca="false">'High SIPA income'!G103</f>
        <v>29270664.3304912</v>
      </c>
      <c r="S108" s="67"/>
      <c r="T108" s="84" t="n">
        <f aca="false">'High SIPA income'!J103</f>
        <v>111918922.005871</v>
      </c>
      <c r="U108" s="9"/>
      <c r="V108" s="84" t="n">
        <f aca="false">'High SIPA income'!F103</f>
        <v>165412.81444821</v>
      </c>
      <c r="W108" s="67"/>
      <c r="X108" s="84" t="n">
        <f aca="false">'High SIPA income'!M103</f>
        <v>415469.300056196</v>
      </c>
      <c r="Y108" s="9"/>
      <c r="Z108" s="9" t="n">
        <f aca="false">R108+V108-N108-L108-F108</f>
        <v>183471.775356766</v>
      </c>
      <c r="AA108" s="9"/>
      <c r="AB108" s="9" t="n">
        <f aca="false">T108-P108-D108</f>
        <v>-48249339.4456923</v>
      </c>
      <c r="AC108" s="50"/>
      <c r="AD108" s="9"/>
      <c r="AE108" s="9"/>
      <c r="AF108" s="9"/>
      <c r="AG108" s="9" t="n">
        <f aca="false">BF108/100*$AG$53</f>
        <v>8734472661.7378</v>
      </c>
      <c r="AH108" s="39" t="n">
        <f aca="false">(AG108-AG107)/AG107</f>
        <v>0.00382003288279845</v>
      </c>
      <c r="AI108" s="39"/>
      <c r="AJ108" s="39" t="n">
        <f aca="false">AB108/AG108</f>
        <v>-0.00552401287567745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14669980</v>
      </c>
      <c r="AX108" s="7"/>
      <c r="AY108" s="39" t="n">
        <f aca="false">(AW108-AW107)/AW107</f>
        <v>-0.00174052594668403</v>
      </c>
      <c r="AZ108" s="12" t="n">
        <f aca="false">workers_and_wage_high!B96</f>
        <v>8969.55830177563</v>
      </c>
      <c r="BA108" s="39" t="n">
        <f aca="false">(AZ108-AZ107)/AZ107</f>
        <v>0.00557025400110088</v>
      </c>
      <c r="BB108" s="38"/>
      <c r="BC108" s="38"/>
      <c r="BD108" s="38"/>
      <c r="BE108" s="38"/>
      <c r="BF108" s="7" t="n">
        <f aca="false">BF107*(1+AY108)*(1+BA108)*(1-BE108)</f>
        <v>150.26744268364</v>
      </c>
      <c r="BG108" s="7"/>
      <c r="BH108" s="7"/>
      <c r="BI108" s="39" t="n">
        <f aca="false">T115/AG115</f>
        <v>0.0150809993081445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4" t="n">
        <f aca="false">'High pensions'!Q109</f>
        <v>141090521.345089</v>
      </c>
      <c r="E109" s="9"/>
      <c r="F109" s="84" t="n">
        <f aca="false">'High pensions'!I109</f>
        <v>25644872.3747182</v>
      </c>
      <c r="G109" s="84" t="n">
        <f aca="false">'High pensions'!K109</f>
        <v>4442987.1389016</v>
      </c>
      <c r="H109" s="84" t="n">
        <f aca="false">'High pensions'!V109</f>
        <v>24444004.3451001</v>
      </c>
      <c r="I109" s="84" t="n">
        <f aca="false">'High pensions'!M109</f>
        <v>137411.9733681</v>
      </c>
      <c r="J109" s="84" t="n">
        <f aca="false">'High pensions'!W109</f>
        <v>756000.134384591</v>
      </c>
      <c r="K109" s="9"/>
      <c r="L109" s="84" t="n">
        <f aca="false">'High pensions'!N109</f>
        <v>2401078.76763506</v>
      </c>
      <c r="M109" s="67"/>
      <c r="N109" s="84" t="n">
        <f aca="false">'High pensions'!L109</f>
        <v>1215085.653206</v>
      </c>
      <c r="O109" s="9"/>
      <c r="P109" s="84" t="n">
        <f aca="false">'High pensions'!X109</f>
        <v>19144251.8952187</v>
      </c>
      <c r="Q109" s="67"/>
      <c r="R109" s="84" t="n">
        <f aca="false">'High SIPA income'!G104</f>
        <v>34694345.9770555</v>
      </c>
      <c r="S109" s="67"/>
      <c r="T109" s="84" t="n">
        <f aca="false">'High SIPA income'!J104</f>
        <v>132656838.861218</v>
      </c>
      <c r="U109" s="9"/>
      <c r="V109" s="84" t="n">
        <f aca="false">'High SIPA income'!F104</f>
        <v>166660.017624483</v>
      </c>
      <c r="W109" s="67"/>
      <c r="X109" s="84" t="n">
        <f aca="false">'High SIPA income'!M104</f>
        <v>418601.91485634</v>
      </c>
      <c r="Y109" s="9"/>
      <c r="Z109" s="9" t="n">
        <f aca="false">R109+V109-N109-L109-F109</f>
        <v>5599969.19912069</v>
      </c>
      <c r="AA109" s="9"/>
      <c r="AB109" s="9" t="n">
        <f aca="false">T109-P109-D109</f>
        <v>-27577934.3790895</v>
      </c>
      <c r="AC109" s="50"/>
      <c r="AD109" s="9"/>
      <c r="AE109" s="9"/>
      <c r="AF109" s="9"/>
      <c r="AG109" s="9" t="n">
        <f aca="false">BF109/100*$AG$53</f>
        <v>8814849110.78729</v>
      </c>
      <c r="AH109" s="39" t="n">
        <f aca="false">(AG109-AG108)/AG108</f>
        <v>0.00920220969968626</v>
      </c>
      <c r="AI109" s="39" t="n">
        <f aca="false">(AG109-AG105)/AG105</f>
        <v>0.0225110704689629</v>
      </c>
      <c r="AJ109" s="39" t="n">
        <f aca="false">AB109/AG109</f>
        <v>-0.00312857702185062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14743026</v>
      </c>
      <c r="AX109" s="7"/>
      <c r="AY109" s="39" t="n">
        <f aca="false">(AW109-AW108)/AW108</f>
        <v>0.00497928422533637</v>
      </c>
      <c r="AZ109" s="12" t="n">
        <f aca="false">workers_and_wage_high!B97</f>
        <v>9007.24840826915</v>
      </c>
      <c r="BA109" s="39" t="n">
        <f aca="false">(AZ109-AZ108)/AZ108</f>
        <v>0.00420200250953917</v>
      </c>
      <c r="BB109" s="38"/>
      <c r="BC109" s="38"/>
      <c r="BD109" s="38"/>
      <c r="BE109" s="38"/>
      <c r="BF109" s="7" t="n">
        <f aca="false">BF108*(1+AY109)*(1+BA109)*(1-BE109)</f>
        <v>151.650235202251</v>
      </c>
      <c r="BG109" s="7"/>
      <c r="BH109" s="7"/>
      <c r="BI109" s="39" t="n">
        <f aca="false">T116/AG116</f>
        <v>0.0129493249685289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3" t="n">
        <f aca="false">'High pensions'!Q110</f>
        <v>141524876.995282</v>
      </c>
      <c r="E110" s="6"/>
      <c r="F110" s="83" t="n">
        <f aca="false">'High pensions'!I110</f>
        <v>25723821.6557063</v>
      </c>
      <c r="G110" s="83" t="n">
        <f aca="false">'High pensions'!K110</f>
        <v>4553260.80256407</v>
      </c>
      <c r="H110" s="83" t="n">
        <f aca="false">'High pensions'!V110</f>
        <v>25050697.5065802</v>
      </c>
      <c r="I110" s="83" t="n">
        <f aca="false">'High pensions'!M110</f>
        <v>140822.49904837</v>
      </c>
      <c r="J110" s="83" t="n">
        <f aca="false">'High pensions'!W110</f>
        <v>774763.840409679</v>
      </c>
      <c r="K110" s="6"/>
      <c r="L110" s="83" t="n">
        <f aca="false">'High pensions'!N110</f>
        <v>3029219.44233788</v>
      </c>
      <c r="M110" s="8"/>
      <c r="N110" s="83" t="n">
        <f aca="false">'High pensions'!L110</f>
        <v>1220249.33885623</v>
      </c>
      <c r="O110" s="6"/>
      <c r="P110" s="83" t="n">
        <f aca="false">'High pensions'!X110</f>
        <v>22432085.9172208</v>
      </c>
      <c r="Q110" s="8"/>
      <c r="R110" s="83" t="n">
        <f aca="false">'High SIPA income'!G105</f>
        <v>29584394.019183</v>
      </c>
      <c r="S110" s="8"/>
      <c r="T110" s="83" t="n">
        <f aca="false">'High SIPA income'!J105</f>
        <v>113118494.662069</v>
      </c>
      <c r="U110" s="6"/>
      <c r="V110" s="83" t="n">
        <f aca="false">'High SIPA income'!F105</f>
        <v>166266.87780429</v>
      </c>
      <c r="W110" s="8"/>
      <c r="X110" s="83" t="n">
        <f aca="false">'High SIPA income'!M105</f>
        <v>417614.460973371</v>
      </c>
      <c r="Y110" s="6"/>
      <c r="Z110" s="6" t="n">
        <f aca="false">R110+V110-N110-L110-F110</f>
        <v>-222629.539913155</v>
      </c>
      <c r="AA110" s="6"/>
      <c r="AB110" s="6" t="n">
        <f aca="false">T110-P110-D110</f>
        <v>-50838468.250433</v>
      </c>
      <c r="AC110" s="50"/>
      <c r="AD110" s="6"/>
      <c r="AE110" s="6"/>
      <c r="AF110" s="6"/>
      <c r="AG110" s="6" t="n">
        <f aca="false">BF110/100*$AG$53</f>
        <v>8825247571.70354</v>
      </c>
      <c r="AH110" s="61" t="n">
        <f aca="false">(AG110-AG109)/AG109</f>
        <v>0.00117965274113711</v>
      </c>
      <c r="AI110" s="61"/>
      <c r="AJ110" s="61" t="n">
        <f aca="false">AB110/AG110</f>
        <v>-0.00576057134231982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0.00451000682997107</v>
      </c>
      <c r="AV110" s="5"/>
      <c r="AW110" s="5" t="n">
        <f aca="false">workers_and_wage_high!C98</f>
        <v>14705066</v>
      </c>
      <c r="AX110" s="5"/>
      <c r="AY110" s="61" t="n">
        <f aca="false">(AW110-AW109)/AW109</f>
        <v>-0.00257477671137526</v>
      </c>
      <c r="AZ110" s="11" t="n">
        <f aca="false">workers_and_wage_high!B98</f>
        <v>9041.15278317417</v>
      </c>
      <c r="BA110" s="61" t="n">
        <f aca="false">(AZ110-AZ109)/AZ109</f>
        <v>0.00376412122417914</v>
      </c>
      <c r="BB110" s="66"/>
      <c r="BC110" s="66"/>
      <c r="BD110" s="66"/>
      <c r="BE110" s="66"/>
      <c r="BF110" s="5" t="n">
        <f aca="false">BF109*(1+AY110)*(1+BA110)*(1-BE110)</f>
        <v>151.829129817901</v>
      </c>
      <c r="BG110" s="5"/>
      <c r="BH110" s="5"/>
      <c r="BI110" s="61" t="n">
        <f aca="false">T117/AG117</f>
        <v>0.0152594245123572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4" t="n">
        <f aca="false">'High pensions'!Q111</f>
        <v>141987784.953894</v>
      </c>
      <c r="E111" s="9"/>
      <c r="F111" s="84" t="n">
        <f aca="false">'High pensions'!I111</f>
        <v>25807960.6567299</v>
      </c>
      <c r="G111" s="84" t="n">
        <f aca="false">'High pensions'!K111</f>
        <v>4624482.25390552</v>
      </c>
      <c r="H111" s="84" t="n">
        <f aca="false">'High pensions'!V111</f>
        <v>25442536.9181355</v>
      </c>
      <c r="I111" s="84" t="n">
        <f aca="false">'High pensions'!M111</f>
        <v>143025.22434759</v>
      </c>
      <c r="J111" s="84" t="n">
        <f aca="false">'High pensions'!W111</f>
        <v>786882.585096957</v>
      </c>
      <c r="K111" s="9"/>
      <c r="L111" s="84" t="n">
        <f aca="false">'High pensions'!N111</f>
        <v>2403963.93919447</v>
      </c>
      <c r="M111" s="67"/>
      <c r="N111" s="84" t="n">
        <f aca="false">'High pensions'!L111</f>
        <v>1225073.13500831</v>
      </c>
      <c r="O111" s="9"/>
      <c r="P111" s="84" t="n">
        <f aca="false">'High pensions'!X111</f>
        <v>19214171.2422488</v>
      </c>
      <c r="Q111" s="67"/>
      <c r="R111" s="84" t="n">
        <f aca="false">'High SIPA income'!G106</f>
        <v>34960912.4455951</v>
      </c>
      <c r="S111" s="67"/>
      <c r="T111" s="84" t="n">
        <f aca="false">'High SIPA income'!J106</f>
        <v>133676078.857448</v>
      </c>
      <c r="U111" s="9"/>
      <c r="V111" s="84" t="n">
        <f aca="false">'High SIPA income'!F106</f>
        <v>160594.257179329</v>
      </c>
      <c r="W111" s="67"/>
      <c r="X111" s="84" t="n">
        <f aca="false">'High SIPA income'!M106</f>
        <v>403366.473425376</v>
      </c>
      <c r="Y111" s="9"/>
      <c r="Z111" s="9" t="n">
        <f aca="false">R111+V111-N111-L111-F111</f>
        <v>5684508.97184173</v>
      </c>
      <c r="AA111" s="9"/>
      <c r="AB111" s="9" t="n">
        <f aca="false">T111-P111-D111</f>
        <v>-27525877.3386952</v>
      </c>
      <c r="AC111" s="50"/>
      <c r="AD111" s="9"/>
      <c r="AE111" s="9"/>
      <c r="AF111" s="9"/>
      <c r="AG111" s="9" t="n">
        <f aca="false">BF111/100*$AG$53</f>
        <v>8882224420.32081</v>
      </c>
      <c r="AH111" s="39" t="n">
        <f aca="false">(AG111-AG110)/AG110</f>
        <v>0.00645611901018603</v>
      </c>
      <c r="AI111" s="39"/>
      <c r="AJ111" s="39" t="n">
        <f aca="false">AB111/AG111</f>
        <v>-0.00309898467277198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14749583</v>
      </c>
      <c r="AX111" s="7"/>
      <c r="AY111" s="39" t="n">
        <f aca="false">(AW111-AW110)/AW110</f>
        <v>0.00302732405281282</v>
      </c>
      <c r="AZ111" s="12" t="n">
        <f aca="false">workers_and_wage_high!B99</f>
        <v>9072.05947766633</v>
      </c>
      <c r="BA111" s="39" t="n">
        <f aca="false">(AZ111-AZ110)/AZ110</f>
        <v>0.0034184462129296</v>
      </c>
      <c r="BB111" s="38"/>
      <c r="BC111" s="38"/>
      <c r="BD111" s="38"/>
      <c r="BE111" s="38"/>
      <c r="BF111" s="7" t="n">
        <f aca="false">BF110*(1+AY111)*(1+BA111)*(1-BE111)</f>
        <v>152.809356749219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4" t="n">
        <f aca="false">'High pensions'!Q112</f>
        <v>141929374.886934</v>
      </c>
      <c r="E112" s="9"/>
      <c r="F112" s="84" t="n">
        <f aca="false">'High pensions'!I112</f>
        <v>25797343.9356467</v>
      </c>
      <c r="G112" s="84" t="n">
        <f aca="false">'High pensions'!K112</f>
        <v>4704014.78680894</v>
      </c>
      <c r="H112" s="84" t="n">
        <f aca="false">'High pensions'!V112</f>
        <v>25880101.4482792</v>
      </c>
      <c r="I112" s="84" t="n">
        <f aca="false">'High pensions'!M112</f>
        <v>145484.993406461</v>
      </c>
      <c r="J112" s="84" t="n">
        <f aca="false">'High pensions'!W112</f>
        <v>800415.508709657</v>
      </c>
      <c r="K112" s="9"/>
      <c r="L112" s="84" t="n">
        <f aca="false">'High pensions'!N112</f>
        <v>2357606.76893198</v>
      </c>
      <c r="M112" s="67"/>
      <c r="N112" s="84" t="n">
        <f aca="false">'High pensions'!L112</f>
        <v>1226351.11235174</v>
      </c>
      <c r="O112" s="9"/>
      <c r="P112" s="84" t="n">
        <f aca="false">'High pensions'!X112</f>
        <v>18980654.7196633</v>
      </c>
      <c r="Q112" s="67"/>
      <c r="R112" s="84" t="n">
        <f aca="false">'High SIPA income'!G107</f>
        <v>29949217.4471792</v>
      </c>
      <c r="S112" s="67"/>
      <c r="T112" s="84" t="n">
        <f aca="false">'High SIPA income'!J107</f>
        <v>114513428.658879</v>
      </c>
      <c r="U112" s="9"/>
      <c r="V112" s="84" t="n">
        <f aca="false">'High SIPA income'!F107</f>
        <v>170758.014112592</v>
      </c>
      <c r="W112" s="67"/>
      <c r="X112" s="84" t="n">
        <f aca="false">'High SIPA income'!M107</f>
        <v>428894.900549298</v>
      </c>
      <c r="Y112" s="9"/>
      <c r="Z112" s="9" t="n">
        <f aca="false">R112+V112-N112-L112-F112</f>
        <v>738673.644361395</v>
      </c>
      <c r="AA112" s="9"/>
      <c r="AB112" s="9" t="n">
        <f aca="false">T112-P112-D112</f>
        <v>-46396600.9477174</v>
      </c>
      <c r="AC112" s="50"/>
      <c r="AD112" s="9"/>
      <c r="AE112" s="9"/>
      <c r="AF112" s="9"/>
      <c r="AG112" s="9" t="n">
        <f aca="false">BF112/100*$AG$53</f>
        <v>8911843383.61945</v>
      </c>
      <c r="AH112" s="39" t="n">
        <f aca="false">(AG112-AG111)/AG111</f>
        <v>0.00333463352162879</v>
      </c>
      <c r="AI112" s="39"/>
      <c r="AJ112" s="39" t="n">
        <f aca="false">AB112/AG112</f>
        <v>-0.00520617328542795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14763966</v>
      </c>
      <c r="AX112" s="7"/>
      <c r="AY112" s="39" t="n">
        <f aca="false">(AW112-AW111)/AW111</f>
        <v>0.00097514621260818</v>
      </c>
      <c r="AZ112" s="12" t="n">
        <f aca="false">workers_and_wage_high!B100</f>
        <v>9093.44403380164</v>
      </c>
      <c r="BA112" s="39" t="n">
        <f aca="false">(AZ112-AZ111)/AZ111</f>
        <v>0.00235718870538214</v>
      </c>
      <c r="BB112" s="38"/>
      <c r="BC112" s="38"/>
      <c r="BD112" s="38"/>
      <c r="BE112" s="38"/>
      <c r="BF112" s="7" t="n">
        <f aca="false">BF111*(1+AY112)*(1+BA112)*(1-BE112)</f>
        <v>153.318919952653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4" t="n">
        <f aca="false">'High pensions'!Q113</f>
        <v>141885550.195515</v>
      </c>
      <c r="E113" s="9"/>
      <c r="F113" s="84" t="n">
        <f aca="false">'High pensions'!I113</f>
        <v>25789378.2792186</v>
      </c>
      <c r="G113" s="84" t="n">
        <f aca="false">'High pensions'!K113</f>
        <v>4794860.98066123</v>
      </c>
      <c r="H113" s="84" t="n">
        <f aca="false">'High pensions'!V113</f>
        <v>26379910.4028939</v>
      </c>
      <c r="I113" s="84" t="n">
        <f aca="false">'High pensions'!M113</f>
        <v>148294.66950499</v>
      </c>
      <c r="J113" s="84" t="n">
        <f aca="false">'High pensions'!W113</f>
        <v>815873.517615295</v>
      </c>
      <c r="K113" s="9"/>
      <c r="L113" s="84" t="n">
        <f aca="false">'High pensions'!N113</f>
        <v>2364243.24492185</v>
      </c>
      <c r="M113" s="67"/>
      <c r="N113" s="84" t="n">
        <f aca="false">'High pensions'!L113</f>
        <v>1227111.84995871</v>
      </c>
      <c r="O113" s="9"/>
      <c r="P113" s="84" t="n">
        <f aca="false">'High pensions'!X113</f>
        <v>19019276.7789829</v>
      </c>
      <c r="Q113" s="67"/>
      <c r="R113" s="84" t="n">
        <f aca="false">'High SIPA income'!G108</f>
        <v>35351252.3494135</v>
      </c>
      <c r="S113" s="67"/>
      <c r="T113" s="84" t="n">
        <f aca="false">'High SIPA income'!J108</f>
        <v>135168577.311121</v>
      </c>
      <c r="U113" s="9"/>
      <c r="V113" s="84" t="n">
        <f aca="false">'High SIPA income'!F108</f>
        <v>175661.358861215</v>
      </c>
      <c r="W113" s="67"/>
      <c r="X113" s="84" t="n">
        <f aca="false">'High SIPA income'!M108</f>
        <v>441210.688884322</v>
      </c>
      <c r="Y113" s="9"/>
      <c r="Z113" s="9" t="n">
        <f aca="false">R113+V113-N113-L113-F113</f>
        <v>6146180.33417564</v>
      </c>
      <c r="AA113" s="9"/>
      <c r="AB113" s="9" t="n">
        <f aca="false">T113-P113-D113</f>
        <v>-25736249.6633767</v>
      </c>
      <c r="AC113" s="50"/>
      <c r="AD113" s="9"/>
      <c r="AE113" s="9"/>
      <c r="AF113" s="9"/>
      <c r="AG113" s="9" t="n">
        <f aca="false">BF113/100*$AG$53</f>
        <v>8974846748.08309</v>
      </c>
      <c r="AH113" s="39" t="n">
        <f aca="false">(AG113-AG112)/AG112</f>
        <v>0.00706962204693233</v>
      </c>
      <c r="AI113" s="39" t="n">
        <f aca="false">(AG113-AG109)/AG109</f>
        <v>0.0181509218461834</v>
      </c>
      <c r="AJ113" s="39" t="n">
        <f aca="false">AB113/AG113</f>
        <v>-0.00286759767445318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14797155</v>
      </c>
      <c r="AX113" s="7"/>
      <c r="AY113" s="39" t="n">
        <f aca="false">(AW113-AW112)/AW112</f>
        <v>0.0022479732071992</v>
      </c>
      <c r="AZ113" s="12" t="n">
        <f aca="false">workers_and_wage_high!B101</f>
        <v>9137.19108547634</v>
      </c>
      <c r="BA113" s="39" t="n">
        <f aca="false">(AZ113-AZ112)/AZ112</f>
        <v>0.00481083421331739</v>
      </c>
      <c r="BB113" s="38"/>
      <c r="BC113" s="38"/>
      <c r="BD113" s="38"/>
      <c r="BE113" s="38"/>
      <c r="BF113" s="7" t="n">
        <f aca="false">BF112*(1+AY113)*(1+BA113)*(1-BE113)</f>
        <v>154.402826769362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3" t="n">
        <f aca="false">'High pensions'!Q114</f>
        <v>142299294.366355</v>
      </c>
      <c r="E114" s="6"/>
      <c r="F114" s="83" t="n">
        <f aca="false">'High pensions'!I114</f>
        <v>25864581.1798516</v>
      </c>
      <c r="G114" s="83" t="n">
        <f aca="false">'High pensions'!K114</f>
        <v>4865111.01790311</v>
      </c>
      <c r="H114" s="83" t="n">
        <f aca="false">'High pensions'!V114</f>
        <v>26766405.3806868</v>
      </c>
      <c r="I114" s="83" t="n">
        <f aca="false">'High pensions'!M114</f>
        <v>150467.35106917</v>
      </c>
      <c r="J114" s="83" t="n">
        <f aca="false">'High pensions'!W114</f>
        <v>827826.970536716</v>
      </c>
      <c r="K114" s="6"/>
      <c r="L114" s="83" t="n">
        <f aca="false">'High pensions'!N114</f>
        <v>2859295.13482989</v>
      </c>
      <c r="M114" s="8"/>
      <c r="N114" s="83" t="n">
        <f aca="false">'High pensions'!L114</f>
        <v>1231406.36084693</v>
      </c>
      <c r="O114" s="6"/>
      <c r="P114" s="83" t="n">
        <f aca="false">'High pensions'!X114</f>
        <v>21611730.5209148</v>
      </c>
      <c r="Q114" s="8"/>
      <c r="R114" s="83" t="n">
        <f aca="false">'High SIPA income'!G109</f>
        <v>30117941.2173045</v>
      </c>
      <c r="S114" s="8"/>
      <c r="T114" s="83" t="n">
        <f aca="false">'High SIPA income'!J109</f>
        <v>115158558.61753</v>
      </c>
      <c r="U114" s="6"/>
      <c r="V114" s="83" t="n">
        <f aca="false">'High SIPA income'!F109</f>
        <v>178843.862557944</v>
      </c>
      <c r="W114" s="8"/>
      <c r="X114" s="83" t="n">
        <f aca="false">'High SIPA income'!M109</f>
        <v>449204.220629229</v>
      </c>
      <c r="Y114" s="6"/>
      <c r="Z114" s="6" t="n">
        <f aca="false">R114+V114-N114-L114-F114</f>
        <v>341502.404334072</v>
      </c>
      <c r="AA114" s="6"/>
      <c r="AB114" s="6" t="n">
        <f aca="false">T114-P114-D114</f>
        <v>-48752466.2697399</v>
      </c>
      <c r="AC114" s="50"/>
      <c r="AD114" s="6"/>
      <c r="AE114" s="6"/>
      <c r="AF114" s="6"/>
      <c r="AG114" s="6" t="n">
        <f aca="false">BF114/100*$AG$53</f>
        <v>9019706851.47376</v>
      </c>
      <c r="AH114" s="61" t="n">
        <f aca="false">(AG114-AG113)/AG113</f>
        <v>0.00499842556088776</v>
      </c>
      <c r="AI114" s="61"/>
      <c r="AJ114" s="61" t="n">
        <f aca="false">AB114/AG114</f>
        <v>-0.0054051054066989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0.00650422261746179</v>
      </c>
      <c r="AV114" s="5"/>
      <c r="AW114" s="5" t="n">
        <f aca="false">workers_and_wage_high!C102</f>
        <v>14830211</v>
      </c>
      <c r="AX114" s="5"/>
      <c r="AY114" s="61" t="n">
        <f aca="false">(AW114-AW113)/AW113</f>
        <v>0.00223394294376182</v>
      </c>
      <c r="AZ114" s="11" t="n">
        <f aca="false">workers_and_wage_high!B102</f>
        <v>9162.39438866019</v>
      </c>
      <c r="BA114" s="61" t="n">
        <f aca="false">(AZ114-AZ113)/AZ113</f>
        <v>0.00275832068609267</v>
      </c>
      <c r="BB114" s="66"/>
      <c r="BC114" s="66"/>
      <c r="BD114" s="66"/>
      <c r="BE114" s="66"/>
      <c r="BF114" s="5" t="n">
        <f aca="false">BF113*(1+AY114)*(1+BA114)*(1-BE114)</f>
        <v>155.17459780536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4" t="n">
        <f aca="false">'High pensions'!Q115</f>
        <v>142595043.343397</v>
      </c>
      <c r="E115" s="9"/>
      <c r="F115" s="84" t="n">
        <f aca="false">'High pensions'!I115</f>
        <v>25918337.0572762</v>
      </c>
      <c r="G115" s="84" t="n">
        <f aca="false">'High pensions'!K115</f>
        <v>4909426.47612473</v>
      </c>
      <c r="H115" s="84" t="n">
        <f aca="false">'High pensions'!V115</f>
        <v>27010215.9566482</v>
      </c>
      <c r="I115" s="84" t="n">
        <f aca="false">'High pensions'!M115</f>
        <v>151837.93225128</v>
      </c>
      <c r="J115" s="84" t="n">
        <f aca="false">'High pensions'!W115</f>
        <v>835367.50381386</v>
      </c>
      <c r="K115" s="9"/>
      <c r="L115" s="84" t="n">
        <f aca="false">'High pensions'!N115</f>
        <v>2253103.9762777</v>
      </c>
      <c r="M115" s="67"/>
      <c r="N115" s="84" t="n">
        <f aca="false">'High pensions'!L115</f>
        <v>1234622.54712582</v>
      </c>
      <c r="O115" s="9"/>
      <c r="P115" s="84" t="n">
        <f aca="false">'High pensions'!X115</f>
        <v>18483896.225454</v>
      </c>
      <c r="Q115" s="67"/>
      <c r="R115" s="84" t="n">
        <f aca="false">'High SIPA income'!G110</f>
        <v>35882162.6335953</v>
      </c>
      <c r="S115" s="67"/>
      <c r="T115" s="84" t="n">
        <f aca="false">'High SIPA income'!J110</f>
        <v>137198558.797587</v>
      </c>
      <c r="U115" s="9"/>
      <c r="V115" s="84" t="n">
        <f aca="false">'High SIPA income'!F110</f>
        <v>173367.582007687</v>
      </c>
      <c r="W115" s="67"/>
      <c r="X115" s="84" t="n">
        <f aca="false">'High SIPA income'!M110</f>
        <v>435449.382742476</v>
      </c>
      <c r="Y115" s="9"/>
      <c r="Z115" s="9" t="n">
        <f aca="false">R115+V115-N115-L115-F115</f>
        <v>6649466.63492331</v>
      </c>
      <c r="AA115" s="9"/>
      <c r="AB115" s="9" t="n">
        <f aca="false">T115-P115-D115</f>
        <v>-23880380.7712641</v>
      </c>
      <c r="AC115" s="50"/>
      <c r="AD115" s="9"/>
      <c r="AE115" s="9"/>
      <c r="AF115" s="9"/>
      <c r="AG115" s="9" t="n">
        <f aca="false">BF115/100*$AG$53</f>
        <v>9097444804.17105</v>
      </c>
      <c r="AH115" s="39" t="n">
        <f aca="false">(AG115-AG114)/AG114</f>
        <v>0.00861867840910954</v>
      </c>
      <c r="AI115" s="39"/>
      <c r="AJ115" s="39" t="n">
        <f aca="false">AB115/AG115</f>
        <v>-0.00262495473018042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14878570</v>
      </c>
      <c r="AX115" s="7"/>
      <c r="AY115" s="39" t="n">
        <f aca="false">(AW115-AW114)/AW114</f>
        <v>0.00326084369264874</v>
      </c>
      <c r="AZ115" s="12" t="n">
        <f aca="false">workers_and_wage_high!B103</f>
        <v>9211.32542693413</v>
      </c>
      <c r="BA115" s="39" t="n">
        <f aca="false">(AZ115-AZ114)/AZ114</f>
        <v>0.00534042044015261</v>
      </c>
      <c r="BB115" s="38"/>
      <c r="BC115" s="38"/>
      <c r="BD115" s="38"/>
      <c r="BE115" s="38"/>
      <c r="BF115" s="7" t="n">
        <f aca="false">BF114*(1+AY115)*(1+BA115)*(1-BE115)</f>
        <v>156.511997761107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4" t="n">
        <f aca="false">'High pensions'!Q116</f>
        <v>143289933.433734</v>
      </c>
      <c r="E116" s="9"/>
      <c r="F116" s="84" t="n">
        <f aca="false">'High pensions'!I116</f>
        <v>26044641.5567653</v>
      </c>
      <c r="G116" s="84" t="n">
        <f aca="false">'High pensions'!K116</f>
        <v>4963218.492217</v>
      </c>
      <c r="H116" s="84" t="n">
        <f aca="false">'High pensions'!V116</f>
        <v>27306163.7579772</v>
      </c>
      <c r="I116" s="84" t="n">
        <f aca="false">'High pensions'!M116</f>
        <v>153501.60285208</v>
      </c>
      <c r="J116" s="84" t="n">
        <f aca="false">'High pensions'!W116</f>
        <v>844520.528597277</v>
      </c>
      <c r="K116" s="9"/>
      <c r="L116" s="84" t="n">
        <f aca="false">'High pensions'!N116</f>
        <v>2221941.49637242</v>
      </c>
      <c r="M116" s="67"/>
      <c r="N116" s="84" t="n">
        <f aca="false">'High pensions'!L116</f>
        <v>1241719.16582112</v>
      </c>
      <c r="O116" s="9"/>
      <c r="P116" s="84" t="n">
        <f aca="false">'High pensions'!X116</f>
        <v>18361237.4713059</v>
      </c>
      <c r="Q116" s="67"/>
      <c r="R116" s="84" t="n">
        <f aca="false">'High SIPA income'!G111</f>
        <v>31017164.5698999</v>
      </c>
      <c r="S116" s="67"/>
      <c r="T116" s="84" t="n">
        <f aca="false">'High SIPA income'!J111</f>
        <v>118596817.043395</v>
      </c>
      <c r="U116" s="9"/>
      <c r="V116" s="84" t="n">
        <f aca="false">'High SIPA income'!F111</f>
        <v>167211.817638966</v>
      </c>
      <c r="W116" s="67"/>
      <c r="X116" s="84" t="n">
        <f aca="false">'High SIPA income'!M111</f>
        <v>419987.877404363</v>
      </c>
      <c r="Y116" s="9"/>
      <c r="Z116" s="9" t="n">
        <f aca="false">R116+V116-N116-L116-F116</f>
        <v>1676074.16858005</v>
      </c>
      <c r="AA116" s="9"/>
      <c r="AB116" s="9" t="n">
        <f aca="false">T116-P116-D116</f>
        <v>-43054353.8616451</v>
      </c>
      <c r="AC116" s="50"/>
      <c r="AD116" s="9"/>
      <c r="AE116" s="9"/>
      <c r="AF116" s="9"/>
      <c r="AG116" s="9" t="n">
        <f aca="false">BF116/100*$AG$53</f>
        <v>9158532767.66347</v>
      </c>
      <c r="AH116" s="39" t="n">
        <f aca="false">(AG116-AG115)/AG115</f>
        <v>0.00671484848849037</v>
      </c>
      <c r="AI116" s="39"/>
      <c r="AJ116" s="39" t="n">
        <f aca="false">AB116/AG116</f>
        <v>-0.00470100997112326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14910367</v>
      </c>
      <c r="AX116" s="7"/>
      <c r="AY116" s="39" t="n">
        <f aca="false">(AW116-AW115)/AW115</f>
        <v>0.00213710054124825</v>
      </c>
      <c r="AZ116" s="12" t="n">
        <f aca="false">workers_and_wage_high!B104</f>
        <v>9253.40262978567</v>
      </c>
      <c r="BA116" s="39" t="n">
        <f aca="false">(AZ116-AZ115)/AZ115</f>
        <v>0.00456798570252502</v>
      </c>
      <c r="BB116" s="38"/>
      <c r="BC116" s="38"/>
      <c r="BD116" s="38"/>
      <c r="BE116" s="38"/>
      <c r="BF116" s="7" t="n">
        <f aca="false">BF115*(1+AY116)*(1+BA116)*(1-BE116)</f>
        <v>157.562952112704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4" t="n">
        <f aca="false">'High pensions'!Q117</f>
        <v>144537949.129141</v>
      </c>
      <c r="E117" s="9"/>
      <c r="F117" s="84" t="n">
        <f aca="false">'High pensions'!I117</f>
        <v>26271483.182448</v>
      </c>
      <c r="G117" s="84" t="n">
        <f aca="false">'High pensions'!K117</f>
        <v>5069250.55929276</v>
      </c>
      <c r="H117" s="84" t="n">
        <f aca="false">'High pensions'!V117</f>
        <v>27889520.9065105</v>
      </c>
      <c r="I117" s="84" t="n">
        <f aca="false">'High pensions'!M117</f>
        <v>156780.945132771</v>
      </c>
      <c r="J117" s="84" t="n">
        <f aca="false">'High pensions'!W117</f>
        <v>862562.502263238</v>
      </c>
      <c r="K117" s="9"/>
      <c r="L117" s="84" t="n">
        <f aca="false">'High pensions'!N117</f>
        <v>2229333.40878407</v>
      </c>
      <c r="M117" s="67"/>
      <c r="N117" s="84" t="n">
        <f aca="false">'High pensions'!L117</f>
        <v>1254731.70090783</v>
      </c>
      <c r="O117" s="9"/>
      <c r="P117" s="84" t="n">
        <f aca="false">'High pensions'!X117</f>
        <v>18471185.2686781</v>
      </c>
      <c r="Q117" s="67"/>
      <c r="R117" s="84" t="n">
        <f aca="false">'High SIPA income'!G112</f>
        <v>36758270.169412</v>
      </c>
      <c r="S117" s="67"/>
      <c r="T117" s="84" t="n">
        <f aca="false">'High SIPA income'!J112</f>
        <v>140548431.894511</v>
      </c>
      <c r="U117" s="9"/>
      <c r="V117" s="84" t="n">
        <f aca="false">'High SIPA income'!F112</f>
        <v>163612.525344445</v>
      </c>
      <c r="W117" s="67"/>
      <c r="X117" s="84" t="n">
        <f aca="false">'High SIPA income'!M112</f>
        <v>410947.492865289</v>
      </c>
      <c r="Y117" s="9"/>
      <c r="Z117" s="9" t="n">
        <f aca="false">R117+V117-N117-L117-F117</f>
        <v>7166334.4026165</v>
      </c>
      <c r="AA117" s="9"/>
      <c r="AB117" s="9" t="n">
        <f aca="false">T117-P117-D117</f>
        <v>-22460702.5033073</v>
      </c>
      <c r="AC117" s="50"/>
      <c r="AD117" s="9"/>
      <c r="AE117" s="9"/>
      <c r="AF117" s="9"/>
      <c r="AG117" s="9" t="n">
        <f aca="false">BF117/100*$AG$53</f>
        <v>9210598458.72264</v>
      </c>
      <c r="AH117" s="39" t="n">
        <f aca="false">(AG117-AG116)/AG116</f>
        <v>0.00568493801135951</v>
      </c>
      <c r="AI117" s="39" t="n">
        <f aca="false">(AG117-AG113)/AG113</f>
        <v>0.0262680486092869</v>
      </c>
      <c r="AJ117" s="39" t="n">
        <f aca="false">AB117/AG117</f>
        <v>-0.00243857145699762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14930737</v>
      </c>
      <c r="AX117" s="7"/>
      <c r="AY117" s="39" t="n">
        <f aca="false">(AW117-AW116)/AW116</f>
        <v>0.00136616355586687</v>
      </c>
      <c r="AZ117" s="12" t="n">
        <f aca="false">workers_and_wage_high!B105</f>
        <v>9293.31146669104</v>
      </c>
      <c r="BA117" s="39" t="n">
        <f aca="false">(AZ117-AZ116)/AZ116</f>
        <v>0.00431288235280152</v>
      </c>
      <c r="BB117" s="38"/>
      <c r="BC117" s="38"/>
      <c r="BD117" s="38"/>
      <c r="BE117" s="38"/>
      <c r="BF117" s="7" t="n">
        <f aca="false">BF116*(1+AY117)*(1+BA117)*(1-BE117)</f>
        <v>158.458687728351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144.873220282186</v>
      </c>
    </row>
    <row r="119" customFormat="false" ht="12.8" hidden="false" customHeight="false" outlineLevel="0" collapsed="false">
      <c r="AI119" s="31" t="n">
        <f aca="false">AVERAGE(AI29:AI117)</f>
        <v>0.0282981171544723</v>
      </c>
      <c r="BF119" s="0" t="s">
        <v>112</v>
      </c>
    </row>
    <row r="120" customFormat="false" ht="12.8" hidden="false" customHeight="false" outlineLevel="0" collapsed="false">
      <c r="AI120" s="31" t="n">
        <f aca="false">'Central scenario'!AI119</f>
        <v>0.0213337156428515</v>
      </c>
      <c r="AJ120" s="31" t="n">
        <f aca="false">AI119-AI120</f>
        <v>0.00696440151162081</v>
      </c>
    </row>
    <row r="121" customFormat="false" ht="12.8" hidden="false" customHeight="false" outlineLevel="0" collapsed="false">
      <c r="AI121" s="31" t="n">
        <f aca="false">'Low scenario'!AI119</f>
        <v>0.0157950791106792</v>
      </c>
      <c r="AJ121" s="31" t="n">
        <f aca="false">AI120-AI121</f>
        <v>0.00553863653217229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I1" colorId="64" zoomScale="65" zoomScaleNormal="65" zoomScalePageLayoutView="100" workbookViewId="0">
      <selection pane="topLeft" activeCell="D13" activeCellId="0" sqref="D13"/>
    </sheetView>
  </sheetViews>
  <sheetFormatPr defaultColWidth="9.00390625" defaultRowHeight="12.8" zeroHeight="false" outlineLevelRow="0" outlineLevelCol="0"/>
  <sheetData>
    <row r="1" customFormat="false" ht="12.8" hidden="false" customHeight="false" outlineLevel="0" collapsed="false">
      <c r="B1" s="0" t="s">
        <v>113</v>
      </c>
      <c r="E1" s="0" t="s">
        <v>114</v>
      </c>
      <c r="G1" s="0" t="s">
        <v>115</v>
      </c>
    </row>
    <row r="3" customFormat="false" ht="58.75" hidden="false" customHeight="true" outlineLevel="0" collapsed="false">
      <c r="B3" s="45" t="s">
        <v>116</v>
      </c>
      <c r="C3" s="45" t="s">
        <v>117</v>
      </c>
      <c r="D3" s="45" t="s">
        <v>118</v>
      </c>
      <c r="E3" s="45" t="s">
        <v>119</v>
      </c>
      <c r="F3" s="45" t="s">
        <v>120</v>
      </c>
      <c r="G3" s="45" t="s">
        <v>121</v>
      </c>
    </row>
    <row r="4" customFormat="false" ht="12.8" hidden="false" customHeight="false" outlineLevel="0" collapsed="false">
      <c r="A4" s="47"/>
      <c r="B4" s="47"/>
      <c r="C4" s="47"/>
    </row>
    <row r="5" customFormat="false" ht="12.8" hidden="false" customHeight="false" outlineLevel="0" collapsed="false">
      <c r="A5" s="47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1" t="n">
        <f aca="false">'Low scenario'!AL3</f>
        <v>-0.0196925047215125</v>
      </c>
      <c r="E5" s="31" t="n">
        <f aca="false">'Low scenario'!BO3</f>
        <v>-0.0196925047215125</v>
      </c>
      <c r="F5" s="31" t="n">
        <f aca="false">'High scenario'!AL3</f>
        <v>-0.0196925047215125</v>
      </c>
      <c r="G5" s="31" t="n">
        <f aca="false">'High scenario'!BO3</f>
        <v>-0.0196925047215125</v>
      </c>
    </row>
    <row r="6" customFormat="false" ht="12.8" hidden="false" customHeight="false" outlineLevel="0" collapsed="false">
      <c r="A6" s="47" t="n">
        <v>2015</v>
      </c>
      <c r="B6" s="52" t="n">
        <f aca="false">'Central scenario'!AL4</f>
        <v>-0.0328743672773598</v>
      </c>
      <c r="C6" s="52" t="n">
        <f aca="false">'Central scenario'!BO4</f>
        <v>-0.0328743672773598</v>
      </c>
      <c r="D6" s="31" t="n">
        <f aca="false">'Low scenario'!AL4</f>
        <v>-0.0328674520568732</v>
      </c>
      <c r="E6" s="31" t="n">
        <f aca="false">'Low scenario'!BO4</f>
        <v>-0.0328674520568732</v>
      </c>
      <c r="F6" s="31" t="n">
        <f aca="false">'High scenario'!AL4</f>
        <v>-0.0328674520568732</v>
      </c>
      <c r="G6" s="31" t="n">
        <f aca="false">'High scenario'!BO4</f>
        <v>-0.0328674520568732</v>
      </c>
    </row>
    <row r="7" customFormat="false" ht="12.8" hidden="false" customHeight="false" outlineLevel="0" collapsed="false">
      <c r="A7" s="47" t="n">
        <v>2016</v>
      </c>
      <c r="B7" s="52" t="n">
        <f aca="false">'Central scenario'!AL5</f>
        <v>-0.0327708635680787</v>
      </c>
      <c r="C7" s="52" t="n">
        <f aca="false">'Central scenario'!BO5</f>
        <v>-0.032810831540528</v>
      </c>
      <c r="D7" s="31" t="n">
        <f aca="false">'Low scenario'!AL5</f>
        <v>-0.0327691279382023</v>
      </c>
      <c r="E7" s="31" t="n">
        <f aca="false">'Low scenario'!BO5</f>
        <v>-0.0328090959106516</v>
      </c>
      <c r="F7" s="31" t="n">
        <f aca="false">'High scenario'!AL5</f>
        <v>-0.0327691279382023</v>
      </c>
      <c r="G7" s="31" t="n">
        <f aca="false">'High scenario'!BO5</f>
        <v>-0.0328090959106516</v>
      </c>
    </row>
    <row r="8" customFormat="false" ht="12.8" hidden="false" customHeight="false" outlineLevel="0" collapsed="false">
      <c r="A8" s="47" t="n">
        <v>2017</v>
      </c>
      <c r="B8" s="52" t="n">
        <f aca="false">'Central scenario'!AL6</f>
        <v>-0.0365169666578661</v>
      </c>
      <c r="C8" s="52" t="n">
        <f aca="false">'Central scenario'!BO6</f>
        <v>-0.03705978870982</v>
      </c>
      <c r="D8" s="31" t="n">
        <f aca="false">'Low scenario'!AL6</f>
        <v>-0.0365104009407957</v>
      </c>
      <c r="E8" s="31" t="n">
        <f aca="false">'Low scenario'!BO6</f>
        <v>-0.0370532229927496</v>
      </c>
      <c r="F8" s="31" t="n">
        <f aca="false">'High scenario'!AL6</f>
        <v>-0.0365058558565986</v>
      </c>
      <c r="G8" s="31" t="n">
        <f aca="false">'High scenario'!BO6</f>
        <v>-0.0370486779085525</v>
      </c>
    </row>
    <row r="9" customFormat="false" ht="12.8" hidden="false" customHeight="false" outlineLevel="0" collapsed="false">
      <c r="A9" s="47" t="n">
        <f aca="false">A8+1</f>
        <v>2018</v>
      </c>
      <c r="B9" s="52" t="n">
        <f aca="false">'Central scenario'!AL7</f>
        <v>-0.0361426653492926</v>
      </c>
      <c r="C9" s="52" t="n">
        <f aca="false">'Central scenario'!BO7</f>
        <v>-0.0370938394344344</v>
      </c>
      <c r="D9" s="31" t="n">
        <f aca="false">'Low scenario'!AL7</f>
        <v>-0.0361371398082894</v>
      </c>
      <c r="E9" s="31" t="n">
        <f aca="false">'Low scenario'!BO7</f>
        <v>-0.0370883138934312</v>
      </c>
      <c r="F9" s="31" t="n">
        <f aca="false">'High scenario'!AL7</f>
        <v>-0.0369519993944059</v>
      </c>
      <c r="G9" s="31" t="n">
        <f aca="false">'High scenario'!BO7</f>
        <v>-0.0379031734795477</v>
      </c>
    </row>
    <row r="10" customFormat="false" ht="12.8" hidden="false" customHeight="false" outlineLevel="0" collapsed="false">
      <c r="A10" s="47" t="n">
        <f aca="false">A9+1</f>
        <v>2019</v>
      </c>
      <c r="B10" s="52" t="n">
        <f aca="false">'Central scenario'!AL8</f>
        <v>-0.0380967042071711</v>
      </c>
      <c r="C10" s="52" t="n">
        <f aca="false">'Central scenario'!BO8</f>
        <v>-0.0389618692416923</v>
      </c>
      <c r="D10" s="31" t="n">
        <f aca="false">'Low scenario'!AL8</f>
        <v>-0.0380464305446672</v>
      </c>
      <c r="E10" s="31" t="n">
        <f aca="false">'Low scenario'!BO8</f>
        <v>-0.0389115955791884</v>
      </c>
      <c r="F10" s="31" t="n">
        <f aca="false">'High scenario'!AL8</f>
        <v>-0.0387378212667812</v>
      </c>
      <c r="G10" s="31" t="n">
        <f aca="false">'High scenario'!BO8</f>
        <v>-0.0395980304282642</v>
      </c>
    </row>
    <row r="11" customFormat="false" ht="12.8" hidden="false" customHeight="false" outlineLevel="0" collapsed="false">
      <c r="A11" s="47" t="n">
        <f aca="false">A10+1</f>
        <v>2020</v>
      </c>
      <c r="B11" s="52" t="n">
        <f aca="false">'Central scenario'!AL9</f>
        <v>-0.0562345782289308</v>
      </c>
      <c r="C11" s="52" t="n">
        <f aca="false">'Central scenario'!BO9</f>
        <v>-0.0576229587014566</v>
      </c>
      <c r="D11" s="31" t="n">
        <f aca="false">'Low scenario'!AL9</f>
        <v>-0.0558959021648407</v>
      </c>
      <c r="E11" s="31" t="n">
        <f aca="false">'Low scenario'!BO9</f>
        <v>-0.0572711052728116</v>
      </c>
      <c r="F11" s="31" t="n">
        <f aca="false">'High scenario'!AL9</f>
        <v>-0.0553414834807925</v>
      </c>
      <c r="G11" s="31" t="n">
        <f aca="false">'High scenario'!BO9</f>
        <v>-0.0566884934792722</v>
      </c>
    </row>
    <row r="12" customFormat="false" ht="12.8" hidden="false" customHeight="false" outlineLevel="0" collapsed="false">
      <c r="A12" s="47" t="n">
        <f aca="false">A11+1</f>
        <v>2021</v>
      </c>
      <c r="B12" s="52" t="n">
        <f aca="false">'Central scenario'!AL10</f>
        <v>-0.0500378980122892</v>
      </c>
      <c r="C12" s="52" t="n">
        <f aca="false">'Central scenario'!BO10</f>
        <v>-0.0516712536052569</v>
      </c>
      <c r="D12" s="31" t="n">
        <f aca="false">'Low scenario'!AL10</f>
        <v>-0.0517222691929106</v>
      </c>
      <c r="E12" s="31" t="n">
        <f aca="false">'Low scenario'!BO10</f>
        <v>-0.0533397059096766</v>
      </c>
      <c r="F12" s="31" t="n">
        <f aca="false">'High scenario'!AL10</f>
        <v>-0.0487956134825102</v>
      </c>
      <c r="G12" s="31" t="n">
        <f aca="false">'High scenario'!BO10</f>
        <v>-0.0504657687289369</v>
      </c>
    </row>
    <row r="13" customFormat="false" ht="12.8" hidden="false" customHeight="false" outlineLevel="0" collapsed="false">
      <c r="A13" s="47" t="n">
        <f aca="false">A12+1</f>
        <v>2022</v>
      </c>
      <c r="B13" s="52" t="n">
        <f aca="false">'Central scenario'!AL11</f>
        <v>-0.0520371676100906</v>
      </c>
      <c r="C13" s="52" t="n">
        <f aca="false">'Central scenario'!BO11</f>
        <v>-0.0540386642191719</v>
      </c>
      <c r="D13" s="31" t="n">
        <f aca="false">'Low scenario'!AL11</f>
        <v>-0.0550624889869786</v>
      </c>
      <c r="E13" s="31" t="n">
        <f aca="false">'Low scenario'!BO11</f>
        <v>-0.0570393744462874</v>
      </c>
      <c r="F13" s="31" t="n">
        <f aca="false">'High scenario'!AL11</f>
        <v>-0.0485930420908279</v>
      </c>
      <c r="G13" s="31" t="n">
        <f aca="false">'High scenario'!BO11</f>
        <v>-0.0506737358863276</v>
      </c>
    </row>
    <row r="14" customFormat="false" ht="12.8" hidden="false" customHeight="false" outlineLevel="0" collapsed="false">
      <c r="A14" s="47" t="n">
        <f aca="false">A13+1</f>
        <v>2023</v>
      </c>
      <c r="B14" s="52" t="n">
        <f aca="false">'Central scenario'!AL12</f>
        <v>-0.0509326658114668</v>
      </c>
      <c r="C14" s="52" t="n">
        <f aca="false">'Central scenario'!BO12</f>
        <v>-0.0531317453924609</v>
      </c>
      <c r="D14" s="31" t="n">
        <f aca="false">'Low scenario'!AL12</f>
        <v>-0.0523630247227208</v>
      </c>
      <c r="E14" s="31" t="n">
        <f aca="false">'Low scenario'!BO12</f>
        <v>-0.0544678306234717</v>
      </c>
      <c r="F14" s="31" t="n">
        <f aca="false">'High scenario'!AL12</f>
        <v>-0.046447340235686</v>
      </c>
      <c r="G14" s="31" t="n">
        <f aca="false">'High scenario'!BO12</f>
        <v>-0.0487567953053068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-0.0504837629033437</v>
      </c>
      <c r="C15" s="59" t="n">
        <f aca="false">'Central scenario'!BO13</f>
        <v>-0.052989444370729</v>
      </c>
      <c r="D15" s="31" t="n">
        <f aca="false">'Low scenario'!AL13</f>
        <v>-0.0533393645949194</v>
      </c>
      <c r="E15" s="31" t="n">
        <f aca="false">'Low scenario'!BO13</f>
        <v>-0.0557325137980316</v>
      </c>
      <c r="F15" s="31" t="n">
        <f aca="false">'High scenario'!AL13</f>
        <v>-0.0450131228504988</v>
      </c>
      <c r="G15" s="31" t="n">
        <f aca="false">'High scenario'!BO13</f>
        <v>-0.0475975113182489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-0.0496359541451262</v>
      </c>
      <c r="C16" s="63" t="n">
        <f aca="false">'Central scenario'!BO14</f>
        <v>-0.0531112798901277</v>
      </c>
      <c r="D16" s="31" t="n">
        <f aca="false">'Low scenario'!AL14</f>
        <v>-0.052912482795275</v>
      </c>
      <c r="E16" s="31" t="n">
        <f aca="false">'Low scenario'!BO14</f>
        <v>-0.0561931866127094</v>
      </c>
      <c r="F16" s="31" t="n">
        <f aca="false">'High scenario'!AL14</f>
        <v>-0.0440685615047917</v>
      </c>
      <c r="G16" s="31" t="n">
        <f aca="false">'High scenario'!BO14</f>
        <v>-0.0475576621402786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-0.0488043468945238</v>
      </c>
      <c r="C17" s="69" t="n">
        <f aca="false">'Central scenario'!BO15</f>
        <v>-0.05344156530533</v>
      </c>
      <c r="D17" s="31" t="n">
        <f aca="false">'Low scenario'!AL15</f>
        <v>-0.0506416965629547</v>
      </c>
      <c r="E17" s="31" t="n">
        <f aca="false">'Low scenario'!BO15</f>
        <v>-0.0550686880022906</v>
      </c>
      <c r="F17" s="31" t="n">
        <f aca="false">'High scenario'!AL15</f>
        <v>-0.0425541908621744</v>
      </c>
      <c r="G17" s="31" t="n">
        <f aca="false">'High scenario'!BO15</f>
        <v>-0.047097773218508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-0.0478605013314111</v>
      </c>
      <c r="C18" s="69" t="n">
        <f aca="false">'Central scenario'!BO16</f>
        <v>-0.053255624609348</v>
      </c>
      <c r="D18" s="31" t="n">
        <f aca="false">'Low scenario'!AL16</f>
        <v>-0.0484191804113517</v>
      </c>
      <c r="E18" s="31" t="n">
        <f aca="false">'Low scenario'!BO16</f>
        <v>-0.0535398662975141</v>
      </c>
      <c r="F18" s="31" t="n">
        <f aca="false">'High scenario'!AL16</f>
        <v>-0.0397386665667918</v>
      </c>
      <c r="G18" s="31" t="n">
        <f aca="false">'High scenario'!BO16</f>
        <v>-0.0449943415305533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-0.045921853970256</v>
      </c>
      <c r="C19" s="69" t="n">
        <f aca="false">'Central scenario'!BO17</f>
        <v>-0.0520882190278355</v>
      </c>
      <c r="D19" s="31" t="n">
        <f aca="false">'Low scenario'!AL17</f>
        <v>-0.047556319458337</v>
      </c>
      <c r="E19" s="31" t="n">
        <f aca="false">'Low scenario'!BO17</f>
        <v>-0.053555296177735</v>
      </c>
      <c r="F19" s="31" t="n">
        <f aca="false">'High scenario'!AL17</f>
        <v>-0.0374629219755546</v>
      </c>
      <c r="G19" s="31" t="n">
        <f aca="false">'High scenario'!BO17</f>
        <v>-0.0436043636872905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-0.0436541552961493</v>
      </c>
      <c r="C20" s="63" t="n">
        <f aca="false">'Central scenario'!BO18</f>
        <v>-0.0506038875342466</v>
      </c>
      <c r="D20" s="31" t="n">
        <f aca="false">'Low scenario'!AL18</f>
        <v>-0.0466118051691217</v>
      </c>
      <c r="E20" s="31" t="n">
        <f aca="false">'Low scenario'!BO18</f>
        <v>-0.0534272241391178</v>
      </c>
      <c r="F20" s="31" t="n">
        <f aca="false">'High scenario'!AL18</f>
        <v>-0.0344015588675075</v>
      </c>
      <c r="G20" s="31" t="n">
        <f aca="false">'High scenario'!BO18</f>
        <v>-0.0411396290948325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-0.0418071455186446</v>
      </c>
      <c r="C21" s="69" t="n">
        <f aca="false">'Central scenario'!BO19</f>
        <v>-0.049284813418399</v>
      </c>
      <c r="D21" s="31" t="n">
        <f aca="false">'Low scenario'!AL19</f>
        <v>-0.0450233917717058</v>
      </c>
      <c r="E21" s="31" t="n">
        <f aca="false">'Low scenario'!BO19</f>
        <v>-0.0523944443153635</v>
      </c>
      <c r="F21" s="31" t="n">
        <f aca="false">'High scenario'!AL19</f>
        <v>-0.0319993260386157</v>
      </c>
      <c r="G21" s="31" t="n">
        <f aca="false">'High scenario'!BO19</f>
        <v>-0.0391844829862921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-0.0401990889718998</v>
      </c>
      <c r="C22" s="69" t="n">
        <f aca="false">'Central scenario'!BO20</f>
        <v>-0.0483218596288229</v>
      </c>
      <c r="D22" s="31" t="n">
        <f aca="false">'Low scenario'!AL20</f>
        <v>-0.0452512641744778</v>
      </c>
      <c r="E22" s="31" t="n">
        <f aca="false">'Low scenario'!BO20</f>
        <v>-0.0532692482928818</v>
      </c>
      <c r="F22" s="31" t="n">
        <f aca="false">'High scenario'!AL20</f>
        <v>-0.030218419478595</v>
      </c>
      <c r="G22" s="31" t="n">
        <f aca="false">'High scenario'!BO20</f>
        <v>-0.0378587193840845</v>
      </c>
      <c r="H22" s="31" t="n">
        <f aca="false">B31-D31</f>
        <v>0.0130087262024201</v>
      </c>
      <c r="I22" s="31" t="n">
        <f aca="false">C31-E31</f>
        <v>0.0146022889437895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-0.0388727079139784</v>
      </c>
      <c r="C23" s="69" t="n">
        <f aca="false">'Central scenario'!BO21</f>
        <v>-0.0479001265449554</v>
      </c>
      <c r="D23" s="31" t="n">
        <f aca="false">'Low scenario'!AL21</f>
        <v>-0.0447762199424323</v>
      </c>
      <c r="E23" s="31" t="n">
        <f aca="false">'Low scenario'!BO21</f>
        <v>-0.0535076093400767</v>
      </c>
      <c r="F23" s="31" t="n">
        <f aca="false">'High scenario'!AL21</f>
        <v>-0.0278552664692163</v>
      </c>
      <c r="G23" s="31" t="n">
        <f aca="false">'High scenario'!BO21</f>
        <v>-0.0361462482113941</v>
      </c>
      <c r="H23" s="31" t="n">
        <f aca="false">B31-F31</f>
        <v>-0.013335918767179</v>
      </c>
      <c r="I23" s="31" t="n">
        <f aca="false">C31-G31</f>
        <v>-0.0147881134972994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-0.0366991504149053</v>
      </c>
      <c r="C24" s="63" t="n">
        <f aca="false">'Central scenario'!BO22</f>
        <v>-0.046514291008987</v>
      </c>
      <c r="D24" s="31" t="n">
        <f aca="false">'Low scenario'!AL22</f>
        <v>-0.0440367613855992</v>
      </c>
      <c r="E24" s="31" t="n">
        <f aca="false">'Low scenario'!BO22</f>
        <v>-0.0535200526119662</v>
      </c>
      <c r="F24" s="31" t="n">
        <f aca="false">'High scenario'!AL22</f>
        <v>-0.0255110722386043</v>
      </c>
      <c r="G24" s="31" t="n">
        <f aca="false">'High scenario'!BO22</f>
        <v>-0.0344988310796388</v>
      </c>
      <c r="H24" s="31" t="n">
        <f aca="false">H22-I22</f>
        <v>-0.00159356274136938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-0.0351613639643827</v>
      </c>
      <c r="C25" s="69" t="n">
        <f aca="false">'Central scenario'!BO23</f>
        <v>-0.0455328924145566</v>
      </c>
      <c r="D25" s="31" t="n">
        <f aca="false">'Low scenario'!AL23</f>
        <v>-0.0441157441115753</v>
      </c>
      <c r="E25" s="31" t="n">
        <f aca="false">'Low scenario'!BO23</f>
        <v>-0.0544781586545658</v>
      </c>
      <c r="F25" s="31" t="n">
        <f aca="false">'High scenario'!AL23</f>
        <v>-0.0233691424275621</v>
      </c>
      <c r="G25" s="31" t="n">
        <f aca="false">'High scenario'!BO23</f>
        <v>-0.0328411654536067</v>
      </c>
      <c r="H25" s="31" t="n">
        <f aca="false">H23-I23</f>
        <v>0.00145219473012042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-0.0340077796405499</v>
      </c>
      <c r="C26" s="69" t="n">
        <f aca="false">'Central scenario'!BO24</f>
        <v>-0.0449074665424417</v>
      </c>
      <c r="D26" s="31" t="n">
        <f aca="false">'Low scenario'!AL24</f>
        <v>-0.0431914134798814</v>
      </c>
      <c r="E26" s="31" t="n">
        <f aca="false">'Low scenario'!BO24</f>
        <v>-0.0543646936696599</v>
      </c>
      <c r="F26" s="31" t="n">
        <f aca="false">'High scenario'!AL24</f>
        <v>-0.0219637123150067</v>
      </c>
      <c r="G26" s="31" t="n">
        <f aca="false">'High scenario'!BO24</f>
        <v>-0.0318247062669855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-0.0329809412870478</v>
      </c>
      <c r="C27" s="69" t="n">
        <f aca="false">'Central scenario'!BO25</f>
        <v>-0.0444409154130351</v>
      </c>
      <c r="D27" s="31" t="n">
        <f aca="false">'Low scenario'!AL25</f>
        <v>-0.0429413459071981</v>
      </c>
      <c r="E27" s="31" t="n">
        <f aca="false">'Low scenario'!BO25</f>
        <v>-0.0548601804386026</v>
      </c>
      <c r="F27" s="31" t="n">
        <f aca="false">'High scenario'!AL25</f>
        <v>-0.0206196441007996</v>
      </c>
      <c r="G27" s="31" t="n">
        <f aca="false">'High scenario'!BO25</f>
        <v>-0.0310378431698652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-0.0315220042885188</v>
      </c>
      <c r="C28" s="63" t="n">
        <f aca="false">'Central scenario'!BO26</f>
        <v>-0.0436665802261429</v>
      </c>
      <c r="D28" s="31" t="n">
        <f aca="false">'Low scenario'!AL26</f>
        <v>-0.0426291818561818</v>
      </c>
      <c r="E28" s="31" t="n">
        <f aca="false">'Low scenario'!BO26</f>
        <v>-0.0554356697682636</v>
      </c>
      <c r="F28" s="31" t="n">
        <f aca="false">'High scenario'!AL26</f>
        <v>-0.0187049713039203</v>
      </c>
      <c r="G28" s="31" t="n">
        <f aca="false">'High scenario'!BO26</f>
        <v>-0.0296029190154756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-0.03084055973286</v>
      </c>
      <c r="C29" s="69" t="n">
        <f aca="false">'Central scenario'!BO27</f>
        <v>-0.0437255747308359</v>
      </c>
      <c r="D29" s="31" t="n">
        <f aca="false">'Low scenario'!AL27</f>
        <v>-0.0416637295890067</v>
      </c>
      <c r="E29" s="31" t="n">
        <f aca="false">'Low scenario'!BO27</f>
        <v>-0.0552980358376733</v>
      </c>
      <c r="F29" s="31" t="n">
        <f aca="false">'High scenario'!AL27</f>
        <v>-0.0179655738452691</v>
      </c>
      <c r="G29" s="31" t="n">
        <f aca="false">'High scenario'!BO27</f>
        <v>-0.0293518738360084</v>
      </c>
      <c r="I29" s="31" t="n">
        <f aca="false">C31-E31</f>
        <v>0.0146022889437895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-0.0293000041746727</v>
      </c>
      <c r="C30" s="69" t="n">
        <f aca="false">'Central scenario'!BO28</f>
        <v>-0.0426026379860904</v>
      </c>
      <c r="D30" s="31" t="n">
        <f aca="false">'Low scenario'!AL28</f>
        <v>-0.0417980365372397</v>
      </c>
      <c r="E30" s="31" t="n">
        <f aca="false">'Low scenario'!BO28</f>
        <v>-0.0562396228447419</v>
      </c>
      <c r="F30" s="31" t="n">
        <f aca="false">'High scenario'!AL28</f>
        <v>-0.0169125707386607</v>
      </c>
      <c r="G30" s="31" t="n">
        <f aca="false">'High scenario'!BO28</f>
        <v>-0.0288169028434029</v>
      </c>
      <c r="I30" s="31" t="n">
        <f aca="false">C31-G31</f>
        <v>-0.0147881134972994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-0.0284811067659261</v>
      </c>
      <c r="C31" s="69" t="n">
        <f aca="false">'Central scenario'!BO29</f>
        <v>-0.0422494460449735</v>
      </c>
      <c r="D31" s="31" t="n">
        <f aca="false">'Low scenario'!AL29</f>
        <v>-0.0414898329683462</v>
      </c>
      <c r="E31" s="31" t="n">
        <f aca="false">'Low scenario'!BO29</f>
        <v>-0.056851734988763</v>
      </c>
      <c r="F31" s="31" t="n">
        <f aca="false">'High scenario'!AL29</f>
        <v>-0.0151451879987471</v>
      </c>
      <c r="G31" s="31" t="n">
        <f aca="false">'High scenario'!BO29</f>
        <v>-0.0274613325476741</v>
      </c>
    </row>
    <row r="33" customFormat="false" ht="57.75" hidden="false" customHeight="false" outlineLevel="0" collapsed="false">
      <c r="B33" s="87" t="s">
        <v>122</v>
      </c>
      <c r="C33" s="45" t="s">
        <v>0</v>
      </c>
      <c r="D33" s="45" t="s">
        <v>123</v>
      </c>
      <c r="E33" s="45" t="s">
        <v>124</v>
      </c>
      <c r="F33" s="45" t="s">
        <v>125</v>
      </c>
      <c r="G33" s="45" t="s">
        <v>126</v>
      </c>
      <c r="H33" s="45" t="s">
        <v>127</v>
      </c>
    </row>
    <row r="34" customFormat="false" ht="12.8" hidden="false" customHeight="false" outlineLevel="0" collapsed="false">
      <c r="B34" s="87"/>
    </row>
    <row r="35" customFormat="false" ht="12.8" hidden="false" customHeight="false" outlineLevel="0" collapsed="false">
      <c r="A35" s="0" t="n">
        <v>1993</v>
      </c>
      <c r="B35" s="88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89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88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89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88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89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88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89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88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89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88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89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88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89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88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89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88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89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88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89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88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89" t="n">
        <v>-0.0217</v>
      </c>
      <c r="C56" s="52" t="n">
        <v>-0.0204610062724093</v>
      </c>
      <c r="D56" s="52"/>
      <c r="E56" s="31"/>
      <c r="F56" s="31"/>
      <c r="G56" s="31"/>
      <c r="H56" s="31"/>
    </row>
    <row r="57" customFormat="false" ht="12.8" hidden="false" customHeight="false" outlineLevel="0" collapsed="false">
      <c r="A57" s="0" t="n">
        <f aca="false">A56+1</f>
        <v>2015</v>
      </c>
      <c r="B57" s="88" t="n">
        <v>-0.0288</v>
      </c>
      <c r="C57" s="52" t="n">
        <v>-0.0330446382603628</v>
      </c>
      <c r="D57" s="52"/>
      <c r="E57" s="31"/>
      <c r="F57" s="31"/>
      <c r="G57" s="31"/>
      <c r="H57" s="31"/>
    </row>
    <row r="58" customFormat="false" ht="12.8" hidden="false" customHeight="false" outlineLevel="0" collapsed="false">
      <c r="A58" s="0" t="n">
        <f aca="false">A57+1</f>
        <v>2016</v>
      </c>
      <c r="B58" s="89" t="n">
        <v>-0.0337</v>
      </c>
      <c r="C58" s="52" t="n">
        <v>-0.0320699980328446</v>
      </c>
      <c r="D58" s="52" t="n">
        <v>-0.0321032250996477</v>
      </c>
      <c r="E58" s="31"/>
      <c r="F58" s="31"/>
      <c r="G58" s="31"/>
      <c r="H58" s="31"/>
    </row>
    <row r="59" customFormat="false" ht="12.8" hidden="false" customHeight="false" outlineLevel="0" collapsed="false">
      <c r="A59" s="0" t="n">
        <f aca="false">A58+1</f>
        <v>2017</v>
      </c>
      <c r="B59" s="88" t="n">
        <v>-0.0406</v>
      </c>
      <c r="C59" s="52" t="n">
        <v>-0.0374038527856204</v>
      </c>
      <c r="D59" s="52" t="n">
        <v>-0.0379961132519919</v>
      </c>
      <c r="E59" s="31" t="n">
        <v>-0.0376077782939136</v>
      </c>
      <c r="F59" s="31" t="n">
        <v>-0.0382000387602851</v>
      </c>
      <c r="G59" s="31" t="n">
        <v>-0.0373415222108777</v>
      </c>
      <c r="H59" s="31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1" t="n">
        <v>-0.0386403639641776</v>
      </c>
      <c r="F60" s="31" t="n">
        <v>-0.0397056041299793</v>
      </c>
      <c r="G60" s="31" t="n">
        <v>-0.0363078603080157</v>
      </c>
      <c r="H60" s="31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1" t="n">
        <v>-0.043475443742129</v>
      </c>
      <c r="F61" s="31" t="n">
        <v>-0.0450108497150175</v>
      </c>
      <c r="G61" s="31" t="n">
        <v>-0.0387666181259384</v>
      </c>
      <c r="H61" s="31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1" t="n">
        <v>-0.0474454684221555</v>
      </c>
      <c r="F62" s="31" t="n">
        <v>-0.0495102950710981</v>
      </c>
      <c r="G62" s="31" t="n">
        <v>-0.0406980206307754</v>
      </c>
      <c r="H62" s="31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1" t="n">
        <v>-0.0491760423378644</v>
      </c>
      <c r="F63" s="31" t="n">
        <v>-0.0517191664308293</v>
      </c>
      <c r="G63" s="31" t="n">
        <v>-0.0402797930914584</v>
      </c>
      <c r="H63" s="31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1" t="n">
        <v>-0.0506935587242372</v>
      </c>
      <c r="F64" s="31" t="n">
        <v>-0.0538113524625579</v>
      </c>
      <c r="G64" s="31" t="n">
        <v>-0.0399413969028234</v>
      </c>
      <c r="H64" s="31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1" t="n">
        <v>-0.0502813077901995</v>
      </c>
      <c r="F65" s="31" t="n">
        <v>-0.0538445675385018</v>
      </c>
      <c r="G65" s="31" t="n">
        <v>-0.0369823891921761</v>
      </c>
      <c r="H65" s="31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1" t="n">
        <v>-0.0491978690669384</v>
      </c>
      <c r="F66" s="31" t="n">
        <v>-0.0533503083682397</v>
      </c>
      <c r="G66" s="31" t="n">
        <v>-0.034357169997021</v>
      </c>
      <c r="H66" s="31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1" t="n">
        <v>-0.0483171619735341</v>
      </c>
      <c r="F67" s="31" t="n">
        <v>-0.0537956697994875</v>
      </c>
      <c r="G67" s="31" t="n">
        <v>-0.0314464623231193</v>
      </c>
      <c r="H67" s="31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1" t="n">
        <v>-0.0471101721898914</v>
      </c>
      <c r="F68" s="31" t="n">
        <v>-0.0539224093496101</v>
      </c>
      <c r="G68" s="31" t="n">
        <v>-0.028543145589423</v>
      </c>
      <c r="H68" s="31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1" t="n">
        <v>-0.0444999022775352</v>
      </c>
      <c r="F69" s="31" t="n">
        <v>-0.0529308403260635</v>
      </c>
      <c r="G69" s="31" t="n">
        <v>-0.0246350258213394</v>
      </c>
      <c r="H69" s="31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7"/>
      <c r="C70" s="69" t="n">
        <v>-0.0315098585025888</v>
      </c>
      <c r="D70" s="69" t="n">
        <v>-0.0410056250740558</v>
      </c>
      <c r="E70" s="31" t="n">
        <v>-0.0427561364711711</v>
      </c>
      <c r="F70" s="31" t="n">
        <v>-0.0526627103492831</v>
      </c>
      <c r="G70" s="31" t="n">
        <v>-0.0215076695017689</v>
      </c>
      <c r="H70" s="31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1" t="n">
        <v>-0.0419262211314313</v>
      </c>
      <c r="F71" s="31" t="n">
        <v>-0.0532050074663445</v>
      </c>
      <c r="G71" s="31" t="n">
        <v>-0.0177299347081778</v>
      </c>
      <c r="H71" s="31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1" t="n">
        <v>-0.0412160077772183</v>
      </c>
      <c r="F72" s="31" t="n">
        <v>-0.0537519990268602</v>
      </c>
      <c r="G72" s="31" t="n">
        <v>-0.0152009619822014</v>
      </c>
      <c r="H72" s="31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1" t="n">
        <v>-0.0390044038696693</v>
      </c>
      <c r="F73" s="31" t="n">
        <v>-0.0527439418247547</v>
      </c>
      <c r="G73" s="31" t="n">
        <v>-0.0127195302993086</v>
      </c>
      <c r="H73" s="31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1" t="n">
        <v>-0.037203827708454</v>
      </c>
      <c r="F74" s="31" t="n">
        <v>-0.0523481451309193</v>
      </c>
      <c r="G74" s="31" t="n">
        <v>-0.00997912897839578</v>
      </c>
      <c r="H74" s="31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1" t="n">
        <v>-0.0352482069847661</v>
      </c>
      <c r="F75" s="31" t="n">
        <v>-0.0516568298564333</v>
      </c>
      <c r="G75" s="31" t="n">
        <v>-0.00716633020583441</v>
      </c>
      <c r="H75" s="31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1" t="n">
        <v>-0.0345458264840886</v>
      </c>
      <c r="F76" s="31" t="n">
        <v>-0.0521983980484141</v>
      </c>
      <c r="G76" s="31" t="n">
        <v>-0.00525913285479715</v>
      </c>
      <c r="H76" s="31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1" t="n">
        <v>-0.0334258454902035</v>
      </c>
      <c r="F77" s="31" t="n">
        <v>-0.0523619318281197</v>
      </c>
      <c r="G77" s="31" t="n">
        <v>-0.0035417840712153</v>
      </c>
      <c r="H77" s="31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1" t="n">
        <v>-0.032063325189906</v>
      </c>
      <c r="F78" s="31" t="n">
        <v>-0.0522221045716853</v>
      </c>
      <c r="G78" s="31" t="n">
        <v>-0.00188583595423482</v>
      </c>
      <c r="H78" s="31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1" t="n">
        <v>-0.0306064418243413</v>
      </c>
      <c r="F79" s="31" t="n">
        <v>-0.0521689157220568</v>
      </c>
      <c r="G79" s="31" t="n">
        <v>0.00017017956259122</v>
      </c>
      <c r="H79" s="31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1" t="n">
        <v>-0.0292541441802</v>
      </c>
      <c r="F80" s="31" t="n">
        <v>-0.0521679509577505</v>
      </c>
      <c r="G80" s="31" t="n">
        <v>0.00142985621154989</v>
      </c>
      <c r="H80" s="31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1" t="n">
        <v>-0.0277373383666853</v>
      </c>
      <c r="F81" s="31" t="n">
        <v>-0.0521665053479258</v>
      </c>
      <c r="G81" s="31" t="n">
        <v>0.00227289823088215</v>
      </c>
      <c r="H81" s="31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1" t="n">
        <v>-0.0276257733975593</v>
      </c>
      <c r="F82" s="31" t="n">
        <v>-0.0533668979244751</v>
      </c>
      <c r="G82" s="31" t="n">
        <v>0.00295901714450528</v>
      </c>
      <c r="H82" s="31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1"/>
      <c r="E83" s="31"/>
      <c r="F83" s="31"/>
      <c r="G83" s="31"/>
    </row>
    <row r="84" customFormat="false" ht="12.8" hidden="false" customHeight="false" outlineLevel="0" collapsed="false">
      <c r="A84" s="68"/>
      <c r="B84" s="69"/>
      <c r="C84" s="69"/>
      <c r="D84" s="31"/>
      <c r="E84" s="31"/>
      <c r="F84" s="31"/>
      <c r="G84" s="31"/>
    </row>
    <row r="85" customFormat="false" ht="12.8" hidden="false" customHeight="false" outlineLevel="0" collapsed="false">
      <c r="A85" s="68"/>
      <c r="B85" s="69"/>
      <c r="C85" s="69"/>
      <c r="D85" s="31"/>
      <c r="E85" s="31"/>
      <c r="F85" s="31"/>
      <c r="G85" s="31"/>
    </row>
    <row r="86" customFormat="false" ht="12.8" hidden="false" customHeight="false" outlineLevel="0" collapsed="false">
      <c r="A86" s="62"/>
      <c r="B86" s="63"/>
      <c r="C86" s="63"/>
      <c r="D86" s="31"/>
      <c r="E86" s="31"/>
      <c r="F86" s="31"/>
      <c r="G86" s="31"/>
    </row>
    <row r="87" customFormat="false" ht="12.8" hidden="false" customHeight="false" outlineLevel="0" collapsed="false">
      <c r="A87" s="68"/>
      <c r="B87" s="69"/>
      <c r="C87" s="69"/>
      <c r="D87" s="31"/>
      <c r="E87" s="31"/>
      <c r="F87" s="31"/>
      <c r="G87" s="31"/>
    </row>
    <row r="88" customFormat="false" ht="12.8" hidden="false" customHeight="false" outlineLevel="0" collapsed="false">
      <c r="A88" s="68"/>
      <c r="B88" s="69"/>
      <c r="C88" s="69"/>
      <c r="D88" s="31"/>
      <c r="E88" s="31"/>
      <c r="F88" s="31"/>
      <c r="G88" s="31"/>
    </row>
    <row r="89" customFormat="false" ht="12.8" hidden="false" customHeight="false" outlineLevel="0" collapsed="false">
      <c r="A89" s="68"/>
      <c r="B89" s="69"/>
      <c r="C89" s="69"/>
      <c r="D89" s="31"/>
      <c r="E89" s="31"/>
      <c r="F89" s="31"/>
      <c r="G89" s="31"/>
    </row>
    <row r="90" customFormat="false" ht="12.8" hidden="false" customHeight="false" outlineLevel="0" collapsed="false">
      <c r="A90" s="62"/>
      <c r="B90" s="63"/>
      <c r="C90" s="63"/>
      <c r="D90" s="31"/>
      <c r="E90" s="31"/>
      <c r="F90" s="31"/>
      <c r="G90" s="31"/>
    </row>
    <row r="91" customFormat="false" ht="12.8" hidden="false" customHeight="false" outlineLevel="0" collapsed="false">
      <c r="A91" s="68"/>
      <c r="B91" s="69"/>
      <c r="C91" s="69"/>
      <c r="D91" s="31"/>
      <c r="E91" s="31"/>
      <c r="F91" s="31"/>
      <c r="G91" s="31"/>
    </row>
    <row r="92" customFormat="false" ht="12.8" hidden="false" customHeight="false" outlineLevel="0" collapsed="false">
      <c r="A92" s="68"/>
      <c r="B92" s="69"/>
      <c r="C92" s="69"/>
      <c r="D92" s="31"/>
      <c r="E92" s="31"/>
      <c r="F92" s="31"/>
      <c r="G92" s="31"/>
    </row>
    <row r="93" customFormat="false" ht="12.8" hidden="false" customHeight="false" outlineLevel="0" collapsed="false">
      <c r="A93" s="68"/>
      <c r="B93" s="69"/>
      <c r="C93" s="69"/>
      <c r="D93" s="31"/>
      <c r="E93" s="31"/>
      <c r="F93" s="31"/>
      <c r="G93" s="31"/>
    </row>
    <row r="94" customFormat="false" ht="12.8" hidden="false" customHeight="false" outlineLevel="0" collapsed="false">
      <c r="A94" s="62"/>
      <c r="B94" s="63"/>
      <c r="C94" s="63"/>
      <c r="D94" s="31"/>
      <c r="E94" s="31"/>
      <c r="F94" s="31"/>
      <c r="G94" s="31"/>
    </row>
    <row r="95" customFormat="false" ht="12.8" hidden="false" customHeight="false" outlineLevel="0" collapsed="false">
      <c r="A95" s="68"/>
      <c r="B95" s="69"/>
      <c r="C95" s="69"/>
      <c r="D95" s="31"/>
      <c r="E95" s="31"/>
      <c r="F95" s="31"/>
      <c r="G95" s="31"/>
    </row>
    <row r="96" customFormat="false" ht="12.8" hidden="false" customHeight="false" outlineLevel="0" collapsed="false">
      <c r="A96" s="68"/>
      <c r="B96" s="69"/>
      <c r="C96" s="69"/>
      <c r="D96" s="31"/>
      <c r="E96" s="31"/>
      <c r="F96" s="31"/>
      <c r="G96" s="31"/>
    </row>
    <row r="97" customFormat="false" ht="12.8" hidden="false" customHeight="false" outlineLevel="0" collapsed="false">
      <c r="A97" s="68"/>
      <c r="B97" s="69"/>
      <c r="C97" s="69"/>
      <c r="D97" s="31"/>
      <c r="E97" s="31"/>
      <c r="F97" s="31"/>
      <c r="G9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2" activeCellId="0" sqref="D32"/>
    </sheetView>
  </sheetViews>
  <sheetFormatPr defaultColWidth="11.47265625" defaultRowHeight="15" zeroHeight="false" outlineLevelRow="0" outlineLevelCol="0"/>
  <sheetData>
    <row r="1" customFormat="false" ht="62" hidden="false" customHeight="false" outlineLevel="0" collapsed="false">
      <c r="A1" s="90"/>
      <c r="B1" s="91" t="s">
        <v>122</v>
      </c>
      <c r="C1" s="92" t="s">
        <v>0</v>
      </c>
      <c r="D1" s="92" t="s">
        <v>123</v>
      </c>
      <c r="E1" s="92" t="s">
        <v>124</v>
      </c>
      <c r="F1" s="92" t="s">
        <v>125</v>
      </c>
      <c r="G1" s="92" t="s">
        <v>126</v>
      </c>
      <c r="H1" s="92" t="s">
        <v>127</v>
      </c>
    </row>
    <row r="2" customFormat="false" ht="15" hidden="false" customHeight="false" outlineLevel="0" collapsed="false">
      <c r="A2" s="90"/>
      <c r="B2" s="91"/>
      <c r="C2" s="90"/>
      <c r="D2" s="90"/>
      <c r="E2" s="90"/>
      <c r="F2" s="90"/>
      <c r="G2" s="90"/>
      <c r="H2" s="90"/>
    </row>
    <row r="3" customFormat="false" ht="15" hidden="false" customHeight="false" outlineLevel="0" collapsed="false">
      <c r="A3" s="93" t="n">
        <v>1993</v>
      </c>
      <c r="B3" s="94" t="n">
        <v>-0.0176975770327058</v>
      </c>
      <c r="C3" s="90"/>
      <c r="D3" s="90"/>
      <c r="E3" s="90"/>
      <c r="F3" s="90"/>
      <c r="G3" s="90"/>
      <c r="H3" s="90"/>
    </row>
    <row r="4" customFormat="false" ht="15" hidden="false" customHeight="false" outlineLevel="0" collapsed="false">
      <c r="A4" s="93" t="n">
        <v>1994</v>
      </c>
      <c r="B4" s="95" t="n">
        <v>-0.0265706733334723</v>
      </c>
      <c r="C4" s="90"/>
      <c r="D4" s="90"/>
      <c r="E4" s="90"/>
      <c r="F4" s="90"/>
      <c r="G4" s="90"/>
      <c r="H4" s="90"/>
    </row>
    <row r="5" customFormat="false" ht="15" hidden="false" customHeight="false" outlineLevel="0" collapsed="false">
      <c r="A5" s="93" t="n">
        <v>1995</v>
      </c>
      <c r="B5" s="94" t="n">
        <v>-0.0223256780195043</v>
      </c>
      <c r="C5" s="90"/>
      <c r="D5" s="90"/>
      <c r="E5" s="90"/>
      <c r="F5" s="90"/>
      <c r="G5" s="90"/>
      <c r="H5" s="90"/>
    </row>
    <row r="6" customFormat="false" ht="15" hidden="false" customHeight="false" outlineLevel="0" collapsed="false">
      <c r="A6" s="93" t="n">
        <v>1996</v>
      </c>
      <c r="B6" s="95" t="n">
        <v>-0.0232748001171907</v>
      </c>
      <c r="C6" s="90"/>
      <c r="D6" s="90"/>
      <c r="E6" s="90"/>
      <c r="F6" s="90"/>
      <c r="G6" s="90"/>
      <c r="H6" s="90"/>
    </row>
    <row r="7" customFormat="false" ht="15" hidden="false" customHeight="false" outlineLevel="0" collapsed="false">
      <c r="A7" s="93" t="n">
        <v>1997</v>
      </c>
      <c r="B7" s="94" t="n">
        <v>-0.0208020897656273</v>
      </c>
      <c r="C7" s="90"/>
      <c r="D7" s="90"/>
      <c r="E7" s="90"/>
      <c r="F7" s="90"/>
      <c r="G7" s="90"/>
      <c r="H7" s="90"/>
    </row>
    <row r="8" customFormat="false" ht="15" hidden="false" customHeight="false" outlineLevel="0" collapsed="false">
      <c r="A8" s="93" t="n">
        <v>1998</v>
      </c>
      <c r="B8" s="95" t="n">
        <v>-0.0271450823041349</v>
      </c>
      <c r="C8" s="90"/>
      <c r="D8" s="90"/>
      <c r="E8" s="90"/>
      <c r="F8" s="90"/>
      <c r="G8" s="90"/>
      <c r="H8" s="90"/>
    </row>
    <row r="9" customFormat="false" ht="15" hidden="false" customHeight="false" outlineLevel="0" collapsed="false">
      <c r="A9" s="93" t="n">
        <v>1999</v>
      </c>
      <c r="B9" s="94" t="n">
        <v>-0.0321516368666459</v>
      </c>
      <c r="C9" s="90"/>
      <c r="D9" s="90"/>
      <c r="E9" s="90"/>
      <c r="F9" s="90"/>
      <c r="G9" s="90"/>
      <c r="H9" s="90"/>
    </row>
    <row r="10" customFormat="false" ht="15" hidden="false" customHeight="false" outlineLevel="0" collapsed="false">
      <c r="A10" s="93" t="n">
        <v>2000</v>
      </c>
      <c r="B10" s="95" t="n">
        <v>-0.0337754965366008</v>
      </c>
      <c r="C10" s="90"/>
      <c r="D10" s="90"/>
      <c r="E10" s="90"/>
      <c r="F10" s="90"/>
      <c r="G10" s="90"/>
      <c r="H10" s="90"/>
    </row>
    <row r="11" customFormat="false" ht="15" hidden="false" customHeight="false" outlineLevel="0" collapsed="false">
      <c r="A11" s="93" t="n">
        <v>2001</v>
      </c>
      <c r="B11" s="94" t="n">
        <v>-0.0343324976529175</v>
      </c>
      <c r="C11" s="90"/>
      <c r="D11" s="90"/>
      <c r="E11" s="90"/>
      <c r="F11" s="90"/>
      <c r="G11" s="90"/>
      <c r="H11" s="90"/>
    </row>
    <row r="12" customFormat="false" ht="15" hidden="false" customHeight="false" outlineLevel="0" collapsed="false">
      <c r="A12" s="93" t="n">
        <v>2002</v>
      </c>
      <c r="B12" s="95" t="n">
        <v>-0.0297003395722639</v>
      </c>
      <c r="C12" s="90"/>
      <c r="D12" s="90"/>
      <c r="E12" s="90"/>
      <c r="F12" s="90"/>
      <c r="G12" s="90"/>
      <c r="H12" s="90"/>
    </row>
    <row r="13" customFormat="false" ht="15" hidden="false" customHeight="false" outlineLevel="0" collapsed="false">
      <c r="A13" s="93" t="n">
        <v>2003</v>
      </c>
      <c r="B13" s="94" t="n">
        <v>-0.0277579380361316</v>
      </c>
      <c r="C13" s="90"/>
      <c r="D13" s="90"/>
      <c r="E13" s="90"/>
      <c r="F13" s="90"/>
      <c r="G13" s="90"/>
      <c r="H13" s="90"/>
    </row>
    <row r="14" customFormat="false" ht="15" hidden="false" customHeight="false" outlineLevel="0" collapsed="false">
      <c r="A14" s="93" t="n">
        <v>2004</v>
      </c>
      <c r="B14" s="95" t="n">
        <v>-0.0218853689158177</v>
      </c>
      <c r="C14" s="90"/>
      <c r="D14" s="90"/>
      <c r="E14" s="90"/>
      <c r="F14" s="90"/>
      <c r="G14" s="90"/>
      <c r="H14" s="90"/>
    </row>
    <row r="15" customFormat="false" ht="15" hidden="false" customHeight="false" outlineLevel="0" collapsed="false">
      <c r="A15" s="93" t="n">
        <v>2005</v>
      </c>
      <c r="B15" s="94" t="n">
        <v>-0.0179040572743257</v>
      </c>
      <c r="C15" s="90"/>
      <c r="D15" s="90"/>
      <c r="E15" s="90"/>
      <c r="F15" s="90"/>
      <c r="G15" s="90"/>
      <c r="H15" s="90"/>
    </row>
    <row r="16" customFormat="false" ht="15" hidden="false" customHeight="false" outlineLevel="0" collapsed="false">
      <c r="A16" s="93" t="n">
        <v>2006</v>
      </c>
      <c r="B16" s="95" t="n">
        <v>-0.0165135934957867</v>
      </c>
      <c r="C16" s="90"/>
      <c r="D16" s="90"/>
      <c r="E16" s="90"/>
      <c r="F16" s="90"/>
      <c r="G16" s="90"/>
      <c r="H16" s="90"/>
    </row>
    <row r="17" customFormat="false" ht="15" hidden="false" customHeight="false" outlineLevel="0" collapsed="false">
      <c r="A17" s="93" t="n">
        <v>2007</v>
      </c>
      <c r="B17" s="94" t="n">
        <v>-0.0158656512635353</v>
      </c>
      <c r="C17" s="90"/>
      <c r="D17" s="90"/>
      <c r="E17" s="90"/>
      <c r="F17" s="90"/>
      <c r="G17" s="90"/>
      <c r="H17" s="90"/>
    </row>
    <row r="18" customFormat="false" ht="15" hidden="false" customHeight="false" outlineLevel="0" collapsed="false">
      <c r="A18" s="93" t="n">
        <v>2008</v>
      </c>
      <c r="B18" s="95" t="n">
        <v>-0.0183013371636907</v>
      </c>
      <c r="C18" s="90"/>
      <c r="D18" s="90"/>
      <c r="E18" s="90"/>
      <c r="F18" s="90"/>
      <c r="G18" s="90"/>
      <c r="H18" s="90"/>
    </row>
    <row r="19" customFormat="false" ht="15" hidden="false" customHeight="false" outlineLevel="0" collapsed="false">
      <c r="A19" s="93" t="n">
        <v>2009</v>
      </c>
      <c r="B19" s="94" t="n">
        <v>-0.0156710909032578</v>
      </c>
      <c r="C19" s="90"/>
      <c r="D19" s="90"/>
      <c r="E19" s="90"/>
      <c r="F19" s="90"/>
      <c r="G19" s="90"/>
      <c r="H19" s="90"/>
    </row>
    <row r="20" customFormat="false" ht="15" hidden="false" customHeight="false" outlineLevel="0" collapsed="false">
      <c r="A20" s="93" t="n">
        <v>2010</v>
      </c>
      <c r="B20" s="95" t="n">
        <v>-0.0158039957303612</v>
      </c>
      <c r="C20" s="90"/>
      <c r="D20" s="90"/>
      <c r="E20" s="90"/>
      <c r="F20" s="90"/>
      <c r="G20" s="90"/>
      <c r="H20" s="90"/>
    </row>
    <row r="21" customFormat="false" ht="15" hidden="false" customHeight="false" outlineLevel="0" collapsed="false">
      <c r="A21" s="93" t="n">
        <v>2011</v>
      </c>
      <c r="B21" s="94" t="n">
        <v>-0.0158943271566621</v>
      </c>
      <c r="C21" s="90"/>
      <c r="D21" s="90"/>
      <c r="E21" s="90"/>
      <c r="F21" s="90"/>
      <c r="G21" s="90"/>
      <c r="H21" s="90"/>
    </row>
    <row r="22" customFormat="false" ht="15" hidden="false" customHeight="false" outlineLevel="0" collapsed="false">
      <c r="A22" s="93" t="n">
        <v>2012</v>
      </c>
      <c r="B22" s="95" t="n">
        <v>-0.0195335859314802</v>
      </c>
      <c r="C22" s="90"/>
      <c r="D22" s="90"/>
      <c r="E22" s="90"/>
      <c r="F22" s="90"/>
      <c r="G22" s="90"/>
      <c r="H22" s="90"/>
    </row>
    <row r="23" customFormat="false" ht="15" hidden="false" customHeight="false" outlineLevel="0" collapsed="false">
      <c r="A23" s="93" t="n">
        <v>2013</v>
      </c>
      <c r="B23" s="94" t="n">
        <v>-0.02109912849421</v>
      </c>
      <c r="C23" s="90"/>
      <c r="D23" s="90"/>
      <c r="E23" s="90"/>
      <c r="F23" s="90"/>
      <c r="G23" s="90"/>
      <c r="H23" s="90"/>
    </row>
    <row r="24" customFormat="false" ht="15" hidden="false" customHeight="false" outlineLevel="0" collapsed="false">
      <c r="A24" s="93" t="n">
        <v>2014</v>
      </c>
      <c r="B24" s="95" t="n">
        <v>-0.0217418594917814</v>
      </c>
      <c r="C24" s="96" t="n">
        <f aca="false">'Central scenario'!AL3</f>
        <v>-0.0196925047215125</v>
      </c>
      <c r="D24" s="97"/>
      <c r="E24" s="90"/>
      <c r="F24" s="90"/>
      <c r="G24" s="90"/>
      <c r="H24" s="90"/>
    </row>
    <row r="25" customFormat="false" ht="15" hidden="false" customHeight="false" outlineLevel="0" collapsed="false">
      <c r="A25" s="93" t="n">
        <v>2015</v>
      </c>
      <c r="B25" s="94" t="n">
        <v>-0.02830905931782</v>
      </c>
      <c r="C25" s="96" t="n">
        <f aca="false">'Central scenario'!AL4</f>
        <v>-0.0328743672773598</v>
      </c>
      <c r="D25" s="97"/>
      <c r="E25" s="90"/>
      <c r="F25" s="90"/>
      <c r="G25" s="90"/>
      <c r="H25" s="90"/>
    </row>
    <row r="26" customFormat="false" ht="15" hidden="false" customHeight="false" outlineLevel="0" collapsed="false">
      <c r="A26" s="93" t="n">
        <v>2016</v>
      </c>
      <c r="B26" s="95" t="n">
        <v>-0.031163226932361</v>
      </c>
      <c r="C26" s="96" t="n">
        <f aca="false">'Central scenario'!AL5</f>
        <v>-0.0327708635680787</v>
      </c>
      <c r="D26" s="96" t="n">
        <f aca="false">'Central scenario'!BO5</f>
        <v>-0.032810831540528</v>
      </c>
      <c r="E26" s="90"/>
      <c r="F26" s="90"/>
      <c r="G26" s="90"/>
      <c r="H26" s="90"/>
    </row>
    <row r="27" customFormat="false" ht="15" hidden="false" customHeight="false" outlineLevel="0" collapsed="false">
      <c r="A27" s="93" t="n">
        <v>2017</v>
      </c>
      <c r="B27" s="94" t="n">
        <v>-0.031311152517781</v>
      </c>
      <c r="C27" s="96" t="n">
        <f aca="false">'Central scenario'!AL6</f>
        <v>-0.0365169666578661</v>
      </c>
      <c r="D27" s="96" t="n">
        <f aca="false">'Central scenario'!BO6</f>
        <v>-0.03705978870982</v>
      </c>
      <c r="E27" s="98" t="n">
        <f aca="false">'Low scenario'!AL6</f>
        <v>-0.0365104009407957</v>
      </c>
      <c r="F27" s="98" t="n">
        <f aca="false">'Low scenario'!BO6</f>
        <v>-0.0370532229927496</v>
      </c>
      <c r="G27" s="98" t="n">
        <f aca="false">'High scenario'!AL6</f>
        <v>-0.0365058558565986</v>
      </c>
      <c r="H27" s="98" t="n">
        <f aca="false">'High scenario'!BO6</f>
        <v>-0.0370486779085525</v>
      </c>
    </row>
    <row r="28" customFormat="false" ht="15" hidden="false" customHeight="false" outlineLevel="0" collapsed="false">
      <c r="A28" s="93" t="n">
        <v>2018</v>
      </c>
      <c r="B28" s="95" t="n">
        <v>-0.033240002411513</v>
      </c>
      <c r="C28" s="96" t="n">
        <f aca="false">'Central scenario'!AL7</f>
        <v>-0.0361426653492926</v>
      </c>
      <c r="D28" s="96" t="n">
        <f aca="false">'Central scenario'!BO7</f>
        <v>-0.0370938394344344</v>
      </c>
      <c r="E28" s="98" t="n">
        <f aca="false">'Low scenario'!AL7</f>
        <v>-0.0361371398082894</v>
      </c>
      <c r="F28" s="98" t="n">
        <f aca="false">'Low scenario'!BO7</f>
        <v>-0.0370883138934312</v>
      </c>
      <c r="G28" s="98" t="n">
        <f aca="false">'High scenario'!AL7</f>
        <v>-0.0369519993944059</v>
      </c>
      <c r="H28" s="98" t="n">
        <f aca="false">'High scenario'!BO7</f>
        <v>-0.0379031734795477</v>
      </c>
    </row>
    <row r="29" customFormat="false" ht="12.8" hidden="false" customHeight="false" outlineLevel="0" collapsed="false">
      <c r="A29" s="93" t="n">
        <v>2019</v>
      </c>
      <c r="B29" s="90"/>
      <c r="C29" s="96" t="n">
        <f aca="false">'Central scenario'!AL8</f>
        <v>-0.0380967042071711</v>
      </c>
      <c r="D29" s="96" t="n">
        <f aca="false">'Central scenario'!BO8</f>
        <v>-0.0389618692416923</v>
      </c>
      <c r="E29" s="98" t="n">
        <f aca="false">'Low scenario'!AL8</f>
        <v>-0.0380464305446672</v>
      </c>
      <c r="F29" s="98" t="n">
        <f aca="false">'Low scenario'!BO8</f>
        <v>-0.0389115955791884</v>
      </c>
      <c r="G29" s="98" t="n">
        <f aca="false">'High scenario'!AL8</f>
        <v>-0.0387378212667812</v>
      </c>
      <c r="H29" s="98" t="n">
        <f aca="false">'High scenario'!BO8</f>
        <v>-0.0395980304282642</v>
      </c>
    </row>
    <row r="30" customFormat="false" ht="12.8" hidden="false" customHeight="false" outlineLevel="0" collapsed="false">
      <c r="A30" s="93" t="n">
        <v>2020</v>
      </c>
      <c r="B30" s="90"/>
      <c r="C30" s="96" t="n">
        <f aca="false">'Central scenario'!AL9</f>
        <v>-0.0562345782289308</v>
      </c>
      <c r="D30" s="96" t="n">
        <f aca="false">'Central scenario'!BO9</f>
        <v>-0.0576229587014566</v>
      </c>
      <c r="E30" s="98" t="n">
        <f aca="false">'Low scenario'!AL9</f>
        <v>-0.0558959021648407</v>
      </c>
      <c r="F30" s="98" t="n">
        <f aca="false">'Low scenario'!BO9</f>
        <v>-0.0572711052728116</v>
      </c>
      <c r="G30" s="98" t="n">
        <f aca="false">'High scenario'!AL9</f>
        <v>-0.0553414834807925</v>
      </c>
      <c r="H30" s="98" t="n">
        <f aca="false">'High scenario'!BO9</f>
        <v>-0.0566884934792722</v>
      </c>
    </row>
    <row r="31" customFormat="false" ht="12.8" hidden="false" customHeight="false" outlineLevel="0" collapsed="false">
      <c r="A31" s="93" t="n">
        <v>2021</v>
      </c>
      <c r="B31" s="90"/>
      <c r="C31" s="96" t="n">
        <f aca="false">'Central scenario'!AL10</f>
        <v>-0.0500378980122892</v>
      </c>
      <c r="D31" s="96" t="n">
        <f aca="false">'Central scenario'!BO10</f>
        <v>-0.0516712536052569</v>
      </c>
      <c r="E31" s="98" t="n">
        <f aca="false">'Low scenario'!AL10</f>
        <v>-0.0517222691929106</v>
      </c>
      <c r="F31" s="98" t="n">
        <f aca="false">'Low scenario'!BO10</f>
        <v>-0.0533397059096766</v>
      </c>
      <c r="G31" s="98" t="n">
        <f aca="false">'High scenario'!AL10</f>
        <v>-0.0487956134825102</v>
      </c>
      <c r="H31" s="98" t="n">
        <f aca="false">'High scenario'!BO10</f>
        <v>-0.0504657687289369</v>
      </c>
    </row>
    <row r="32" customFormat="false" ht="12.8" hidden="false" customHeight="false" outlineLevel="0" collapsed="false">
      <c r="A32" s="93" t="n">
        <v>2022</v>
      </c>
      <c r="B32" s="90"/>
      <c r="C32" s="96" t="n">
        <f aca="false">'Central scenario'!AL11</f>
        <v>-0.0520371676100906</v>
      </c>
      <c r="D32" s="96" t="n">
        <f aca="false">'Central scenario'!BO11</f>
        <v>-0.0540386642191719</v>
      </c>
      <c r="E32" s="98" t="n">
        <f aca="false">'Low scenario'!AL11</f>
        <v>-0.0550624889869786</v>
      </c>
      <c r="F32" s="98" t="n">
        <f aca="false">'Low scenario'!BO11</f>
        <v>-0.0570393744462874</v>
      </c>
      <c r="G32" s="98" t="n">
        <f aca="false">'High scenario'!AL11</f>
        <v>-0.0485930420908279</v>
      </c>
      <c r="H32" s="98" t="n">
        <f aca="false">'High scenario'!BO11</f>
        <v>-0.0506737358863276</v>
      </c>
    </row>
    <row r="33" customFormat="false" ht="12.8" hidden="false" customHeight="false" outlineLevel="0" collapsed="false">
      <c r="A33" s="93" t="n">
        <v>2023</v>
      </c>
      <c r="B33" s="90"/>
      <c r="C33" s="96" t="n">
        <f aca="false">'Central scenario'!AL12</f>
        <v>-0.0509326658114668</v>
      </c>
      <c r="D33" s="96" t="n">
        <f aca="false">'Central scenario'!BO12</f>
        <v>-0.0531317453924609</v>
      </c>
      <c r="E33" s="98" t="n">
        <f aca="false">'Low scenario'!AL12</f>
        <v>-0.0523630247227208</v>
      </c>
      <c r="F33" s="98" t="n">
        <f aca="false">'Low scenario'!BO12</f>
        <v>-0.0544678306234717</v>
      </c>
      <c r="G33" s="98" t="n">
        <f aca="false">'High scenario'!AL12</f>
        <v>-0.046447340235686</v>
      </c>
      <c r="H33" s="98" t="n">
        <f aca="false">'High scenario'!BO12</f>
        <v>-0.0487567953053068</v>
      </c>
    </row>
    <row r="34" customFormat="false" ht="12.8" hidden="false" customHeight="false" outlineLevel="0" collapsed="false">
      <c r="A34" s="93" t="n">
        <v>2024</v>
      </c>
      <c r="B34" s="90"/>
      <c r="C34" s="99" t="n">
        <f aca="false">'Central scenario'!AL13</f>
        <v>-0.0504837629033437</v>
      </c>
      <c r="D34" s="99" t="n">
        <f aca="false">'Central scenario'!BO13</f>
        <v>-0.052989444370729</v>
      </c>
      <c r="E34" s="98" t="n">
        <f aca="false">'Low scenario'!AL13</f>
        <v>-0.0533393645949194</v>
      </c>
      <c r="F34" s="98" t="n">
        <f aca="false">'Low scenario'!BO13</f>
        <v>-0.0557325137980316</v>
      </c>
      <c r="G34" s="98" t="n">
        <f aca="false">'High scenario'!AL13</f>
        <v>-0.0450131228504988</v>
      </c>
      <c r="H34" s="98" t="n">
        <f aca="false">'High scenario'!BO13</f>
        <v>-0.0475975113182489</v>
      </c>
    </row>
    <row r="35" customFormat="false" ht="12.8" hidden="false" customHeight="false" outlineLevel="0" collapsed="false">
      <c r="A35" s="93" t="n">
        <v>2025</v>
      </c>
      <c r="B35" s="90"/>
      <c r="C35" s="100" t="n">
        <f aca="false">'Central scenario'!AL14</f>
        <v>-0.0496359541451262</v>
      </c>
      <c r="D35" s="100" t="n">
        <f aca="false">'Central scenario'!BO14</f>
        <v>-0.0531112798901277</v>
      </c>
      <c r="E35" s="98" t="n">
        <f aca="false">'Low scenario'!AL14</f>
        <v>-0.052912482795275</v>
      </c>
      <c r="F35" s="98" t="n">
        <f aca="false">'Low scenario'!BO14</f>
        <v>-0.0561931866127094</v>
      </c>
      <c r="G35" s="98" t="n">
        <f aca="false">'High scenario'!AL14</f>
        <v>-0.0440685615047917</v>
      </c>
      <c r="H35" s="98" t="n">
        <f aca="false">'High scenario'!BO14</f>
        <v>-0.0475576621402786</v>
      </c>
    </row>
    <row r="36" customFormat="false" ht="12.8" hidden="false" customHeight="false" outlineLevel="0" collapsed="false">
      <c r="A36" s="93" t="n">
        <v>2026</v>
      </c>
      <c r="B36" s="90"/>
      <c r="C36" s="101" t="n">
        <f aca="false">'Central scenario'!AL15</f>
        <v>-0.0488043468945238</v>
      </c>
      <c r="D36" s="101" t="n">
        <f aca="false">'Central scenario'!BO15</f>
        <v>-0.05344156530533</v>
      </c>
      <c r="E36" s="98" t="n">
        <f aca="false">'Low scenario'!AL15</f>
        <v>-0.0506416965629547</v>
      </c>
      <c r="F36" s="98" t="n">
        <f aca="false">'Low scenario'!BO15</f>
        <v>-0.0550686880022906</v>
      </c>
      <c r="G36" s="98" t="n">
        <f aca="false">'High scenario'!AL15</f>
        <v>-0.0425541908621744</v>
      </c>
      <c r="H36" s="98" t="n">
        <f aca="false">'High scenario'!BO15</f>
        <v>-0.047097773218508</v>
      </c>
    </row>
    <row r="37" customFormat="false" ht="12.8" hidden="false" customHeight="false" outlineLevel="0" collapsed="false">
      <c r="A37" s="93" t="n">
        <v>2027</v>
      </c>
      <c r="B37" s="90"/>
      <c r="C37" s="101" t="n">
        <f aca="false">'Central scenario'!AL16</f>
        <v>-0.0478605013314111</v>
      </c>
      <c r="D37" s="101" t="n">
        <f aca="false">'Central scenario'!BO16</f>
        <v>-0.053255624609348</v>
      </c>
      <c r="E37" s="98" t="n">
        <f aca="false">'Low scenario'!AL16</f>
        <v>-0.0484191804113517</v>
      </c>
      <c r="F37" s="98" t="n">
        <f aca="false">'Low scenario'!BO16</f>
        <v>-0.0535398662975141</v>
      </c>
      <c r="G37" s="98" t="n">
        <f aca="false">'High scenario'!AL16</f>
        <v>-0.0397386665667918</v>
      </c>
      <c r="H37" s="98" t="n">
        <f aca="false">'High scenario'!BO16</f>
        <v>-0.0449943415305533</v>
      </c>
    </row>
    <row r="38" customFormat="false" ht="12.8" hidden="false" customHeight="false" outlineLevel="0" collapsed="false">
      <c r="A38" s="93" t="n">
        <v>2028</v>
      </c>
      <c r="B38" s="97"/>
      <c r="C38" s="101" t="n">
        <f aca="false">'Central scenario'!AL17</f>
        <v>-0.045921853970256</v>
      </c>
      <c r="D38" s="101" t="n">
        <f aca="false">'Central scenario'!BO17</f>
        <v>-0.0520882190278355</v>
      </c>
      <c r="E38" s="98" t="n">
        <f aca="false">'Low scenario'!AL17</f>
        <v>-0.047556319458337</v>
      </c>
      <c r="F38" s="98" t="n">
        <f aca="false">'Low scenario'!BO17</f>
        <v>-0.053555296177735</v>
      </c>
      <c r="G38" s="98" t="n">
        <f aca="false">'High scenario'!AL17</f>
        <v>-0.0374629219755546</v>
      </c>
      <c r="H38" s="98" t="n">
        <f aca="false">'High scenario'!BO17</f>
        <v>-0.0436043636872905</v>
      </c>
    </row>
    <row r="39" customFormat="false" ht="12.8" hidden="false" customHeight="false" outlineLevel="0" collapsed="false">
      <c r="A39" s="93" t="n">
        <v>2029</v>
      </c>
      <c r="B39" s="97"/>
      <c r="C39" s="100" t="n">
        <f aca="false">'Central scenario'!AL18</f>
        <v>-0.0436541552961493</v>
      </c>
      <c r="D39" s="100" t="n">
        <f aca="false">'Central scenario'!BO18</f>
        <v>-0.0506038875342466</v>
      </c>
      <c r="E39" s="98" t="n">
        <f aca="false">'Low scenario'!AL18</f>
        <v>-0.0466118051691217</v>
      </c>
      <c r="F39" s="98" t="n">
        <f aca="false">'Low scenario'!BO18</f>
        <v>-0.0534272241391178</v>
      </c>
      <c r="G39" s="98" t="n">
        <f aca="false">'High scenario'!AL18</f>
        <v>-0.0344015588675075</v>
      </c>
      <c r="H39" s="98" t="n">
        <f aca="false">'High scenario'!BO18</f>
        <v>-0.0411396290948325</v>
      </c>
    </row>
    <row r="40" customFormat="false" ht="12.8" hidden="false" customHeight="false" outlineLevel="0" collapsed="false">
      <c r="A40" s="93" t="n">
        <v>2030</v>
      </c>
      <c r="B40" s="97"/>
      <c r="C40" s="101" t="n">
        <f aca="false">'Central scenario'!AL19</f>
        <v>-0.0418071455186446</v>
      </c>
      <c r="D40" s="101" t="n">
        <f aca="false">'Central scenario'!BO19</f>
        <v>-0.049284813418399</v>
      </c>
      <c r="E40" s="98" t="n">
        <f aca="false">'Low scenario'!AL19</f>
        <v>-0.0450233917717058</v>
      </c>
      <c r="F40" s="98" t="n">
        <f aca="false">'Low scenario'!BO19</f>
        <v>-0.0523944443153635</v>
      </c>
      <c r="G40" s="98" t="n">
        <f aca="false">'High scenario'!AL19</f>
        <v>-0.0319993260386157</v>
      </c>
      <c r="H40" s="98" t="n">
        <f aca="false">'High scenario'!BO19</f>
        <v>-0.0391844829862921</v>
      </c>
    </row>
    <row r="41" customFormat="false" ht="12.8" hidden="false" customHeight="false" outlineLevel="0" collapsed="false">
      <c r="A41" s="93" t="n">
        <v>2031</v>
      </c>
      <c r="B41" s="97"/>
      <c r="C41" s="101" t="n">
        <f aca="false">'Central scenario'!AL20</f>
        <v>-0.0401990889718998</v>
      </c>
      <c r="D41" s="101" t="n">
        <f aca="false">'Central scenario'!BO20</f>
        <v>-0.0483218596288229</v>
      </c>
      <c r="E41" s="98" t="n">
        <f aca="false">'Low scenario'!AL20</f>
        <v>-0.0452512641744778</v>
      </c>
      <c r="F41" s="98" t="n">
        <f aca="false">'Low scenario'!BO20</f>
        <v>-0.0532692482928818</v>
      </c>
      <c r="G41" s="98" t="n">
        <f aca="false">'High scenario'!AL20</f>
        <v>-0.030218419478595</v>
      </c>
      <c r="H41" s="98" t="n">
        <f aca="false">'High scenario'!BO20</f>
        <v>-0.0378587193840845</v>
      </c>
    </row>
    <row r="42" customFormat="false" ht="12.8" hidden="false" customHeight="false" outlineLevel="0" collapsed="false">
      <c r="A42" s="93" t="n">
        <v>2032</v>
      </c>
      <c r="B42" s="97"/>
      <c r="C42" s="101" t="n">
        <f aca="false">'Central scenario'!AL21</f>
        <v>-0.0388727079139784</v>
      </c>
      <c r="D42" s="101" t="n">
        <f aca="false">'Central scenario'!BO21</f>
        <v>-0.0479001265449554</v>
      </c>
      <c r="E42" s="98" t="n">
        <f aca="false">'Low scenario'!AL21</f>
        <v>-0.0447762199424323</v>
      </c>
      <c r="F42" s="98" t="n">
        <f aca="false">'Low scenario'!BO21</f>
        <v>-0.0535076093400767</v>
      </c>
      <c r="G42" s="98" t="n">
        <f aca="false">'High scenario'!AL21</f>
        <v>-0.0278552664692163</v>
      </c>
      <c r="H42" s="98" t="n">
        <f aca="false">'High scenario'!BO21</f>
        <v>-0.0361462482113941</v>
      </c>
    </row>
    <row r="43" customFormat="false" ht="12.8" hidden="false" customHeight="false" outlineLevel="0" collapsed="false">
      <c r="A43" s="93" t="n">
        <v>2033</v>
      </c>
      <c r="B43" s="97"/>
      <c r="C43" s="100" t="n">
        <f aca="false">'Central scenario'!AL22</f>
        <v>-0.0366991504149053</v>
      </c>
      <c r="D43" s="100" t="n">
        <f aca="false">'Central scenario'!BO22</f>
        <v>-0.046514291008987</v>
      </c>
      <c r="E43" s="98" t="n">
        <f aca="false">'Low scenario'!AL22</f>
        <v>-0.0440367613855992</v>
      </c>
      <c r="F43" s="98" t="n">
        <f aca="false">'Low scenario'!BO22</f>
        <v>-0.0535200526119662</v>
      </c>
      <c r="G43" s="98" t="n">
        <f aca="false">'High scenario'!AL22</f>
        <v>-0.0255110722386043</v>
      </c>
      <c r="H43" s="98" t="n">
        <f aca="false">'High scenario'!BO22</f>
        <v>-0.0344988310796388</v>
      </c>
    </row>
    <row r="44" customFormat="false" ht="12.8" hidden="false" customHeight="false" outlineLevel="0" collapsed="false">
      <c r="A44" s="93" t="n">
        <v>2034</v>
      </c>
      <c r="B44" s="97"/>
      <c r="C44" s="101" t="n">
        <f aca="false">'Central scenario'!AL23</f>
        <v>-0.0351613639643827</v>
      </c>
      <c r="D44" s="101" t="n">
        <f aca="false">'Central scenario'!BO23</f>
        <v>-0.0455328924145566</v>
      </c>
      <c r="E44" s="98" t="n">
        <f aca="false">'Low scenario'!AL23</f>
        <v>-0.0441157441115753</v>
      </c>
      <c r="F44" s="98" t="n">
        <f aca="false">'Low scenario'!BO23</f>
        <v>-0.0544781586545658</v>
      </c>
      <c r="G44" s="98" t="n">
        <f aca="false">'High scenario'!AL23</f>
        <v>-0.0233691424275621</v>
      </c>
      <c r="H44" s="98" t="n">
        <f aca="false">'High scenario'!BO23</f>
        <v>-0.0328411654536067</v>
      </c>
    </row>
    <row r="45" customFormat="false" ht="12.8" hidden="false" customHeight="false" outlineLevel="0" collapsed="false">
      <c r="A45" s="93" t="n">
        <v>2035</v>
      </c>
      <c r="B45" s="97"/>
      <c r="C45" s="101" t="n">
        <f aca="false">'Central scenario'!AL24</f>
        <v>-0.0340077796405499</v>
      </c>
      <c r="D45" s="101" t="n">
        <f aca="false">'Central scenario'!BO24</f>
        <v>-0.0449074665424417</v>
      </c>
      <c r="E45" s="98" t="n">
        <f aca="false">'Low scenario'!AL24</f>
        <v>-0.0431914134798814</v>
      </c>
      <c r="F45" s="98" t="n">
        <f aca="false">'Low scenario'!BO24</f>
        <v>-0.0543646936696599</v>
      </c>
      <c r="G45" s="98" t="n">
        <f aca="false">'High scenario'!AL24</f>
        <v>-0.0219637123150067</v>
      </c>
      <c r="H45" s="98" t="n">
        <f aca="false">'High scenario'!BO24</f>
        <v>-0.0318247062669855</v>
      </c>
    </row>
    <row r="46" customFormat="false" ht="12.8" hidden="false" customHeight="false" outlineLevel="0" collapsed="false">
      <c r="A46" s="93" t="n">
        <v>2036</v>
      </c>
      <c r="B46" s="97"/>
      <c r="C46" s="101" t="n">
        <f aca="false">'Central scenario'!AL25</f>
        <v>-0.0329809412870478</v>
      </c>
      <c r="D46" s="101" t="n">
        <f aca="false">'Central scenario'!BO25</f>
        <v>-0.0444409154130351</v>
      </c>
      <c r="E46" s="98" t="n">
        <f aca="false">'Low scenario'!AL25</f>
        <v>-0.0429413459071981</v>
      </c>
      <c r="F46" s="98" t="n">
        <f aca="false">'Low scenario'!BO25</f>
        <v>-0.0548601804386026</v>
      </c>
      <c r="G46" s="98" t="n">
        <f aca="false">'High scenario'!AL25</f>
        <v>-0.0206196441007996</v>
      </c>
      <c r="H46" s="98" t="n">
        <f aca="false">'High scenario'!BO25</f>
        <v>-0.0310378431698652</v>
      </c>
    </row>
    <row r="47" customFormat="false" ht="12.8" hidden="false" customHeight="false" outlineLevel="0" collapsed="false">
      <c r="A47" s="93" t="n">
        <v>2037</v>
      </c>
      <c r="B47" s="97"/>
      <c r="C47" s="100" t="n">
        <f aca="false">'Central scenario'!AL26</f>
        <v>-0.0315220042885188</v>
      </c>
      <c r="D47" s="100" t="n">
        <f aca="false">'Central scenario'!BO26</f>
        <v>-0.0436665802261429</v>
      </c>
      <c r="E47" s="98" t="n">
        <f aca="false">'Low scenario'!AL26</f>
        <v>-0.0426291818561818</v>
      </c>
      <c r="F47" s="98" t="n">
        <f aca="false">'Low scenario'!BO26</f>
        <v>-0.0554356697682636</v>
      </c>
      <c r="G47" s="98" t="n">
        <f aca="false">'High scenario'!AL26</f>
        <v>-0.0187049713039203</v>
      </c>
      <c r="H47" s="98" t="n">
        <f aca="false">'High scenario'!BO26</f>
        <v>-0.0296029190154756</v>
      </c>
    </row>
    <row r="48" customFormat="false" ht="12.8" hidden="false" customHeight="false" outlineLevel="0" collapsed="false">
      <c r="A48" s="93" t="n">
        <v>2038</v>
      </c>
      <c r="B48" s="97"/>
      <c r="C48" s="101" t="n">
        <f aca="false">'Central scenario'!AL27</f>
        <v>-0.03084055973286</v>
      </c>
      <c r="D48" s="101" t="n">
        <f aca="false">'Central scenario'!BO27</f>
        <v>-0.0437255747308359</v>
      </c>
      <c r="E48" s="98" t="n">
        <f aca="false">'Low scenario'!AL27</f>
        <v>-0.0416637295890067</v>
      </c>
      <c r="F48" s="98" t="n">
        <f aca="false">'Low scenario'!BO27</f>
        <v>-0.0552980358376733</v>
      </c>
      <c r="G48" s="98" t="n">
        <f aca="false">'High scenario'!AL27</f>
        <v>-0.0179655738452691</v>
      </c>
      <c r="H48" s="98" t="n">
        <f aca="false">'High scenario'!BO27</f>
        <v>-0.0293518738360084</v>
      </c>
    </row>
    <row r="49" customFormat="false" ht="12.8" hidden="false" customHeight="false" outlineLevel="0" collapsed="false">
      <c r="A49" s="93" t="n">
        <v>2039</v>
      </c>
      <c r="B49" s="102"/>
      <c r="C49" s="101" t="n">
        <f aca="false">'Central scenario'!AL28</f>
        <v>-0.0293000041746727</v>
      </c>
      <c r="D49" s="101" t="n">
        <f aca="false">'Central scenario'!BO28</f>
        <v>-0.0426026379860904</v>
      </c>
      <c r="E49" s="98" t="n">
        <f aca="false">'Low scenario'!AL28</f>
        <v>-0.0417980365372397</v>
      </c>
      <c r="F49" s="98" t="n">
        <f aca="false">'Low scenario'!BO28</f>
        <v>-0.0562396228447419</v>
      </c>
      <c r="G49" s="98" t="n">
        <f aca="false">'High scenario'!AL28</f>
        <v>-0.0169125707386607</v>
      </c>
      <c r="H49" s="98" t="n">
        <f aca="false">'High scenario'!BO28</f>
        <v>-0.0288169028434029</v>
      </c>
    </row>
    <row r="50" customFormat="false" ht="12.8" hidden="false" customHeight="false" outlineLevel="0" collapsed="false">
      <c r="A50" s="93" t="n">
        <v>2040</v>
      </c>
      <c r="B50" s="103"/>
      <c r="C50" s="101" t="n">
        <f aca="false">'Central scenario'!AL29</f>
        <v>-0.0284811067659261</v>
      </c>
      <c r="D50" s="101" t="n">
        <f aca="false">'Central scenario'!BO29</f>
        <v>-0.0422494460449735</v>
      </c>
      <c r="E50" s="98" t="n">
        <f aca="false">'Low scenario'!AL29</f>
        <v>-0.0414898329683462</v>
      </c>
      <c r="F50" s="98" t="n">
        <f aca="false">'Low scenario'!BO29</f>
        <v>-0.056851734988763</v>
      </c>
      <c r="G50" s="98" t="n">
        <f aca="false">'High scenario'!AL29</f>
        <v>-0.0151451879987471</v>
      </c>
      <c r="H50" s="98" t="n">
        <f aca="false">'High scenario'!BO29</f>
        <v>-0.0274613325476741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2020-07-09T20:32:33Z</dcterms:modified>
  <cp:revision>288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