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20" yWindow="0" windowWidth="25600" windowHeight="16060" tabRatio="976" activeTab="2"/>
  </bookViews>
  <sheets>
    <sheet name="Central scenario" sheetId="1" r:id="rId1"/>
    <sheet name="Low scenario" sheetId="2" r:id="rId2"/>
    <sheet name="High scenario" sheetId="3" r:id="rId3"/>
    <sheet name="Graphiques déficit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A29" i="3" l="1"/>
  <c r="BA26" i="3"/>
  <c r="BA27" i="3"/>
  <c r="BA28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BA26" i="1"/>
  <c r="BA29" i="1"/>
  <c r="BA27" i="1"/>
  <c r="BA28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B114" i="3"/>
  <c r="AB115" i="3"/>
  <c r="AB116" i="3"/>
  <c r="AB117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Y83" i="3"/>
  <c r="AZ83" i="3"/>
  <c r="AY84" i="3"/>
  <c r="AZ84" i="3"/>
  <c r="AY85" i="3"/>
  <c r="AZ85" i="3"/>
  <c r="AY86" i="3"/>
  <c r="AZ86" i="3"/>
  <c r="AY87" i="3"/>
  <c r="AZ87" i="3"/>
  <c r="AY88" i="3"/>
  <c r="AZ88" i="3"/>
  <c r="AY89" i="3"/>
  <c r="AZ89" i="3"/>
  <c r="AY90" i="3"/>
  <c r="AZ90" i="3"/>
  <c r="AY91" i="3"/>
  <c r="AZ91" i="3"/>
  <c r="AY92" i="3"/>
  <c r="AZ92" i="3"/>
  <c r="AY93" i="3"/>
  <c r="AZ93" i="3"/>
  <c r="AY94" i="3"/>
  <c r="AZ94" i="3"/>
  <c r="AY95" i="3"/>
  <c r="AZ95" i="3"/>
  <c r="AY96" i="3"/>
  <c r="AZ96" i="3"/>
  <c r="AY97" i="3"/>
  <c r="AZ97" i="3"/>
  <c r="AY98" i="3"/>
  <c r="AZ98" i="3"/>
  <c r="AY99" i="3"/>
  <c r="AZ99" i="3"/>
  <c r="AY100" i="3"/>
  <c r="AZ100" i="3"/>
  <c r="AY101" i="3"/>
  <c r="AZ101" i="3"/>
  <c r="AY102" i="3"/>
  <c r="AZ102" i="3"/>
  <c r="AY103" i="3"/>
  <c r="AZ103" i="3"/>
  <c r="AY104" i="3"/>
  <c r="AZ104" i="3"/>
  <c r="AY105" i="3"/>
  <c r="AZ105" i="3"/>
  <c r="AY106" i="3"/>
  <c r="AZ106" i="3"/>
  <c r="AY107" i="3"/>
  <c r="AZ107" i="3"/>
  <c r="AY108" i="3"/>
  <c r="AZ108" i="3"/>
  <c r="AY109" i="3"/>
  <c r="AZ109" i="3"/>
  <c r="AY110" i="3"/>
  <c r="AZ110" i="3"/>
  <c r="AY111" i="3"/>
  <c r="AZ111" i="3"/>
  <c r="AY112" i="3"/>
  <c r="AZ112" i="3"/>
  <c r="AY113" i="3"/>
  <c r="AZ113" i="3"/>
  <c r="AY114" i="3"/>
  <c r="AZ114" i="3"/>
  <c r="AW114" i="3"/>
  <c r="AF25" i="3"/>
  <c r="AF114" i="3"/>
  <c r="AY115" i="3"/>
  <c r="AZ115" i="3"/>
  <c r="AW115" i="3"/>
  <c r="AF115" i="3"/>
  <c r="AY116" i="3"/>
  <c r="AZ116" i="3"/>
  <c r="AW116" i="3"/>
  <c r="AF116" i="3"/>
  <c r="AY117" i="3"/>
  <c r="AZ117" i="3"/>
  <c r="AW117" i="3"/>
  <c r="AF117" i="3"/>
  <c r="AJ29" i="3"/>
  <c r="F31" i="4"/>
  <c r="AB42" i="3"/>
  <c r="AB43" i="3"/>
  <c r="AB44" i="3"/>
  <c r="AB45" i="3"/>
  <c r="AW42" i="3"/>
  <c r="AF42" i="3"/>
  <c r="AW43" i="3"/>
  <c r="AF43" i="3"/>
  <c r="AW44" i="3"/>
  <c r="AF44" i="3"/>
  <c r="AW45" i="3"/>
  <c r="AF45" i="3"/>
  <c r="AJ11" i="3"/>
  <c r="F13" i="4"/>
  <c r="F32" i="4"/>
  <c r="AB114" i="2"/>
  <c r="AB115" i="2"/>
  <c r="AB116" i="2"/>
  <c r="AB117" i="2"/>
  <c r="AX26" i="2"/>
  <c r="AY26" i="2"/>
  <c r="AX27" i="2"/>
  <c r="AY27" i="2"/>
  <c r="AX28" i="2"/>
  <c r="AY28" i="2"/>
  <c r="AX29" i="2"/>
  <c r="AY29" i="2"/>
  <c r="AX30" i="2"/>
  <c r="AY30" i="2"/>
  <c r="AX31" i="2"/>
  <c r="AY31" i="2"/>
  <c r="AX32" i="2"/>
  <c r="AY32" i="2"/>
  <c r="AX33" i="2"/>
  <c r="AY33" i="2"/>
  <c r="AX34" i="2"/>
  <c r="AY34" i="2"/>
  <c r="AX35" i="2"/>
  <c r="AY35" i="2"/>
  <c r="AX36" i="2"/>
  <c r="AY36" i="2"/>
  <c r="AX37" i="2"/>
  <c r="AY37" i="2"/>
  <c r="AX38" i="2"/>
  <c r="AY38" i="2"/>
  <c r="AX39" i="2"/>
  <c r="AY39" i="2"/>
  <c r="AX40" i="2"/>
  <c r="AY40" i="2"/>
  <c r="AX41" i="2"/>
  <c r="AY41" i="2"/>
  <c r="AX42" i="2"/>
  <c r="AY42" i="2"/>
  <c r="AX43" i="2"/>
  <c r="AY43" i="2"/>
  <c r="AX44" i="2"/>
  <c r="AY44" i="2"/>
  <c r="AX45" i="2"/>
  <c r="AY45" i="2"/>
  <c r="AX46" i="2"/>
  <c r="AY46" i="2"/>
  <c r="AX47" i="2"/>
  <c r="AY47" i="2"/>
  <c r="AX48" i="2"/>
  <c r="AY48" i="2"/>
  <c r="AX49" i="2"/>
  <c r="AY49" i="2"/>
  <c r="AX50" i="2"/>
  <c r="AY50" i="2"/>
  <c r="AX51" i="2"/>
  <c r="AY51" i="2"/>
  <c r="AX52" i="2"/>
  <c r="AY52" i="2"/>
  <c r="AX53" i="2"/>
  <c r="AY53" i="2"/>
  <c r="AX54" i="2"/>
  <c r="AY54" i="2"/>
  <c r="AX55" i="2"/>
  <c r="AY55" i="2"/>
  <c r="AX56" i="2"/>
  <c r="AY56" i="2"/>
  <c r="AX57" i="2"/>
  <c r="AY57" i="2"/>
  <c r="AX58" i="2"/>
  <c r="AY58" i="2"/>
  <c r="AX59" i="2"/>
  <c r="AY59" i="2"/>
  <c r="AX60" i="2"/>
  <c r="AY60" i="2"/>
  <c r="AX61" i="2"/>
  <c r="AY61" i="2"/>
  <c r="AX62" i="2"/>
  <c r="AY62" i="2"/>
  <c r="AX63" i="2"/>
  <c r="AY63" i="2"/>
  <c r="AX64" i="2"/>
  <c r="AY64" i="2"/>
  <c r="AX65" i="2"/>
  <c r="AY65" i="2"/>
  <c r="AX66" i="2"/>
  <c r="AY66" i="2"/>
  <c r="AX67" i="2"/>
  <c r="AY67" i="2"/>
  <c r="AX68" i="2"/>
  <c r="AY68" i="2"/>
  <c r="AX69" i="2"/>
  <c r="AY69" i="2"/>
  <c r="AX70" i="2"/>
  <c r="AY70" i="2"/>
  <c r="AX71" i="2"/>
  <c r="AY71" i="2"/>
  <c r="AX72" i="2"/>
  <c r="AY72" i="2"/>
  <c r="AX73" i="2"/>
  <c r="AY73" i="2"/>
  <c r="AX74" i="2"/>
  <c r="AY74" i="2"/>
  <c r="AX75" i="2"/>
  <c r="AY75" i="2"/>
  <c r="AX76" i="2"/>
  <c r="AY76" i="2"/>
  <c r="AX77" i="2"/>
  <c r="AY77" i="2"/>
  <c r="AX78" i="2"/>
  <c r="AY78" i="2"/>
  <c r="AX79" i="2"/>
  <c r="AY79" i="2"/>
  <c r="AX80" i="2"/>
  <c r="AY80" i="2"/>
  <c r="AX81" i="2"/>
  <c r="AY81" i="2"/>
  <c r="AX82" i="2"/>
  <c r="AY82" i="2"/>
  <c r="AX83" i="2"/>
  <c r="AY83" i="2"/>
  <c r="AX84" i="2"/>
  <c r="AY84" i="2"/>
  <c r="AX85" i="2"/>
  <c r="AY85" i="2"/>
  <c r="AX86" i="2"/>
  <c r="AY86" i="2"/>
  <c r="AX87" i="2"/>
  <c r="AY87" i="2"/>
  <c r="AX88" i="2"/>
  <c r="AY88" i="2"/>
  <c r="AX89" i="2"/>
  <c r="AY89" i="2"/>
  <c r="AX90" i="2"/>
  <c r="AY90" i="2"/>
  <c r="AX91" i="2"/>
  <c r="AY91" i="2"/>
  <c r="AX92" i="2"/>
  <c r="AY92" i="2"/>
  <c r="AX93" i="2"/>
  <c r="AY93" i="2"/>
  <c r="AX94" i="2"/>
  <c r="AY94" i="2"/>
  <c r="AX95" i="2"/>
  <c r="AY95" i="2"/>
  <c r="AX96" i="2"/>
  <c r="AY96" i="2"/>
  <c r="AX97" i="2"/>
  <c r="AY97" i="2"/>
  <c r="AX98" i="2"/>
  <c r="AY98" i="2"/>
  <c r="AX99" i="2"/>
  <c r="AY99" i="2"/>
  <c r="AX100" i="2"/>
  <c r="AY100" i="2"/>
  <c r="AX101" i="2"/>
  <c r="AY101" i="2"/>
  <c r="AX102" i="2"/>
  <c r="AY102" i="2"/>
  <c r="AX103" i="2"/>
  <c r="AY103" i="2"/>
  <c r="AX104" i="2"/>
  <c r="AY104" i="2"/>
  <c r="AX105" i="2"/>
  <c r="AY105" i="2"/>
  <c r="AX106" i="2"/>
  <c r="AY106" i="2"/>
  <c r="AX107" i="2"/>
  <c r="AY107" i="2"/>
  <c r="AX108" i="2"/>
  <c r="AY108" i="2"/>
  <c r="AX109" i="2"/>
  <c r="AY109" i="2"/>
  <c r="AX110" i="2"/>
  <c r="AY110" i="2"/>
  <c r="AX111" i="2"/>
  <c r="AY111" i="2"/>
  <c r="AX112" i="2"/>
  <c r="AY112" i="2"/>
  <c r="AX113" i="2"/>
  <c r="AY113" i="2"/>
  <c r="AX114" i="2"/>
  <c r="AY114" i="2"/>
  <c r="AV114" i="2"/>
  <c r="AF25" i="2"/>
  <c r="AF114" i="2"/>
  <c r="AX115" i="2"/>
  <c r="AY115" i="2"/>
  <c r="AV115" i="2"/>
  <c r="AF115" i="2"/>
  <c r="AX116" i="2"/>
  <c r="AY116" i="2"/>
  <c r="AV116" i="2"/>
  <c r="AF116" i="2"/>
  <c r="AX117" i="2"/>
  <c r="AY117" i="2"/>
  <c r="AV117" i="2"/>
  <c r="AF117" i="2"/>
  <c r="AJ29" i="2"/>
  <c r="D31" i="4"/>
  <c r="AB42" i="2"/>
  <c r="AB43" i="2"/>
  <c r="AB44" i="2"/>
  <c r="AB45" i="2"/>
  <c r="AV42" i="2"/>
  <c r="AF42" i="2"/>
  <c r="AV43" i="2"/>
  <c r="AF43" i="2"/>
  <c r="AV44" i="2"/>
  <c r="AF44" i="2"/>
  <c r="AV45" i="2"/>
  <c r="AF45" i="2"/>
  <c r="AJ11" i="2"/>
  <c r="D13" i="4"/>
  <c r="D32" i="4"/>
  <c r="AB114" i="1"/>
  <c r="AB115" i="1"/>
  <c r="AB116" i="1"/>
  <c r="AB117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2" i="1"/>
  <c r="AZ112" i="1"/>
  <c r="AY113" i="1"/>
  <c r="AZ113" i="1"/>
  <c r="AY114" i="1"/>
  <c r="AZ114" i="1"/>
  <c r="AW114" i="1"/>
  <c r="AF25" i="1"/>
  <c r="AF114" i="1"/>
  <c r="AY115" i="1"/>
  <c r="AZ115" i="1"/>
  <c r="AW115" i="1"/>
  <c r="AF115" i="1"/>
  <c r="AY116" i="1"/>
  <c r="AZ116" i="1"/>
  <c r="AW116" i="1"/>
  <c r="AF116" i="1"/>
  <c r="AY117" i="1"/>
  <c r="AZ117" i="1"/>
  <c r="AW117" i="1"/>
  <c r="AF117" i="1"/>
  <c r="AJ29" i="1"/>
  <c r="B31" i="4"/>
  <c r="AB42" i="1"/>
  <c r="AB43" i="1"/>
  <c r="AB44" i="1"/>
  <c r="AB45" i="1"/>
  <c r="AW42" i="1"/>
  <c r="AF42" i="1"/>
  <c r="AW43" i="1"/>
  <c r="AF43" i="1"/>
  <c r="AW44" i="1"/>
  <c r="AF44" i="1"/>
  <c r="AW45" i="1"/>
  <c r="AF45" i="1"/>
  <c r="AJ11" i="1"/>
  <c r="B13" i="4"/>
  <c r="B32" i="4"/>
  <c r="I31" i="4"/>
  <c r="H31" i="4"/>
  <c r="BH29" i="3"/>
  <c r="BI29" i="3"/>
  <c r="G31" i="4"/>
  <c r="BG29" i="2"/>
  <c r="BH29" i="2"/>
  <c r="E31" i="4"/>
  <c r="BH29" i="1"/>
  <c r="BI29" i="1"/>
  <c r="C31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B110" i="3"/>
  <c r="AB111" i="3"/>
  <c r="AB112" i="3"/>
  <c r="AB113" i="3"/>
  <c r="AW110" i="3"/>
  <c r="AF110" i="3"/>
  <c r="AW111" i="3"/>
  <c r="AF111" i="3"/>
  <c r="AW112" i="3"/>
  <c r="AF112" i="3"/>
  <c r="AW113" i="3"/>
  <c r="AF113" i="3"/>
  <c r="AJ28" i="3"/>
  <c r="BH28" i="3"/>
  <c r="BI28" i="3"/>
  <c r="G30" i="4"/>
  <c r="F30" i="4"/>
  <c r="AB110" i="2"/>
  <c r="AB111" i="2"/>
  <c r="AB112" i="2"/>
  <c r="AB113" i="2"/>
  <c r="AV110" i="2"/>
  <c r="AF110" i="2"/>
  <c r="AV111" i="2"/>
  <c r="AF111" i="2"/>
  <c r="AV112" i="2"/>
  <c r="AF112" i="2"/>
  <c r="AV113" i="2"/>
  <c r="AF113" i="2"/>
  <c r="AJ28" i="2"/>
  <c r="BG28" i="2"/>
  <c r="BH28" i="2"/>
  <c r="E30" i="4"/>
  <c r="D30" i="4"/>
  <c r="AB110" i="1"/>
  <c r="AB111" i="1"/>
  <c r="AB112" i="1"/>
  <c r="AB113" i="1"/>
  <c r="AW110" i="1"/>
  <c r="AF110" i="1"/>
  <c r="AW111" i="1"/>
  <c r="AF111" i="1"/>
  <c r="AW112" i="1"/>
  <c r="AF112" i="1"/>
  <c r="AW113" i="1"/>
  <c r="AF113" i="1"/>
  <c r="AJ28" i="1"/>
  <c r="BH28" i="1"/>
  <c r="BI28" i="1"/>
  <c r="C30" i="4"/>
  <c r="B30" i="4"/>
  <c r="AB106" i="3"/>
  <c r="AB107" i="3"/>
  <c r="AB108" i="3"/>
  <c r="AB109" i="3"/>
  <c r="AW106" i="3"/>
  <c r="AF106" i="3"/>
  <c r="AW107" i="3"/>
  <c r="AF107" i="3"/>
  <c r="AW108" i="3"/>
  <c r="AF108" i="3"/>
  <c r="AW109" i="3"/>
  <c r="AF109" i="3"/>
  <c r="AJ27" i="3"/>
  <c r="BH27" i="3"/>
  <c r="BI27" i="3"/>
  <c r="G29" i="4"/>
  <c r="F29" i="4"/>
  <c r="AB106" i="2"/>
  <c r="AB107" i="2"/>
  <c r="AB108" i="2"/>
  <c r="AB109" i="2"/>
  <c r="AV106" i="2"/>
  <c r="AF106" i="2"/>
  <c r="AV107" i="2"/>
  <c r="AF107" i="2"/>
  <c r="AV108" i="2"/>
  <c r="AF108" i="2"/>
  <c r="AV109" i="2"/>
  <c r="AF109" i="2"/>
  <c r="AJ27" i="2"/>
  <c r="BG27" i="2"/>
  <c r="BH27" i="2"/>
  <c r="E29" i="4"/>
  <c r="D29" i="4"/>
  <c r="AB106" i="1"/>
  <c r="AB107" i="1"/>
  <c r="AB108" i="1"/>
  <c r="AB109" i="1"/>
  <c r="AW106" i="1"/>
  <c r="AF106" i="1"/>
  <c r="AW107" i="1"/>
  <c r="AF107" i="1"/>
  <c r="AW108" i="1"/>
  <c r="AF108" i="1"/>
  <c r="AW109" i="1"/>
  <c r="AF109" i="1"/>
  <c r="AJ27" i="1"/>
  <c r="BH27" i="1"/>
  <c r="BI27" i="1"/>
  <c r="C29" i="4"/>
  <c r="B29" i="4"/>
  <c r="AB102" i="3"/>
  <c r="AB103" i="3"/>
  <c r="AB104" i="3"/>
  <c r="AB105" i="3"/>
  <c r="AW102" i="3"/>
  <c r="AF102" i="3"/>
  <c r="AW103" i="3"/>
  <c r="AF103" i="3"/>
  <c r="AW104" i="3"/>
  <c r="AF104" i="3"/>
  <c r="AW105" i="3"/>
  <c r="AF105" i="3"/>
  <c r="AJ26" i="3"/>
  <c r="BH26" i="3"/>
  <c r="BI26" i="3"/>
  <c r="G28" i="4"/>
  <c r="F28" i="4"/>
  <c r="AB102" i="2"/>
  <c r="AB103" i="2"/>
  <c r="AB104" i="2"/>
  <c r="AB105" i="2"/>
  <c r="AV102" i="2"/>
  <c r="AF102" i="2"/>
  <c r="AV103" i="2"/>
  <c r="AF103" i="2"/>
  <c r="AV104" i="2"/>
  <c r="AF104" i="2"/>
  <c r="AV105" i="2"/>
  <c r="AF105" i="2"/>
  <c r="AJ26" i="2"/>
  <c r="BG26" i="2"/>
  <c r="BH26" i="2"/>
  <c r="E28" i="4"/>
  <c r="D28" i="4"/>
  <c r="AB102" i="1"/>
  <c r="AB103" i="1"/>
  <c r="AB104" i="1"/>
  <c r="AB105" i="1"/>
  <c r="AW102" i="1"/>
  <c r="AF102" i="1"/>
  <c r="AW103" i="1"/>
  <c r="AF103" i="1"/>
  <c r="AW104" i="1"/>
  <c r="AF104" i="1"/>
  <c r="AW105" i="1"/>
  <c r="AF105" i="1"/>
  <c r="AJ26" i="1"/>
  <c r="BH26" i="1"/>
  <c r="BI26" i="1"/>
  <c r="C28" i="4"/>
  <c r="B28" i="4"/>
  <c r="AB98" i="3"/>
  <c r="AB99" i="3"/>
  <c r="AB100" i="3"/>
  <c r="AB101" i="3"/>
  <c r="AW98" i="3"/>
  <c r="AF98" i="3"/>
  <c r="AW99" i="3"/>
  <c r="AF99" i="3"/>
  <c r="AW100" i="3"/>
  <c r="AF100" i="3"/>
  <c r="AW101" i="3"/>
  <c r="AF101" i="3"/>
  <c r="AJ25" i="3"/>
  <c r="BH25" i="3"/>
  <c r="BI25" i="3"/>
  <c r="G27" i="4"/>
  <c r="F27" i="4"/>
  <c r="AB98" i="2"/>
  <c r="AB99" i="2"/>
  <c r="AB100" i="2"/>
  <c r="AB101" i="2"/>
  <c r="AV98" i="2"/>
  <c r="AF98" i="2"/>
  <c r="AV99" i="2"/>
  <c r="AF99" i="2"/>
  <c r="AV100" i="2"/>
  <c r="AF100" i="2"/>
  <c r="AV101" i="2"/>
  <c r="AF101" i="2"/>
  <c r="AJ25" i="2"/>
  <c r="BG25" i="2"/>
  <c r="BH25" i="2"/>
  <c r="E27" i="4"/>
  <c r="D27" i="4"/>
  <c r="AB98" i="1"/>
  <c r="AB99" i="1"/>
  <c r="AB100" i="1"/>
  <c r="AB101" i="1"/>
  <c r="AW98" i="1"/>
  <c r="AF98" i="1"/>
  <c r="AW99" i="1"/>
  <c r="AF99" i="1"/>
  <c r="AW100" i="1"/>
  <c r="AF100" i="1"/>
  <c r="AW101" i="1"/>
  <c r="AF101" i="1"/>
  <c r="AJ25" i="1"/>
  <c r="BH25" i="1"/>
  <c r="BI25" i="1"/>
  <c r="C27" i="4"/>
  <c r="B27" i="4"/>
  <c r="AB94" i="3"/>
  <c r="AB95" i="3"/>
  <c r="AB96" i="3"/>
  <c r="AB97" i="3"/>
  <c r="AW94" i="3"/>
  <c r="AF94" i="3"/>
  <c r="AW95" i="3"/>
  <c r="AF95" i="3"/>
  <c r="AW96" i="3"/>
  <c r="AF96" i="3"/>
  <c r="AW97" i="3"/>
  <c r="AF97" i="3"/>
  <c r="AJ24" i="3"/>
  <c r="BH24" i="3"/>
  <c r="BI24" i="3"/>
  <c r="G26" i="4"/>
  <c r="F26" i="4"/>
  <c r="AB94" i="2"/>
  <c r="AB95" i="2"/>
  <c r="AB96" i="2"/>
  <c r="AB97" i="2"/>
  <c r="AV94" i="2"/>
  <c r="AF94" i="2"/>
  <c r="AV95" i="2"/>
  <c r="AF95" i="2"/>
  <c r="AV96" i="2"/>
  <c r="AF96" i="2"/>
  <c r="AV97" i="2"/>
  <c r="AF97" i="2"/>
  <c r="AJ24" i="2"/>
  <c r="BG24" i="2"/>
  <c r="BH24" i="2"/>
  <c r="E26" i="4"/>
  <c r="D26" i="4"/>
  <c r="AB94" i="1"/>
  <c r="AB95" i="1"/>
  <c r="AB96" i="1"/>
  <c r="AB97" i="1"/>
  <c r="AW94" i="1"/>
  <c r="AF94" i="1"/>
  <c r="AW95" i="1"/>
  <c r="AF95" i="1"/>
  <c r="AW96" i="1"/>
  <c r="AF96" i="1"/>
  <c r="AW97" i="1"/>
  <c r="AF97" i="1"/>
  <c r="AJ24" i="1"/>
  <c r="BH24" i="1"/>
  <c r="BI24" i="1"/>
  <c r="C26" i="4"/>
  <c r="B26" i="4"/>
  <c r="AB90" i="3"/>
  <c r="AB91" i="3"/>
  <c r="AB92" i="3"/>
  <c r="AB93" i="3"/>
  <c r="AW90" i="3"/>
  <c r="AF90" i="3"/>
  <c r="AW91" i="3"/>
  <c r="AF91" i="3"/>
  <c r="AW92" i="3"/>
  <c r="AF92" i="3"/>
  <c r="AW93" i="3"/>
  <c r="AF93" i="3"/>
  <c r="AJ23" i="3"/>
  <c r="BH23" i="3"/>
  <c r="BI23" i="3"/>
  <c r="G25" i="4"/>
  <c r="F25" i="4"/>
  <c r="AB90" i="2"/>
  <c r="AB91" i="2"/>
  <c r="AB92" i="2"/>
  <c r="AB93" i="2"/>
  <c r="AV90" i="2"/>
  <c r="AF90" i="2"/>
  <c r="AV91" i="2"/>
  <c r="AF91" i="2"/>
  <c r="AV92" i="2"/>
  <c r="AF92" i="2"/>
  <c r="AV93" i="2"/>
  <c r="AF93" i="2"/>
  <c r="AJ23" i="2"/>
  <c r="BG23" i="2"/>
  <c r="BH23" i="2"/>
  <c r="E25" i="4"/>
  <c r="D25" i="4"/>
  <c r="AB90" i="1"/>
  <c r="AB91" i="1"/>
  <c r="AB92" i="1"/>
  <c r="AB93" i="1"/>
  <c r="AW90" i="1"/>
  <c r="AF90" i="1"/>
  <c r="AW91" i="1"/>
  <c r="AF91" i="1"/>
  <c r="AW92" i="1"/>
  <c r="AF92" i="1"/>
  <c r="AW93" i="1"/>
  <c r="AF93" i="1"/>
  <c r="AJ23" i="1"/>
  <c r="BH23" i="1"/>
  <c r="BI23" i="1"/>
  <c r="C25" i="4"/>
  <c r="B25" i="4"/>
  <c r="AB86" i="3"/>
  <c r="AB87" i="3"/>
  <c r="AB88" i="3"/>
  <c r="AB89" i="3"/>
  <c r="AW86" i="3"/>
  <c r="AF86" i="3"/>
  <c r="AW87" i="3"/>
  <c r="AF87" i="3"/>
  <c r="AW88" i="3"/>
  <c r="AF88" i="3"/>
  <c r="AW89" i="3"/>
  <c r="AF89" i="3"/>
  <c r="AJ22" i="3"/>
  <c r="BH22" i="3"/>
  <c r="BI22" i="3"/>
  <c r="G24" i="4"/>
  <c r="F24" i="4"/>
  <c r="AB86" i="2"/>
  <c r="AB87" i="2"/>
  <c r="AB88" i="2"/>
  <c r="AB89" i="2"/>
  <c r="AV86" i="2"/>
  <c r="AF86" i="2"/>
  <c r="AV87" i="2"/>
  <c r="AF87" i="2"/>
  <c r="AV88" i="2"/>
  <c r="AF88" i="2"/>
  <c r="AV89" i="2"/>
  <c r="AF89" i="2"/>
  <c r="AJ22" i="2"/>
  <c r="BG22" i="2"/>
  <c r="BH22" i="2"/>
  <c r="E24" i="4"/>
  <c r="D24" i="4"/>
  <c r="AB86" i="1"/>
  <c r="AB87" i="1"/>
  <c r="AB88" i="1"/>
  <c r="AB89" i="1"/>
  <c r="AW86" i="1"/>
  <c r="AF86" i="1"/>
  <c r="AW87" i="1"/>
  <c r="AF87" i="1"/>
  <c r="AW88" i="1"/>
  <c r="AF88" i="1"/>
  <c r="AW89" i="1"/>
  <c r="AF89" i="1"/>
  <c r="AJ22" i="1"/>
  <c r="BH22" i="1"/>
  <c r="BI22" i="1"/>
  <c r="C24" i="4"/>
  <c r="B24" i="4"/>
  <c r="AB82" i="3"/>
  <c r="AB83" i="3"/>
  <c r="AB84" i="3"/>
  <c r="AB85" i="3"/>
  <c r="AW82" i="3"/>
  <c r="AF82" i="3"/>
  <c r="AW83" i="3"/>
  <c r="AF83" i="3"/>
  <c r="AW84" i="3"/>
  <c r="AF84" i="3"/>
  <c r="AW85" i="3"/>
  <c r="AF85" i="3"/>
  <c r="AJ21" i="3"/>
  <c r="BH21" i="3"/>
  <c r="BI21" i="3"/>
  <c r="G23" i="4"/>
  <c r="F23" i="4"/>
  <c r="AB82" i="2"/>
  <c r="AB83" i="2"/>
  <c r="AB84" i="2"/>
  <c r="AB85" i="2"/>
  <c r="AV82" i="2"/>
  <c r="AF82" i="2"/>
  <c r="AV83" i="2"/>
  <c r="AF83" i="2"/>
  <c r="AV84" i="2"/>
  <c r="AF84" i="2"/>
  <c r="AV85" i="2"/>
  <c r="AF85" i="2"/>
  <c r="AJ21" i="2"/>
  <c r="BG21" i="2"/>
  <c r="BH21" i="2"/>
  <c r="E23" i="4"/>
  <c r="D23" i="4"/>
  <c r="AB82" i="1"/>
  <c r="AB83" i="1"/>
  <c r="AB84" i="1"/>
  <c r="AB85" i="1"/>
  <c r="AW82" i="1"/>
  <c r="AF82" i="1"/>
  <c r="AW83" i="1"/>
  <c r="AF83" i="1"/>
  <c r="AW84" i="1"/>
  <c r="AF84" i="1"/>
  <c r="AW85" i="1"/>
  <c r="AF85" i="1"/>
  <c r="AJ21" i="1"/>
  <c r="BH21" i="1"/>
  <c r="BI21" i="1"/>
  <c r="C23" i="4"/>
  <c r="B23" i="4"/>
  <c r="AB78" i="3"/>
  <c r="AB79" i="3"/>
  <c r="AB80" i="3"/>
  <c r="AB81" i="3"/>
  <c r="AW78" i="3"/>
  <c r="AF78" i="3"/>
  <c r="AW79" i="3"/>
  <c r="AF79" i="3"/>
  <c r="AW80" i="3"/>
  <c r="AF80" i="3"/>
  <c r="AW81" i="3"/>
  <c r="AF81" i="3"/>
  <c r="AJ20" i="3"/>
  <c r="BH20" i="3"/>
  <c r="BI20" i="3"/>
  <c r="G22" i="4"/>
  <c r="F22" i="4"/>
  <c r="AB78" i="2"/>
  <c r="AB79" i="2"/>
  <c r="AB80" i="2"/>
  <c r="AB81" i="2"/>
  <c r="AV78" i="2"/>
  <c r="AF78" i="2"/>
  <c r="AV79" i="2"/>
  <c r="AF79" i="2"/>
  <c r="AV80" i="2"/>
  <c r="AF80" i="2"/>
  <c r="AV81" i="2"/>
  <c r="AF81" i="2"/>
  <c r="AJ20" i="2"/>
  <c r="BG20" i="2"/>
  <c r="BH20" i="2"/>
  <c r="E22" i="4"/>
  <c r="D22" i="4"/>
  <c r="AB78" i="1"/>
  <c r="AB79" i="1"/>
  <c r="AB80" i="1"/>
  <c r="AB81" i="1"/>
  <c r="AW78" i="1"/>
  <c r="AF78" i="1"/>
  <c r="AW79" i="1"/>
  <c r="AF79" i="1"/>
  <c r="AW80" i="1"/>
  <c r="AF80" i="1"/>
  <c r="AW81" i="1"/>
  <c r="AF81" i="1"/>
  <c r="AJ20" i="1"/>
  <c r="BH20" i="1"/>
  <c r="BI20" i="1"/>
  <c r="C22" i="4"/>
  <c r="B22" i="4"/>
  <c r="AB74" i="3"/>
  <c r="AB75" i="3"/>
  <c r="AB76" i="3"/>
  <c r="AB77" i="3"/>
  <c r="AW74" i="3"/>
  <c r="AF74" i="3"/>
  <c r="AW75" i="3"/>
  <c r="AF75" i="3"/>
  <c r="AW76" i="3"/>
  <c r="AF76" i="3"/>
  <c r="AW77" i="3"/>
  <c r="AF77" i="3"/>
  <c r="AJ19" i="3"/>
  <c r="BH19" i="3"/>
  <c r="BI19" i="3"/>
  <c r="G21" i="4"/>
  <c r="F21" i="4"/>
  <c r="AB74" i="2"/>
  <c r="AB75" i="2"/>
  <c r="AB76" i="2"/>
  <c r="AB77" i="2"/>
  <c r="AV74" i="2"/>
  <c r="AF74" i="2"/>
  <c r="AV75" i="2"/>
  <c r="AF75" i="2"/>
  <c r="AV76" i="2"/>
  <c r="AF76" i="2"/>
  <c r="AV77" i="2"/>
  <c r="AF77" i="2"/>
  <c r="AJ19" i="2"/>
  <c r="BG19" i="2"/>
  <c r="BH19" i="2"/>
  <c r="E21" i="4"/>
  <c r="D21" i="4"/>
  <c r="AB74" i="1"/>
  <c r="AB75" i="1"/>
  <c r="AB76" i="1"/>
  <c r="AB77" i="1"/>
  <c r="AW74" i="1"/>
  <c r="AF74" i="1"/>
  <c r="AW75" i="1"/>
  <c r="AF75" i="1"/>
  <c r="AW76" i="1"/>
  <c r="AF76" i="1"/>
  <c r="AW77" i="1"/>
  <c r="AF77" i="1"/>
  <c r="AJ19" i="1"/>
  <c r="BH19" i="1"/>
  <c r="BI19" i="1"/>
  <c r="C21" i="4"/>
  <c r="B21" i="4"/>
  <c r="AB70" i="3"/>
  <c r="AB71" i="3"/>
  <c r="AB72" i="3"/>
  <c r="AB73" i="3"/>
  <c r="AW70" i="3"/>
  <c r="AF70" i="3"/>
  <c r="AW71" i="3"/>
  <c r="AF71" i="3"/>
  <c r="AW72" i="3"/>
  <c r="AF72" i="3"/>
  <c r="AW73" i="3"/>
  <c r="AF73" i="3"/>
  <c r="AJ18" i="3"/>
  <c r="BH18" i="3"/>
  <c r="BI18" i="3"/>
  <c r="G20" i="4"/>
  <c r="F20" i="4"/>
  <c r="AB70" i="2"/>
  <c r="AB71" i="2"/>
  <c r="AB72" i="2"/>
  <c r="AB73" i="2"/>
  <c r="AV70" i="2"/>
  <c r="AF70" i="2"/>
  <c r="AV71" i="2"/>
  <c r="AF71" i="2"/>
  <c r="AV72" i="2"/>
  <c r="AF72" i="2"/>
  <c r="AV73" i="2"/>
  <c r="AF73" i="2"/>
  <c r="AJ18" i="2"/>
  <c r="BG18" i="2"/>
  <c r="BH18" i="2"/>
  <c r="E20" i="4"/>
  <c r="D20" i="4"/>
  <c r="AB70" i="1"/>
  <c r="AB71" i="1"/>
  <c r="AB72" i="1"/>
  <c r="AB73" i="1"/>
  <c r="AW70" i="1"/>
  <c r="AF70" i="1"/>
  <c r="AW71" i="1"/>
  <c r="AF71" i="1"/>
  <c r="AW72" i="1"/>
  <c r="AF72" i="1"/>
  <c r="AW73" i="1"/>
  <c r="AF73" i="1"/>
  <c r="AJ18" i="1"/>
  <c r="BH18" i="1"/>
  <c r="BI18" i="1"/>
  <c r="C20" i="4"/>
  <c r="B20" i="4"/>
  <c r="AB66" i="3"/>
  <c r="AB67" i="3"/>
  <c r="AB68" i="3"/>
  <c r="AB69" i="3"/>
  <c r="AW66" i="3"/>
  <c r="AF66" i="3"/>
  <c r="AW67" i="3"/>
  <c r="AF67" i="3"/>
  <c r="AW68" i="3"/>
  <c r="AF68" i="3"/>
  <c r="AW69" i="3"/>
  <c r="AF69" i="3"/>
  <c r="AJ17" i="3"/>
  <c r="BH17" i="3"/>
  <c r="BI17" i="3"/>
  <c r="G19" i="4"/>
  <c r="F19" i="4"/>
  <c r="AB66" i="2"/>
  <c r="AB67" i="2"/>
  <c r="AB68" i="2"/>
  <c r="AB69" i="2"/>
  <c r="AV66" i="2"/>
  <c r="AF66" i="2"/>
  <c r="AV67" i="2"/>
  <c r="AF67" i="2"/>
  <c r="AV68" i="2"/>
  <c r="AF68" i="2"/>
  <c r="AV69" i="2"/>
  <c r="AF69" i="2"/>
  <c r="AJ17" i="2"/>
  <c r="BG17" i="2"/>
  <c r="BH17" i="2"/>
  <c r="E19" i="4"/>
  <c r="D19" i="4"/>
  <c r="AB66" i="1"/>
  <c r="AB67" i="1"/>
  <c r="AB68" i="1"/>
  <c r="AB69" i="1"/>
  <c r="AW66" i="1"/>
  <c r="AF66" i="1"/>
  <c r="AW67" i="1"/>
  <c r="AF67" i="1"/>
  <c r="AW68" i="1"/>
  <c r="AF68" i="1"/>
  <c r="AW69" i="1"/>
  <c r="AF69" i="1"/>
  <c r="AJ17" i="1"/>
  <c r="BH17" i="1"/>
  <c r="BI17" i="1"/>
  <c r="C19" i="4"/>
  <c r="B19" i="4"/>
  <c r="AB62" i="3"/>
  <c r="AB63" i="3"/>
  <c r="AB64" i="3"/>
  <c r="AB65" i="3"/>
  <c r="AW62" i="3"/>
  <c r="AF62" i="3"/>
  <c r="AW63" i="3"/>
  <c r="AF63" i="3"/>
  <c r="AW64" i="3"/>
  <c r="AF64" i="3"/>
  <c r="AW65" i="3"/>
  <c r="AF65" i="3"/>
  <c r="AJ16" i="3"/>
  <c r="BH16" i="3"/>
  <c r="BI16" i="3"/>
  <c r="G18" i="4"/>
  <c r="F18" i="4"/>
  <c r="AB62" i="2"/>
  <c r="AB63" i="2"/>
  <c r="AB64" i="2"/>
  <c r="AB65" i="2"/>
  <c r="AV62" i="2"/>
  <c r="AF62" i="2"/>
  <c r="AV63" i="2"/>
  <c r="AF63" i="2"/>
  <c r="AV64" i="2"/>
  <c r="AF64" i="2"/>
  <c r="AV65" i="2"/>
  <c r="AF65" i="2"/>
  <c r="AJ16" i="2"/>
  <c r="BG16" i="2"/>
  <c r="BH16" i="2"/>
  <c r="E18" i="4"/>
  <c r="D18" i="4"/>
  <c r="AB62" i="1"/>
  <c r="AB63" i="1"/>
  <c r="AB64" i="1"/>
  <c r="AB65" i="1"/>
  <c r="AW62" i="1"/>
  <c r="AF62" i="1"/>
  <c r="AW63" i="1"/>
  <c r="AF63" i="1"/>
  <c r="AW64" i="1"/>
  <c r="AF64" i="1"/>
  <c r="AW65" i="1"/>
  <c r="AF65" i="1"/>
  <c r="AJ16" i="1"/>
  <c r="BH16" i="1"/>
  <c r="BI16" i="1"/>
  <c r="C18" i="4"/>
  <c r="B18" i="4"/>
  <c r="AB58" i="3"/>
  <c r="AB59" i="3"/>
  <c r="AB60" i="3"/>
  <c r="AB61" i="3"/>
  <c r="AW58" i="3"/>
  <c r="AF58" i="3"/>
  <c r="AW59" i="3"/>
  <c r="AF59" i="3"/>
  <c r="AW60" i="3"/>
  <c r="AF60" i="3"/>
  <c r="AW61" i="3"/>
  <c r="AF61" i="3"/>
  <c r="AJ15" i="3"/>
  <c r="BH15" i="3"/>
  <c r="BI15" i="3"/>
  <c r="G17" i="4"/>
  <c r="F17" i="4"/>
  <c r="AB58" i="2"/>
  <c r="AB59" i="2"/>
  <c r="AB60" i="2"/>
  <c r="AB61" i="2"/>
  <c r="AV58" i="2"/>
  <c r="AF58" i="2"/>
  <c r="AV59" i="2"/>
  <c r="AF59" i="2"/>
  <c r="AV60" i="2"/>
  <c r="AF60" i="2"/>
  <c r="AV61" i="2"/>
  <c r="AF61" i="2"/>
  <c r="AJ15" i="2"/>
  <c r="BG15" i="2"/>
  <c r="BH15" i="2"/>
  <c r="E17" i="4"/>
  <c r="D17" i="4"/>
  <c r="AB58" i="1"/>
  <c r="AB59" i="1"/>
  <c r="AB60" i="1"/>
  <c r="AB61" i="1"/>
  <c r="AW58" i="1"/>
  <c r="AF58" i="1"/>
  <c r="AW59" i="1"/>
  <c r="AF59" i="1"/>
  <c r="AW60" i="1"/>
  <c r="AF60" i="1"/>
  <c r="AW61" i="1"/>
  <c r="AF61" i="1"/>
  <c r="AJ15" i="1"/>
  <c r="BH15" i="1"/>
  <c r="BI15" i="1"/>
  <c r="C17" i="4"/>
  <c r="B17" i="4"/>
  <c r="AB54" i="3"/>
  <c r="AB55" i="3"/>
  <c r="AB56" i="3"/>
  <c r="AB57" i="3"/>
  <c r="AW54" i="3"/>
  <c r="AF54" i="3"/>
  <c r="AW55" i="3"/>
  <c r="AF55" i="3"/>
  <c r="AW56" i="3"/>
  <c r="AF56" i="3"/>
  <c r="AW57" i="3"/>
  <c r="AF57" i="3"/>
  <c r="AJ14" i="3"/>
  <c r="BH14" i="3"/>
  <c r="BI14" i="3"/>
  <c r="G16" i="4"/>
  <c r="F16" i="4"/>
  <c r="AB54" i="2"/>
  <c r="AB55" i="2"/>
  <c r="AB56" i="2"/>
  <c r="AB57" i="2"/>
  <c r="AV54" i="2"/>
  <c r="AF54" i="2"/>
  <c r="AV55" i="2"/>
  <c r="AF55" i="2"/>
  <c r="AV56" i="2"/>
  <c r="AF56" i="2"/>
  <c r="AV57" i="2"/>
  <c r="AF57" i="2"/>
  <c r="AJ14" i="2"/>
  <c r="BG14" i="2"/>
  <c r="BH14" i="2"/>
  <c r="E16" i="4"/>
  <c r="D16" i="4"/>
  <c r="AB54" i="1"/>
  <c r="AB55" i="1"/>
  <c r="AB56" i="1"/>
  <c r="AB57" i="1"/>
  <c r="AW54" i="1"/>
  <c r="AF54" i="1"/>
  <c r="AW55" i="1"/>
  <c r="AF55" i="1"/>
  <c r="AW56" i="1"/>
  <c r="AF56" i="1"/>
  <c r="AW57" i="1"/>
  <c r="AF57" i="1"/>
  <c r="AJ14" i="1"/>
  <c r="BH14" i="1"/>
  <c r="BI14" i="1"/>
  <c r="C16" i="4"/>
  <c r="B16" i="4"/>
  <c r="AB50" i="3"/>
  <c r="AB51" i="3"/>
  <c r="AB52" i="3"/>
  <c r="AB53" i="3"/>
  <c r="AW50" i="3"/>
  <c r="AF50" i="3"/>
  <c r="AW51" i="3"/>
  <c r="AF51" i="3"/>
  <c r="AW52" i="3"/>
  <c r="AF52" i="3"/>
  <c r="AW53" i="3"/>
  <c r="AF53" i="3"/>
  <c r="AJ13" i="3"/>
  <c r="BH13" i="3"/>
  <c r="BI13" i="3"/>
  <c r="G15" i="4"/>
  <c r="F15" i="4"/>
  <c r="AB50" i="2"/>
  <c r="AB51" i="2"/>
  <c r="AB52" i="2"/>
  <c r="AB53" i="2"/>
  <c r="AV50" i="2"/>
  <c r="AF50" i="2"/>
  <c r="AV51" i="2"/>
  <c r="AF51" i="2"/>
  <c r="AV52" i="2"/>
  <c r="AF52" i="2"/>
  <c r="AV53" i="2"/>
  <c r="AF53" i="2"/>
  <c r="AJ13" i="2"/>
  <c r="BG13" i="2"/>
  <c r="BH13" i="2"/>
  <c r="E15" i="4"/>
  <c r="D15" i="4"/>
  <c r="AB50" i="1"/>
  <c r="AB51" i="1"/>
  <c r="AB52" i="1"/>
  <c r="AB53" i="1"/>
  <c r="AW50" i="1"/>
  <c r="AF50" i="1"/>
  <c r="AW51" i="1"/>
  <c r="AF51" i="1"/>
  <c r="AW52" i="1"/>
  <c r="AF52" i="1"/>
  <c r="AW53" i="1"/>
  <c r="AF53" i="1"/>
  <c r="AJ13" i="1"/>
  <c r="BH13" i="1"/>
  <c r="BI13" i="1"/>
  <c r="C15" i="4"/>
  <c r="B15" i="4"/>
  <c r="AB46" i="3"/>
  <c r="AB47" i="3"/>
  <c r="AB48" i="3"/>
  <c r="AB49" i="3"/>
  <c r="AW46" i="3"/>
  <c r="AF46" i="3"/>
  <c r="AW47" i="3"/>
  <c r="AF47" i="3"/>
  <c r="AW48" i="3"/>
  <c r="AF48" i="3"/>
  <c r="AW49" i="3"/>
  <c r="AF49" i="3"/>
  <c r="AJ12" i="3"/>
  <c r="BH12" i="3"/>
  <c r="BI12" i="3"/>
  <c r="G14" i="4"/>
  <c r="F14" i="4"/>
  <c r="AB46" i="2"/>
  <c r="AB47" i="2"/>
  <c r="AB48" i="2"/>
  <c r="AB49" i="2"/>
  <c r="AV46" i="2"/>
  <c r="AF46" i="2"/>
  <c r="AV47" i="2"/>
  <c r="AF47" i="2"/>
  <c r="AV48" i="2"/>
  <c r="AF48" i="2"/>
  <c r="AV49" i="2"/>
  <c r="AF49" i="2"/>
  <c r="AJ12" i="2"/>
  <c r="BG12" i="2"/>
  <c r="BH12" i="2"/>
  <c r="E14" i="4"/>
  <c r="D14" i="4"/>
  <c r="AB46" i="1"/>
  <c r="AB47" i="1"/>
  <c r="AB48" i="1"/>
  <c r="AB49" i="1"/>
  <c r="AW46" i="1"/>
  <c r="AF46" i="1"/>
  <c r="AW47" i="1"/>
  <c r="AF47" i="1"/>
  <c r="AW48" i="1"/>
  <c r="AF48" i="1"/>
  <c r="AW49" i="1"/>
  <c r="AF49" i="1"/>
  <c r="AJ12" i="1"/>
  <c r="BH12" i="1"/>
  <c r="BI12" i="1"/>
  <c r="C14" i="4"/>
  <c r="B14" i="4"/>
  <c r="BH11" i="3"/>
  <c r="BI11" i="3"/>
  <c r="G13" i="4"/>
  <c r="BG11" i="2"/>
  <c r="BH11" i="2"/>
  <c r="E13" i="4"/>
  <c r="BH11" i="1"/>
  <c r="BI11" i="1"/>
  <c r="C13" i="4"/>
  <c r="AB38" i="3"/>
  <c r="AB39" i="3"/>
  <c r="AB40" i="3"/>
  <c r="AB41" i="3"/>
  <c r="AW38" i="3"/>
  <c r="AF38" i="3"/>
  <c r="AW39" i="3"/>
  <c r="AF39" i="3"/>
  <c r="AW40" i="3"/>
  <c r="AF40" i="3"/>
  <c r="AW41" i="3"/>
  <c r="AF41" i="3"/>
  <c r="AJ10" i="3"/>
  <c r="BH10" i="3"/>
  <c r="BI10" i="3"/>
  <c r="G12" i="4"/>
  <c r="F12" i="4"/>
  <c r="AB38" i="2"/>
  <c r="AB39" i="2"/>
  <c r="AB40" i="2"/>
  <c r="AB41" i="2"/>
  <c r="AV38" i="2"/>
  <c r="AF38" i="2"/>
  <c r="AV39" i="2"/>
  <c r="AF39" i="2"/>
  <c r="AV40" i="2"/>
  <c r="AF40" i="2"/>
  <c r="AV41" i="2"/>
  <c r="AF41" i="2"/>
  <c r="AJ10" i="2"/>
  <c r="BG10" i="2"/>
  <c r="BH10" i="2"/>
  <c r="E12" i="4"/>
  <c r="D12" i="4"/>
  <c r="AB38" i="1"/>
  <c r="AB39" i="1"/>
  <c r="AB40" i="1"/>
  <c r="AB41" i="1"/>
  <c r="AW38" i="1"/>
  <c r="AF38" i="1"/>
  <c r="AW39" i="1"/>
  <c r="AF39" i="1"/>
  <c r="AW40" i="1"/>
  <c r="AF40" i="1"/>
  <c r="AW41" i="1"/>
  <c r="AF41" i="1"/>
  <c r="AJ10" i="1"/>
  <c r="BH10" i="1"/>
  <c r="BI10" i="1"/>
  <c r="C12" i="4"/>
  <c r="B12" i="4"/>
  <c r="AB34" i="3"/>
  <c r="AB35" i="3"/>
  <c r="AB36" i="3"/>
  <c r="AB37" i="3"/>
  <c r="AW34" i="3"/>
  <c r="AF34" i="3"/>
  <c r="AW35" i="3"/>
  <c r="AF35" i="3"/>
  <c r="AW36" i="3"/>
  <c r="AF36" i="3"/>
  <c r="AW37" i="3"/>
  <c r="AF37" i="3"/>
  <c r="AJ9" i="3"/>
  <c r="BH9" i="3"/>
  <c r="BI9" i="3"/>
  <c r="G11" i="4"/>
  <c r="F11" i="4"/>
  <c r="AB34" i="2"/>
  <c r="AB35" i="2"/>
  <c r="AB36" i="2"/>
  <c r="AB37" i="2"/>
  <c r="AV34" i="2"/>
  <c r="AF34" i="2"/>
  <c r="AV35" i="2"/>
  <c r="AF35" i="2"/>
  <c r="AV36" i="2"/>
  <c r="AF36" i="2"/>
  <c r="AV37" i="2"/>
  <c r="AF37" i="2"/>
  <c r="AJ9" i="2"/>
  <c r="BG9" i="2"/>
  <c r="BH9" i="2"/>
  <c r="E11" i="4"/>
  <c r="D11" i="4"/>
  <c r="AB34" i="1"/>
  <c r="AB35" i="1"/>
  <c r="AB36" i="1"/>
  <c r="AB37" i="1"/>
  <c r="AW34" i="1"/>
  <c r="AF34" i="1"/>
  <c r="AW35" i="1"/>
  <c r="AF35" i="1"/>
  <c r="AW36" i="1"/>
  <c r="AF36" i="1"/>
  <c r="AW37" i="1"/>
  <c r="AF37" i="1"/>
  <c r="AJ9" i="1"/>
  <c r="BH9" i="1"/>
  <c r="BI9" i="1"/>
  <c r="C11" i="4"/>
  <c r="B11" i="4"/>
  <c r="AB30" i="3"/>
  <c r="AB31" i="3"/>
  <c r="AB32" i="3"/>
  <c r="AB33" i="3"/>
  <c r="AW30" i="3"/>
  <c r="AF30" i="3"/>
  <c r="AW31" i="3"/>
  <c r="AF31" i="3"/>
  <c r="AW32" i="3"/>
  <c r="AF32" i="3"/>
  <c r="AW33" i="3"/>
  <c r="AF33" i="3"/>
  <c r="AJ8" i="3"/>
  <c r="BH8" i="3"/>
  <c r="BI8" i="3"/>
  <c r="G10" i="4"/>
  <c r="F10" i="4"/>
  <c r="AB30" i="2"/>
  <c r="AB31" i="2"/>
  <c r="AB32" i="2"/>
  <c r="AB33" i="2"/>
  <c r="AV30" i="2"/>
  <c r="AF30" i="2"/>
  <c r="AV31" i="2"/>
  <c r="AF31" i="2"/>
  <c r="AV32" i="2"/>
  <c r="AF32" i="2"/>
  <c r="AV33" i="2"/>
  <c r="AF33" i="2"/>
  <c r="AJ8" i="2"/>
  <c r="BG8" i="2"/>
  <c r="BH8" i="2"/>
  <c r="E10" i="4"/>
  <c r="D10" i="4"/>
  <c r="AB30" i="1"/>
  <c r="AB31" i="1"/>
  <c r="AB32" i="1"/>
  <c r="AB33" i="1"/>
  <c r="AW30" i="1"/>
  <c r="AF30" i="1"/>
  <c r="AW31" i="1"/>
  <c r="AF31" i="1"/>
  <c r="AW32" i="1"/>
  <c r="AF32" i="1"/>
  <c r="AW33" i="1"/>
  <c r="AF33" i="1"/>
  <c r="AJ8" i="1"/>
  <c r="BH8" i="1"/>
  <c r="BI8" i="1"/>
  <c r="C10" i="4"/>
  <c r="B10" i="4"/>
  <c r="AB26" i="3"/>
  <c r="AB27" i="3"/>
  <c r="AB28" i="3"/>
  <c r="AB29" i="3"/>
  <c r="AW26" i="3"/>
  <c r="AF26" i="3"/>
  <c r="AW27" i="3"/>
  <c r="AF27" i="3"/>
  <c r="AW28" i="3"/>
  <c r="AF28" i="3"/>
  <c r="AW29" i="3"/>
  <c r="AF29" i="3"/>
  <c r="AJ7" i="3"/>
  <c r="BH7" i="3"/>
  <c r="BI7" i="3"/>
  <c r="G9" i="4"/>
  <c r="F9" i="4"/>
  <c r="AB26" i="2"/>
  <c r="AB27" i="2"/>
  <c r="AB28" i="2"/>
  <c r="AB29" i="2"/>
  <c r="AV26" i="2"/>
  <c r="AF26" i="2"/>
  <c r="AV27" i="2"/>
  <c r="AF27" i="2"/>
  <c r="AV28" i="2"/>
  <c r="AF28" i="2"/>
  <c r="AV29" i="2"/>
  <c r="AF29" i="2"/>
  <c r="AJ7" i="2"/>
  <c r="BG7" i="2"/>
  <c r="BH7" i="2"/>
  <c r="E9" i="4"/>
  <c r="D9" i="4"/>
  <c r="AB26" i="1"/>
  <c r="AB27" i="1"/>
  <c r="AB28" i="1"/>
  <c r="AB29" i="1"/>
  <c r="AW26" i="1"/>
  <c r="AF26" i="1"/>
  <c r="AW27" i="1"/>
  <c r="AF27" i="1"/>
  <c r="AW28" i="1"/>
  <c r="AF28" i="1"/>
  <c r="AW29" i="1"/>
  <c r="AF29" i="1"/>
  <c r="AJ7" i="1"/>
  <c r="BH7" i="1"/>
  <c r="BI7" i="1"/>
  <c r="C9" i="4"/>
  <c r="B9" i="4"/>
  <c r="AB22" i="3"/>
  <c r="AB23" i="3"/>
  <c r="AB24" i="3"/>
  <c r="AB25" i="3"/>
  <c r="AF22" i="3"/>
  <c r="AF23" i="3"/>
  <c r="AF24" i="3"/>
  <c r="AJ6" i="3"/>
  <c r="BH6" i="3"/>
  <c r="BI6" i="3"/>
  <c r="G8" i="4"/>
  <c r="F8" i="4"/>
  <c r="AB22" i="2"/>
  <c r="AB23" i="2"/>
  <c r="AB24" i="2"/>
  <c r="AB25" i="2"/>
  <c r="AF22" i="2"/>
  <c r="AF23" i="2"/>
  <c r="AF24" i="2"/>
  <c r="AJ6" i="2"/>
  <c r="BG6" i="2"/>
  <c r="BH6" i="2"/>
  <c r="E8" i="4"/>
  <c r="D8" i="4"/>
  <c r="AB22" i="1"/>
  <c r="AB23" i="1"/>
  <c r="AB24" i="1"/>
  <c r="AB25" i="1"/>
  <c r="AF22" i="1"/>
  <c r="AF23" i="1"/>
  <c r="AF24" i="1"/>
  <c r="AJ6" i="1"/>
  <c r="BH6" i="1"/>
  <c r="BI6" i="1"/>
  <c r="C8" i="4"/>
  <c r="B8" i="4"/>
  <c r="AB18" i="3"/>
  <c r="AB19" i="3"/>
  <c r="AB20" i="3"/>
  <c r="AB21" i="3"/>
  <c r="AF18" i="3"/>
  <c r="AF19" i="3"/>
  <c r="AF20" i="3"/>
  <c r="AF21" i="3"/>
  <c r="AJ5" i="3"/>
  <c r="BH5" i="3"/>
  <c r="BI5" i="3"/>
  <c r="G7" i="4"/>
  <c r="F7" i="4"/>
  <c r="AB18" i="2"/>
  <c r="AB19" i="2"/>
  <c r="AB20" i="2"/>
  <c r="AB21" i="2"/>
  <c r="AF18" i="2"/>
  <c r="AF19" i="2"/>
  <c r="AF20" i="2"/>
  <c r="AF21" i="2"/>
  <c r="AJ5" i="2"/>
  <c r="BG5" i="2"/>
  <c r="BH5" i="2"/>
  <c r="E7" i="4"/>
  <c r="D7" i="4"/>
  <c r="AB18" i="1"/>
  <c r="AB19" i="1"/>
  <c r="AB20" i="1"/>
  <c r="AB21" i="1"/>
  <c r="AF18" i="1"/>
  <c r="AF19" i="1"/>
  <c r="AF20" i="1"/>
  <c r="AF21" i="1"/>
  <c r="AJ5" i="1"/>
  <c r="BH5" i="1"/>
  <c r="BI5" i="1"/>
  <c r="C7" i="4"/>
  <c r="B7" i="4"/>
  <c r="AB14" i="3"/>
  <c r="AB15" i="3"/>
  <c r="AB16" i="3"/>
  <c r="AB17" i="3"/>
  <c r="AF14" i="3"/>
  <c r="AF15" i="3"/>
  <c r="AF16" i="3"/>
  <c r="AF17" i="3"/>
  <c r="AJ4" i="3"/>
  <c r="BH4" i="3"/>
  <c r="BI4" i="3"/>
  <c r="G6" i="4"/>
  <c r="F6" i="4"/>
  <c r="AB14" i="2"/>
  <c r="AB15" i="2"/>
  <c r="AB16" i="2"/>
  <c r="AB17" i="2"/>
  <c r="AF14" i="2"/>
  <c r="AF15" i="2"/>
  <c r="AF16" i="2"/>
  <c r="AF17" i="2"/>
  <c r="AJ4" i="2"/>
  <c r="BG4" i="2"/>
  <c r="BH4" i="2"/>
  <c r="E6" i="4"/>
  <c r="D6" i="4"/>
  <c r="AB14" i="1"/>
  <c r="AB15" i="1"/>
  <c r="AB16" i="1"/>
  <c r="AB17" i="1"/>
  <c r="AF14" i="1"/>
  <c r="AF15" i="1"/>
  <c r="AF16" i="1"/>
  <c r="AF17" i="1"/>
  <c r="AJ4" i="1"/>
  <c r="BH4" i="1"/>
  <c r="BI4" i="1"/>
  <c r="C6" i="4"/>
  <c r="B6" i="4"/>
  <c r="AA3" i="3"/>
  <c r="AA4" i="3"/>
  <c r="AA5" i="3"/>
  <c r="AA6" i="3"/>
  <c r="AF3" i="3"/>
  <c r="AF4" i="3"/>
  <c r="AF5" i="3"/>
  <c r="AF6" i="3"/>
  <c r="AJ3" i="3"/>
  <c r="BH3" i="3"/>
  <c r="BI3" i="3"/>
  <c r="G5" i="4"/>
  <c r="F5" i="4"/>
  <c r="AA3" i="2"/>
  <c r="AA4" i="2"/>
  <c r="AA5" i="2"/>
  <c r="AA6" i="2"/>
  <c r="AF3" i="2"/>
  <c r="AF4" i="2"/>
  <c r="AF5" i="2"/>
  <c r="AF6" i="2"/>
  <c r="AJ3" i="2"/>
  <c r="BG3" i="2"/>
  <c r="BH3" i="2"/>
  <c r="E5" i="4"/>
  <c r="D5" i="4"/>
  <c r="AA3" i="1"/>
  <c r="AA4" i="1"/>
  <c r="AA5" i="1"/>
  <c r="AA6" i="1"/>
  <c r="AF3" i="1"/>
  <c r="AF4" i="1"/>
  <c r="AF5" i="1"/>
  <c r="AF6" i="1"/>
  <c r="AJ3" i="1"/>
  <c r="BH3" i="1"/>
  <c r="BI3" i="1"/>
  <c r="C5" i="4"/>
  <c r="B5" i="4"/>
  <c r="BC117" i="3"/>
  <c r="AH117" i="3"/>
  <c r="AG117" i="3"/>
  <c r="Z1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BC116" i="3"/>
  <c r="AH116" i="3"/>
  <c r="AG116" i="3"/>
  <c r="Z1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BC115" i="3"/>
  <c r="AH115" i="3"/>
  <c r="AG115" i="3"/>
  <c r="Z1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BC114" i="3"/>
  <c r="AH114" i="3"/>
  <c r="AG114" i="3"/>
  <c r="Z1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A110" i="3"/>
  <c r="A114" i="3"/>
  <c r="BC113" i="3"/>
  <c r="AH113" i="3"/>
  <c r="AG113" i="3"/>
  <c r="Z113" i="3"/>
  <c r="BC112" i="3"/>
  <c r="AH112" i="3"/>
  <c r="AG112" i="3"/>
  <c r="Z112" i="3"/>
  <c r="BC111" i="3"/>
  <c r="AH111" i="3"/>
  <c r="AG111" i="3"/>
  <c r="Z111" i="3"/>
  <c r="BC110" i="3"/>
  <c r="AH110" i="3"/>
  <c r="AG110" i="3"/>
  <c r="Z110" i="3"/>
  <c r="BC109" i="3"/>
  <c r="AH109" i="3"/>
  <c r="AG109" i="3"/>
  <c r="Z109" i="3"/>
  <c r="BC108" i="3"/>
  <c r="AH108" i="3"/>
  <c r="AG108" i="3"/>
  <c r="Z108" i="3"/>
  <c r="BC107" i="3"/>
  <c r="AH107" i="3"/>
  <c r="AG107" i="3"/>
  <c r="Z107" i="3"/>
  <c r="BC106" i="3"/>
  <c r="AH106" i="3"/>
  <c r="AG106" i="3"/>
  <c r="Z106" i="3"/>
  <c r="BC105" i="3"/>
  <c r="AH105" i="3"/>
  <c r="AG105" i="3"/>
  <c r="Z105" i="3"/>
  <c r="BC104" i="3"/>
  <c r="AH104" i="3"/>
  <c r="AG104" i="3"/>
  <c r="Z104" i="3"/>
  <c r="BC103" i="3"/>
  <c r="AH103" i="3"/>
  <c r="AG103" i="3"/>
  <c r="Z103" i="3"/>
  <c r="BC102" i="3"/>
  <c r="AH102" i="3"/>
  <c r="AG102" i="3"/>
  <c r="Z102" i="3"/>
  <c r="BC101" i="3"/>
  <c r="AH101" i="3"/>
  <c r="AG101" i="3"/>
  <c r="Z101" i="3"/>
  <c r="BC100" i="3"/>
  <c r="AH100" i="3"/>
  <c r="AG100" i="3"/>
  <c r="Z100" i="3"/>
  <c r="BC99" i="3"/>
  <c r="AH99" i="3"/>
  <c r="AG99" i="3"/>
  <c r="Z99" i="3"/>
  <c r="BC98" i="3"/>
  <c r="AH98" i="3"/>
  <c r="AG98" i="3"/>
  <c r="Z98" i="3"/>
  <c r="BC97" i="3"/>
  <c r="AH97" i="3"/>
  <c r="AG97" i="3"/>
  <c r="Z97" i="3"/>
  <c r="BC96" i="3"/>
  <c r="AH96" i="3"/>
  <c r="AG96" i="3"/>
  <c r="Z96" i="3"/>
  <c r="BC95" i="3"/>
  <c r="AH95" i="3"/>
  <c r="AG95" i="3"/>
  <c r="Z95" i="3"/>
  <c r="BC94" i="3"/>
  <c r="AH94" i="3"/>
  <c r="AG94" i="3"/>
  <c r="Z94" i="3"/>
  <c r="BC93" i="3"/>
  <c r="AH93" i="3"/>
  <c r="AG93" i="3"/>
  <c r="Z93" i="3"/>
  <c r="BC92" i="3"/>
  <c r="AH92" i="3"/>
  <c r="AG92" i="3"/>
  <c r="Z92" i="3"/>
  <c r="BC91" i="3"/>
  <c r="AH91" i="3"/>
  <c r="AG91" i="3"/>
  <c r="Z91" i="3"/>
  <c r="BC90" i="3"/>
  <c r="AH90" i="3"/>
  <c r="AG90" i="3"/>
  <c r="Z90" i="3"/>
  <c r="BC89" i="3"/>
  <c r="AH89" i="3"/>
  <c r="AG89" i="3"/>
  <c r="Z89" i="3"/>
  <c r="BC88" i="3"/>
  <c r="AH88" i="3"/>
  <c r="AG88" i="3"/>
  <c r="Z88" i="3"/>
  <c r="BC87" i="3"/>
  <c r="AH87" i="3"/>
  <c r="AG87" i="3"/>
  <c r="Z87" i="3"/>
  <c r="BC86" i="3"/>
  <c r="AH86" i="3"/>
  <c r="AG86" i="3"/>
  <c r="Z86" i="3"/>
  <c r="BC85" i="3"/>
  <c r="AH85" i="3"/>
  <c r="AG85" i="3"/>
  <c r="Z85" i="3"/>
  <c r="BC84" i="3"/>
  <c r="AH84" i="3"/>
  <c r="AG84" i="3"/>
  <c r="Z84" i="3"/>
  <c r="BC83" i="3"/>
  <c r="AH83" i="3"/>
  <c r="AG83" i="3"/>
  <c r="Z83" i="3"/>
  <c r="BC82" i="3"/>
  <c r="AH82" i="3"/>
  <c r="AG82" i="3"/>
  <c r="Z82" i="3"/>
  <c r="BC81" i="3"/>
  <c r="AH81" i="3"/>
  <c r="AG81" i="3"/>
  <c r="Z81" i="3"/>
  <c r="BC80" i="3"/>
  <c r="AH80" i="3"/>
  <c r="AG80" i="3"/>
  <c r="Z80" i="3"/>
  <c r="BC79" i="3"/>
  <c r="AH79" i="3"/>
  <c r="AG79" i="3"/>
  <c r="Z79" i="3"/>
  <c r="BC78" i="3"/>
  <c r="AH78" i="3"/>
  <c r="AG78" i="3"/>
  <c r="Z78" i="3"/>
  <c r="BC77" i="3"/>
  <c r="AH77" i="3"/>
  <c r="AG77" i="3"/>
  <c r="Z77" i="3"/>
  <c r="BC76" i="3"/>
  <c r="AH76" i="3"/>
  <c r="AG76" i="3"/>
  <c r="Z76" i="3"/>
  <c r="BC75" i="3"/>
  <c r="AH75" i="3"/>
  <c r="AG75" i="3"/>
  <c r="Z75" i="3"/>
  <c r="BC74" i="3"/>
  <c r="AH74" i="3"/>
  <c r="AG74" i="3"/>
  <c r="Z74" i="3"/>
  <c r="BC73" i="3"/>
  <c r="AH73" i="3"/>
  <c r="AG73" i="3"/>
  <c r="Z73" i="3"/>
  <c r="BC72" i="3"/>
  <c r="AH72" i="3"/>
  <c r="AG72" i="3"/>
  <c r="Z72" i="3"/>
  <c r="BC71" i="3"/>
  <c r="AH71" i="3"/>
  <c r="AG71" i="3"/>
  <c r="Z71" i="3"/>
  <c r="BC70" i="3"/>
  <c r="AH70" i="3"/>
  <c r="AG70" i="3"/>
  <c r="Z70" i="3"/>
  <c r="BC69" i="3"/>
  <c r="AH69" i="3"/>
  <c r="AG69" i="3"/>
  <c r="Z69" i="3"/>
  <c r="BC68" i="3"/>
  <c r="AH68" i="3"/>
  <c r="AG68" i="3"/>
  <c r="Z68" i="3"/>
  <c r="BC67" i="3"/>
  <c r="AH67" i="3"/>
  <c r="AG67" i="3"/>
  <c r="Z67" i="3"/>
  <c r="BC66" i="3"/>
  <c r="AH66" i="3"/>
  <c r="AG66" i="3"/>
  <c r="Z66" i="3"/>
  <c r="BC65" i="3"/>
  <c r="AH65" i="3"/>
  <c r="AG65" i="3"/>
  <c r="Z65" i="3"/>
  <c r="BC64" i="3"/>
  <c r="AH64" i="3"/>
  <c r="AG64" i="3"/>
  <c r="Z64" i="3"/>
  <c r="BC63" i="3"/>
  <c r="AH63" i="3"/>
  <c r="AG63" i="3"/>
  <c r="Z63" i="3"/>
  <c r="BC62" i="3"/>
  <c r="AH62" i="3"/>
  <c r="AG62" i="3"/>
  <c r="Z62" i="3"/>
  <c r="BC61" i="3"/>
  <c r="AH61" i="3"/>
  <c r="AG61" i="3"/>
  <c r="Z61" i="3"/>
  <c r="BC60" i="3"/>
  <c r="AH60" i="3"/>
  <c r="AG60" i="3"/>
  <c r="Z60" i="3"/>
  <c r="BC59" i="3"/>
  <c r="AH59" i="3"/>
  <c r="AG59" i="3"/>
  <c r="Z59" i="3"/>
  <c r="BC58" i="3"/>
  <c r="AH58" i="3"/>
  <c r="AG58" i="3"/>
  <c r="Z58" i="3"/>
  <c r="BC57" i="3"/>
  <c r="AH57" i="3"/>
  <c r="AG57" i="3"/>
  <c r="Z57" i="3"/>
  <c r="BC56" i="3"/>
  <c r="AH56" i="3"/>
  <c r="AG56" i="3"/>
  <c r="Z56" i="3"/>
  <c r="BC55" i="3"/>
  <c r="AH55" i="3"/>
  <c r="AG55" i="3"/>
  <c r="Z55" i="3"/>
  <c r="BC54" i="3"/>
  <c r="AH54" i="3"/>
  <c r="AG54" i="3"/>
  <c r="Z54" i="3"/>
  <c r="BC53" i="3"/>
  <c r="AH53" i="3"/>
  <c r="AG53" i="3"/>
  <c r="Z53" i="3"/>
  <c r="BC52" i="3"/>
  <c r="AH52" i="3"/>
  <c r="AG52" i="3"/>
  <c r="Z52" i="3"/>
  <c r="BC51" i="3"/>
  <c r="AH51" i="3"/>
  <c r="AG51" i="3"/>
  <c r="Z51" i="3"/>
  <c r="BC50" i="3"/>
  <c r="AH50" i="3"/>
  <c r="AG50" i="3"/>
  <c r="Z50" i="3"/>
  <c r="BC49" i="3"/>
  <c r="AH49" i="3"/>
  <c r="AG49" i="3"/>
  <c r="Z49" i="3"/>
  <c r="BC48" i="3"/>
  <c r="AH48" i="3"/>
  <c r="AG48" i="3"/>
  <c r="Z48" i="3"/>
  <c r="BC47" i="3"/>
  <c r="AH47" i="3"/>
  <c r="AG47" i="3"/>
  <c r="Z47" i="3"/>
  <c r="BC46" i="3"/>
  <c r="AH46" i="3"/>
  <c r="AG46" i="3"/>
  <c r="Z46" i="3"/>
  <c r="BC45" i="3"/>
  <c r="AH45" i="3"/>
  <c r="AG45" i="3"/>
  <c r="Z45" i="3"/>
  <c r="BC44" i="3"/>
  <c r="AH44" i="3"/>
  <c r="AG44" i="3"/>
  <c r="Z44" i="3"/>
  <c r="BC43" i="3"/>
  <c r="AH43" i="3"/>
  <c r="AG43" i="3"/>
  <c r="Z43" i="3"/>
  <c r="BC42" i="3"/>
  <c r="AH42" i="3"/>
  <c r="AG42" i="3"/>
  <c r="Z42" i="3"/>
  <c r="BC41" i="3"/>
  <c r="AH41" i="3"/>
  <c r="AG41" i="3"/>
  <c r="Z41" i="3"/>
  <c r="BC40" i="3"/>
  <c r="AH40" i="3"/>
  <c r="AG40" i="3"/>
  <c r="Z40" i="3"/>
  <c r="BC39" i="3"/>
  <c r="AH39" i="3"/>
  <c r="AG39" i="3"/>
  <c r="Z39" i="3"/>
  <c r="BC38" i="3"/>
  <c r="AH38" i="3"/>
  <c r="AG38" i="3"/>
  <c r="Z38" i="3"/>
  <c r="BC37" i="3"/>
  <c r="AH37" i="3"/>
  <c r="AG37" i="3"/>
  <c r="Z37" i="3"/>
  <c r="BC36" i="3"/>
  <c r="AH36" i="3"/>
  <c r="AG36" i="3"/>
  <c r="Z36" i="3"/>
  <c r="BC35" i="3"/>
  <c r="AH35" i="3"/>
  <c r="AG35" i="3"/>
  <c r="Z35" i="3"/>
  <c r="BC34" i="3"/>
  <c r="AH34" i="3"/>
  <c r="AG34" i="3"/>
  <c r="Z34" i="3"/>
  <c r="BC33" i="3"/>
  <c r="AH33" i="3"/>
  <c r="AG33" i="3"/>
  <c r="Z33" i="3"/>
  <c r="BC32" i="3"/>
  <c r="AH32" i="3"/>
  <c r="AG32" i="3"/>
  <c r="Z32" i="3"/>
  <c r="C26" i="3"/>
  <c r="C27" i="3"/>
  <c r="C28" i="3"/>
  <c r="C29" i="3"/>
  <c r="C32" i="3"/>
  <c r="BC31" i="3"/>
  <c r="AH31" i="3"/>
  <c r="AG31" i="3"/>
  <c r="Z31" i="3"/>
  <c r="BC30" i="3"/>
  <c r="AM7" i="3"/>
  <c r="AO7" i="3"/>
  <c r="AM8" i="3"/>
  <c r="AN7" i="3"/>
  <c r="AN8" i="3"/>
  <c r="AP8" i="3"/>
  <c r="AM9" i="3"/>
  <c r="AP9" i="3"/>
  <c r="AM10" i="3"/>
  <c r="AP10" i="3"/>
  <c r="AM11" i="3"/>
  <c r="AP11" i="3"/>
  <c r="AM12" i="3"/>
  <c r="AP12" i="3"/>
  <c r="AM13" i="3"/>
  <c r="AP13" i="3"/>
  <c r="AM14" i="3"/>
  <c r="AP14" i="3"/>
  <c r="AM15" i="3"/>
  <c r="AP15" i="3"/>
  <c r="AM16" i="3"/>
  <c r="AP16" i="3"/>
  <c r="AM17" i="3"/>
  <c r="AP17" i="3"/>
  <c r="AM18" i="3"/>
  <c r="AP18" i="3"/>
  <c r="AM19" i="3"/>
  <c r="AP19" i="3"/>
  <c r="AM20" i="3"/>
  <c r="AP20" i="3"/>
  <c r="AM21" i="3"/>
  <c r="AP21" i="3"/>
  <c r="AM22" i="3"/>
  <c r="AP22" i="3"/>
  <c r="AM23" i="3"/>
  <c r="AP23" i="3"/>
  <c r="AM24" i="3"/>
  <c r="AP24" i="3"/>
  <c r="AM25" i="3"/>
  <c r="AP25" i="3"/>
  <c r="AM26" i="3"/>
  <c r="AP26" i="3"/>
  <c r="AM27" i="3"/>
  <c r="AP27" i="3"/>
  <c r="AM28" i="3"/>
  <c r="AP28" i="3"/>
  <c r="AM29" i="3"/>
  <c r="AP29" i="3"/>
  <c r="AP6" i="3"/>
  <c r="AP30" i="3"/>
  <c r="AH30" i="3"/>
  <c r="AG30" i="3"/>
  <c r="Z30" i="3"/>
  <c r="BG29" i="3"/>
  <c r="BF29" i="3"/>
  <c r="BE29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C29" i="3"/>
  <c r="AR29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Q29" i="3"/>
  <c r="AL29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H29" i="3"/>
  <c r="AG29" i="3"/>
  <c r="Z29" i="3"/>
  <c r="BG28" i="3"/>
  <c r="BF28" i="3"/>
  <c r="BE28" i="3"/>
  <c r="BC28" i="3"/>
  <c r="AR28" i="3"/>
  <c r="AQ28" i="3"/>
  <c r="AL28" i="3"/>
  <c r="AH28" i="3"/>
  <c r="AG28" i="3"/>
  <c r="Z28" i="3"/>
  <c r="BG27" i="3"/>
  <c r="BF27" i="3"/>
  <c r="BE27" i="3"/>
  <c r="BC27" i="3"/>
  <c r="AR27" i="3"/>
  <c r="AQ27" i="3"/>
  <c r="AL27" i="3"/>
  <c r="AH27" i="3"/>
  <c r="AG27" i="3"/>
  <c r="Z27" i="3"/>
  <c r="BG26" i="3"/>
  <c r="BF26" i="3"/>
  <c r="BE26" i="3"/>
  <c r="BC26" i="3"/>
  <c r="AR26" i="3"/>
  <c r="AQ26" i="3"/>
  <c r="AL26" i="3"/>
  <c r="AH26" i="3"/>
  <c r="AG26" i="3"/>
  <c r="Z26" i="3"/>
  <c r="BG25" i="3"/>
  <c r="BF25" i="3"/>
  <c r="BE25" i="3"/>
  <c r="BC25" i="3"/>
  <c r="AY25" i="3"/>
  <c r="AW25" i="3"/>
  <c r="AR25" i="3"/>
  <c r="AQ25" i="3"/>
  <c r="AL25" i="3"/>
  <c r="AH25" i="3"/>
  <c r="Z25" i="3"/>
  <c r="BG24" i="3"/>
  <c r="BF24" i="3"/>
  <c r="BE24" i="3"/>
  <c r="BC24" i="3"/>
  <c r="AY24" i="3"/>
  <c r="AW24" i="3"/>
  <c r="AR24" i="3"/>
  <c r="AQ24" i="3"/>
  <c r="AL24" i="3"/>
  <c r="AH24" i="3"/>
  <c r="Z24" i="3"/>
  <c r="BG23" i="3"/>
  <c r="BF23" i="3"/>
  <c r="BE23" i="3"/>
  <c r="BC23" i="3"/>
  <c r="AY23" i="3"/>
  <c r="AW23" i="3"/>
  <c r="AR23" i="3"/>
  <c r="AQ23" i="3"/>
  <c r="AL23" i="3"/>
  <c r="AH23" i="3"/>
  <c r="Z23" i="3"/>
  <c r="BG22" i="3"/>
  <c r="BF22" i="3"/>
  <c r="BE22" i="3"/>
  <c r="BC22" i="3"/>
  <c r="AY22" i="3"/>
  <c r="AW22" i="3"/>
  <c r="AR22" i="3"/>
  <c r="AQ22" i="3"/>
  <c r="AL22" i="3"/>
  <c r="AH22" i="3"/>
  <c r="Z22" i="3"/>
  <c r="BG21" i="3"/>
  <c r="BF21" i="3"/>
  <c r="BE21" i="3"/>
  <c r="BC21" i="3"/>
  <c r="AY21" i="3"/>
  <c r="AW21" i="3"/>
  <c r="AR21" i="3"/>
  <c r="AQ21" i="3"/>
  <c r="AL21" i="3"/>
  <c r="AH21" i="3"/>
  <c r="Z21" i="3"/>
  <c r="BG20" i="3"/>
  <c r="BF20" i="3"/>
  <c r="BE20" i="3"/>
  <c r="BC20" i="3"/>
  <c r="AY20" i="3"/>
  <c r="AW20" i="3"/>
  <c r="AR20" i="3"/>
  <c r="AQ20" i="3"/>
  <c r="AL20" i="3"/>
  <c r="AH20" i="3"/>
  <c r="Z20" i="3"/>
  <c r="BG19" i="3"/>
  <c r="BF19" i="3"/>
  <c r="BE19" i="3"/>
  <c r="BC19" i="3"/>
  <c r="AY19" i="3"/>
  <c r="AW19" i="3"/>
  <c r="AR19" i="3"/>
  <c r="AQ19" i="3"/>
  <c r="AL19" i="3"/>
  <c r="AH19" i="3"/>
  <c r="Z19" i="3"/>
  <c r="BG18" i="3"/>
  <c r="BF18" i="3"/>
  <c r="BE18" i="3"/>
  <c r="BC18" i="3"/>
  <c r="AY18" i="3"/>
  <c r="AW18" i="3"/>
  <c r="AR18" i="3"/>
  <c r="AQ18" i="3"/>
  <c r="AL18" i="3"/>
  <c r="AH18" i="3"/>
  <c r="Z18" i="3"/>
  <c r="BG17" i="3"/>
  <c r="BF17" i="3"/>
  <c r="BE17" i="3"/>
  <c r="BC17" i="3"/>
  <c r="AY17" i="3"/>
  <c r="AW17" i="3"/>
  <c r="AR17" i="3"/>
  <c r="AQ17" i="3"/>
  <c r="AL17" i="3"/>
  <c r="AH17" i="3"/>
  <c r="Z17" i="3"/>
  <c r="BG16" i="3"/>
  <c r="BF16" i="3"/>
  <c r="BE16" i="3"/>
  <c r="BC16" i="3"/>
  <c r="AY16" i="3"/>
  <c r="AW16" i="3"/>
  <c r="AR16" i="3"/>
  <c r="AQ16" i="3"/>
  <c r="AL16" i="3"/>
  <c r="AH16" i="3"/>
  <c r="Z16" i="3"/>
  <c r="BG15" i="3"/>
  <c r="BF15" i="3"/>
  <c r="BE15" i="3"/>
  <c r="BC15" i="3"/>
  <c r="AY15" i="3"/>
  <c r="AW15" i="3"/>
  <c r="AR15" i="3"/>
  <c r="AQ15" i="3"/>
  <c r="AL15" i="3"/>
  <c r="AH15" i="3"/>
  <c r="Z15" i="3"/>
  <c r="BG14" i="3"/>
  <c r="BF14" i="3"/>
  <c r="BE14" i="3"/>
  <c r="BC14" i="3"/>
  <c r="AW14" i="3"/>
  <c r="AR14" i="3"/>
  <c r="AQ14" i="3"/>
  <c r="AL14" i="3"/>
  <c r="AH14" i="3"/>
  <c r="Z14" i="3"/>
  <c r="BG13" i="3"/>
  <c r="BF13" i="3"/>
  <c r="BE13" i="3"/>
  <c r="BC13" i="3"/>
  <c r="AR13" i="3"/>
  <c r="AQ13" i="3"/>
  <c r="AL13" i="3"/>
  <c r="BG12" i="3"/>
  <c r="BF12" i="3"/>
  <c r="BE12" i="3"/>
  <c r="BC12" i="3"/>
  <c r="AV12" i="3"/>
  <c r="AR12" i="3"/>
  <c r="AQ12" i="3"/>
  <c r="AL12" i="3"/>
  <c r="BG11" i="3"/>
  <c r="BF11" i="3"/>
  <c r="BE11" i="3"/>
  <c r="BC11" i="3"/>
  <c r="AV11" i="3"/>
  <c r="AR11" i="3"/>
  <c r="AQ11" i="3"/>
  <c r="AL11" i="3"/>
  <c r="BG10" i="3"/>
  <c r="BF10" i="3"/>
  <c r="BE10" i="3"/>
  <c r="BC10" i="3"/>
  <c r="AV10" i="3"/>
  <c r="AR10" i="3"/>
  <c r="AQ10" i="3"/>
  <c r="AL10" i="3"/>
  <c r="BG9" i="3"/>
  <c r="BF9" i="3"/>
  <c r="BE9" i="3"/>
  <c r="BC9" i="3"/>
  <c r="AV9" i="3"/>
  <c r="AR9" i="3"/>
  <c r="AQ9" i="3"/>
  <c r="AL9" i="3"/>
  <c r="BG8" i="3"/>
  <c r="BF8" i="3"/>
  <c r="BE8" i="3"/>
  <c r="BC8" i="3"/>
  <c r="AV8" i="3"/>
  <c r="AR8" i="3"/>
  <c r="AQ8" i="3"/>
  <c r="AL8" i="3"/>
  <c r="AA8" i="3"/>
  <c r="Y8" i="3"/>
  <c r="BG7" i="3"/>
  <c r="BF7" i="3"/>
  <c r="BE7" i="3"/>
  <c r="BC7" i="3"/>
  <c r="AV7" i="3"/>
  <c r="AP7" i="3"/>
  <c r="AR7" i="3"/>
  <c r="AQ7" i="3"/>
  <c r="AL7" i="3"/>
  <c r="AA7" i="3"/>
  <c r="Y7" i="3"/>
  <c r="BG6" i="3"/>
  <c r="BF6" i="3"/>
  <c r="BE6" i="3"/>
  <c r="BC6" i="3"/>
  <c r="AV6" i="3"/>
  <c r="AR6" i="3"/>
  <c r="AQ6" i="3"/>
  <c r="AH6" i="3"/>
  <c r="Y6" i="3"/>
  <c r="BG5" i="3"/>
  <c r="BF5" i="3"/>
  <c r="BE5" i="3"/>
  <c r="BC5" i="3"/>
  <c r="AV5" i="3"/>
  <c r="AP5" i="3"/>
  <c r="AR5" i="3"/>
  <c r="AQ5" i="3"/>
  <c r="AH5" i="3"/>
  <c r="Y5" i="3"/>
  <c r="BG4" i="3"/>
  <c r="BF4" i="3"/>
  <c r="BE4" i="3"/>
  <c r="BC4" i="3"/>
  <c r="AV4" i="3"/>
  <c r="AP4" i="3"/>
  <c r="AR4" i="3"/>
  <c r="AQ4" i="3"/>
  <c r="AH4" i="3"/>
  <c r="Y4" i="3"/>
  <c r="BG3" i="3"/>
  <c r="BF3" i="3"/>
  <c r="BE3" i="3"/>
  <c r="BC3" i="3"/>
  <c r="AH3" i="3"/>
  <c r="Y3" i="3"/>
  <c r="BB117" i="2"/>
  <c r="AH117" i="2"/>
  <c r="AG117" i="2"/>
  <c r="Z1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A109" i="2"/>
  <c r="A113" i="2"/>
  <c r="A117" i="2"/>
  <c r="BB116" i="2"/>
  <c r="AH116" i="2"/>
  <c r="AG116" i="2"/>
  <c r="Z1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A108" i="2"/>
  <c r="A112" i="2"/>
  <c r="A116" i="2"/>
  <c r="BB115" i="2"/>
  <c r="AH115" i="2"/>
  <c r="AG115" i="2"/>
  <c r="Z1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A107" i="2"/>
  <c r="A111" i="2"/>
  <c r="A115" i="2"/>
  <c r="BB114" i="2"/>
  <c r="AH114" i="2"/>
  <c r="AG114" i="2"/>
  <c r="Z1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BB113" i="2"/>
  <c r="AH113" i="2"/>
  <c r="AG113" i="2"/>
  <c r="Z113" i="2"/>
  <c r="BB112" i="2"/>
  <c r="AH112" i="2"/>
  <c r="AG112" i="2"/>
  <c r="Z112" i="2"/>
  <c r="BB111" i="2"/>
  <c r="AH111" i="2"/>
  <c r="AG111" i="2"/>
  <c r="Z111" i="2"/>
  <c r="BB110" i="2"/>
  <c r="AH110" i="2"/>
  <c r="AG110" i="2"/>
  <c r="Z110" i="2"/>
  <c r="BB109" i="2"/>
  <c r="AH109" i="2"/>
  <c r="AG109" i="2"/>
  <c r="Z109" i="2"/>
  <c r="BB108" i="2"/>
  <c r="AH108" i="2"/>
  <c r="AG108" i="2"/>
  <c r="Z108" i="2"/>
  <c r="BB107" i="2"/>
  <c r="AH107" i="2"/>
  <c r="AG107" i="2"/>
  <c r="Z107" i="2"/>
  <c r="BB106" i="2"/>
  <c r="AH106" i="2"/>
  <c r="AG106" i="2"/>
  <c r="Z106" i="2"/>
  <c r="BB105" i="2"/>
  <c r="AH105" i="2"/>
  <c r="AG105" i="2"/>
  <c r="Z105" i="2"/>
  <c r="BB104" i="2"/>
  <c r="AH104" i="2"/>
  <c r="AG104" i="2"/>
  <c r="Z104" i="2"/>
  <c r="BB103" i="2"/>
  <c r="AH103" i="2"/>
  <c r="AG103" i="2"/>
  <c r="Z103" i="2"/>
  <c r="BB102" i="2"/>
  <c r="AH102" i="2"/>
  <c r="AG102" i="2"/>
  <c r="Z102" i="2"/>
  <c r="BB101" i="2"/>
  <c r="AH101" i="2"/>
  <c r="AG101" i="2"/>
  <c r="Z101" i="2"/>
  <c r="BB100" i="2"/>
  <c r="AH100" i="2"/>
  <c r="AG100" i="2"/>
  <c r="Z100" i="2"/>
  <c r="BB99" i="2"/>
  <c r="AH99" i="2"/>
  <c r="AG99" i="2"/>
  <c r="Z99" i="2"/>
  <c r="BB98" i="2"/>
  <c r="AH98" i="2"/>
  <c r="AG98" i="2"/>
  <c r="Z98" i="2"/>
  <c r="BB97" i="2"/>
  <c r="AH97" i="2"/>
  <c r="AG97" i="2"/>
  <c r="Z97" i="2"/>
  <c r="BB96" i="2"/>
  <c r="AH96" i="2"/>
  <c r="AG96" i="2"/>
  <c r="Z96" i="2"/>
  <c r="BB95" i="2"/>
  <c r="AH95" i="2"/>
  <c r="AG95" i="2"/>
  <c r="Z95" i="2"/>
  <c r="BB94" i="2"/>
  <c r="AH94" i="2"/>
  <c r="AG94" i="2"/>
  <c r="Z94" i="2"/>
  <c r="BB93" i="2"/>
  <c r="AH93" i="2"/>
  <c r="AG93" i="2"/>
  <c r="Z93" i="2"/>
  <c r="BB92" i="2"/>
  <c r="AH92" i="2"/>
  <c r="AG92" i="2"/>
  <c r="Z92" i="2"/>
  <c r="BB91" i="2"/>
  <c r="AH91" i="2"/>
  <c r="AG91" i="2"/>
  <c r="Z91" i="2"/>
  <c r="BB90" i="2"/>
  <c r="AH90" i="2"/>
  <c r="AG90" i="2"/>
  <c r="Z90" i="2"/>
  <c r="BB89" i="2"/>
  <c r="AH89" i="2"/>
  <c r="AG89" i="2"/>
  <c r="Z89" i="2"/>
  <c r="BB88" i="2"/>
  <c r="AH88" i="2"/>
  <c r="AG88" i="2"/>
  <c r="Z88" i="2"/>
  <c r="BB87" i="2"/>
  <c r="AH87" i="2"/>
  <c r="AG87" i="2"/>
  <c r="Z87" i="2"/>
  <c r="BB86" i="2"/>
  <c r="AH86" i="2"/>
  <c r="AG86" i="2"/>
  <c r="Z86" i="2"/>
  <c r="BB85" i="2"/>
  <c r="AH85" i="2"/>
  <c r="AG85" i="2"/>
  <c r="Z85" i="2"/>
  <c r="BB84" i="2"/>
  <c r="AH84" i="2"/>
  <c r="AG84" i="2"/>
  <c r="Z84" i="2"/>
  <c r="BB83" i="2"/>
  <c r="AH83" i="2"/>
  <c r="AG83" i="2"/>
  <c r="Z83" i="2"/>
  <c r="BB82" i="2"/>
  <c r="AH82" i="2"/>
  <c r="AG82" i="2"/>
  <c r="Z82" i="2"/>
  <c r="BB81" i="2"/>
  <c r="AH81" i="2"/>
  <c r="AG81" i="2"/>
  <c r="Z81" i="2"/>
  <c r="BB80" i="2"/>
  <c r="AH80" i="2"/>
  <c r="AG80" i="2"/>
  <c r="Z80" i="2"/>
  <c r="BB79" i="2"/>
  <c r="AH79" i="2"/>
  <c r="AG79" i="2"/>
  <c r="Z79" i="2"/>
  <c r="BB78" i="2"/>
  <c r="AH78" i="2"/>
  <c r="AG78" i="2"/>
  <c r="Z78" i="2"/>
  <c r="BB77" i="2"/>
  <c r="AH77" i="2"/>
  <c r="AG77" i="2"/>
  <c r="Z77" i="2"/>
  <c r="BB76" i="2"/>
  <c r="AH76" i="2"/>
  <c r="AG76" i="2"/>
  <c r="Z76" i="2"/>
  <c r="BB75" i="2"/>
  <c r="AH75" i="2"/>
  <c r="AG75" i="2"/>
  <c r="Z75" i="2"/>
  <c r="BB74" i="2"/>
  <c r="AH74" i="2"/>
  <c r="AG74" i="2"/>
  <c r="Z74" i="2"/>
  <c r="BB73" i="2"/>
  <c r="AH73" i="2"/>
  <c r="AG73" i="2"/>
  <c r="Z73" i="2"/>
  <c r="BB72" i="2"/>
  <c r="AH72" i="2"/>
  <c r="AG72" i="2"/>
  <c r="Z72" i="2"/>
  <c r="BB71" i="2"/>
  <c r="AH71" i="2"/>
  <c r="AG71" i="2"/>
  <c r="Z71" i="2"/>
  <c r="BB70" i="2"/>
  <c r="AH70" i="2"/>
  <c r="AG70" i="2"/>
  <c r="Z70" i="2"/>
  <c r="BB69" i="2"/>
  <c r="AH69" i="2"/>
  <c r="AG69" i="2"/>
  <c r="Z69" i="2"/>
  <c r="BB68" i="2"/>
  <c r="AH68" i="2"/>
  <c r="AG68" i="2"/>
  <c r="Z68" i="2"/>
  <c r="BB67" i="2"/>
  <c r="AH67" i="2"/>
  <c r="AG67" i="2"/>
  <c r="Z67" i="2"/>
  <c r="BB66" i="2"/>
  <c r="AH66" i="2"/>
  <c r="AG66" i="2"/>
  <c r="Z66" i="2"/>
  <c r="BB65" i="2"/>
  <c r="AH65" i="2"/>
  <c r="AG65" i="2"/>
  <c r="Z65" i="2"/>
  <c r="BB64" i="2"/>
  <c r="AH64" i="2"/>
  <c r="AG64" i="2"/>
  <c r="Z64" i="2"/>
  <c r="BB63" i="2"/>
  <c r="AH63" i="2"/>
  <c r="AG63" i="2"/>
  <c r="Z63" i="2"/>
  <c r="BB62" i="2"/>
  <c r="AH62" i="2"/>
  <c r="AG62" i="2"/>
  <c r="Z62" i="2"/>
  <c r="BB61" i="2"/>
  <c r="AH61" i="2"/>
  <c r="AG61" i="2"/>
  <c r="Z61" i="2"/>
  <c r="BB60" i="2"/>
  <c r="AH60" i="2"/>
  <c r="AG60" i="2"/>
  <c r="Z60" i="2"/>
  <c r="BB59" i="2"/>
  <c r="AH59" i="2"/>
  <c r="AG59" i="2"/>
  <c r="Z59" i="2"/>
  <c r="BB58" i="2"/>
  <c r="AH58" i="2"/>
  <c r="AG58" i="2"/>
  <c r="Z58" i="2"/>
  <c r="BB57" i="2"/>
  <c r="AH57" i="2"/>
  <c r="AG57" i="2"/>
  <c r="Z57" i="2"/>
  <c r="BB56" i="2"/>
  <c r="AH56" i="2"/>
  <c r="AG56" i="2"/>
  <c r="Z56" i="2"/>
  <c r="BB55" i="2"/>
  <c r="AH55" i="2"/>
  <c r="AG55" i="2"/>
  <c r="Z55" i="2"/>
  <c r="BB54" i="2"/>
  <c r="AH54" i="2"/>
  <c r="AG54" i="2"/>
  <c r="Z54" i="2"/>
  <c r="BB53" i="2"/>
  <c r="AH53" i="2"/>
  <c r="AG53" i="2"/>
  <c r="Z53" i="2"/>
  <c r="BB52" i="2"/>
  <c r="AH52" i="2"/>
  <c r="AG52" i="2"/>
  <c r="Z52" i="2"/>
  <c r="BB51" i="2"/>
  <c r="AH51" i="2"/>
  <c r="AG51" i="2"/>
  <c r="Z51" i="2"/>
  <c r="BB50" i="2"/>
  <c r="AH50" i="2"/>
  <c r="AG50" i="2"/>
  <c r="Z50" i="2"/>
  <c r="BB49" i="2"/>
  <c r="AH49" i="2"/>
  <c r="AG49" i="2"/>
  <c r="Z49" i="2"/>
  <c r="BB48" i="2"/>
  <c r="AH48" i="2"/>
  <c r="AG48" i="2"/>
  <c r="Z48" i="2"/>
  <c r="BB47" i="2"/>
  <c r="AH47" i="2"/>
  <c r="AG47" i="2"/>
  <c r="Z47" i="2"/>
  <c r="BB46" i="2"/>
  <c r="AH46" i="2"/>
  <c r="AG46" i="2"/>
  <c r="Z46" i="2"/>
  <c r="BB45" i="2"/>
  <c r="AH45" i="2"/>
  <c r="AG45" i="2"/>
  <c r="Z45" i="2"/>
  <c r="BB44" i="2"/>
  <c r="AH44" i="2"/>
  <c r="AG44" i="2"/>
  <c r="Z44" i="2"/>
  <c r="BB43" i="2"/>
  <c r="AH43" i="2"/>
  <c r="AG43" i="2"/>
  <c r="Z43" i="2"/>
  <c r="BB42" i="2"/>
  <c r="AH42" i="2"/>
  <c r="AG42" i="2"/>
  <c r="Z42" i="2"/>
  <c r="BB41" i="2"/>
  <c r="AH41" i="2"/>
  <c r="AG41" i="2"/>
  <c r="Z41" i="2"/>
  <c r="BB40" i="2"/>
  <c r="AH40" i="2"/>
  <c r="AG40" i="2"/>
  <c r="Z40" i="2"/>
  <c r="BB39" i="2"/>
  <c r="AH39" i="2"/>
  <c r="AG39" i="2"/>
  <c r="Z39" i="2"/>
  <c r="BB38" i="2"/>
  <c r="AH38" i="2"/>
  <c r="AG38" i="2"/>
  <c r="Z38" i="2"/>
  <c r="BB37" i="2"/>
  <c r="AH37" i="2"/>
  <c r="AG37" i="2"/>
  <c r="Z37" i="2"/>
  <c r="BB36" i="2"/>
  <c r="AH36" i="2"/>
  <c r="AG36" i="2"/>
  <c r="Z36" i="2"/>
  <c r="BB35" i="2"/>
  <c r="AH35" i="2"/>
  <c r="AG35" i="2"/>
  <c r="Z35" i="2"/>
  <c r="BB34" i="2"/>
  <c r="AH34" i="2"/>
  <c r="AG34" i="2"/>
  <c r="Z34" i="2"/>
  <c r="BB33" i="2"/>
  <c r="AH33" i="2"/>
  <c r="AG33" i="2"/>
  <c r="Z33" i="2"/>
  <c r="BB32" i="2"/>
  <c r="AH32" i="2"/>
  <c r="AG32" i="2"/>
  <c r="Z32" i="2"/>
  <c r="C26" i="2"/>
  <c r="C27" i="2"/>
  <c r="C28" i="2"/>
  <c r="C29" i="2"/>
  <c r="C32" i="2"/>
  <c r="BB31" i="2"/>
  <c r="AH31" i="2"/>
  <c r="AG31" i="2"/>
  <c r="Z31" i="2"/>
  <c r="BB30" i="2"/>
  <c r="AM7" i="2"/>
  <c r="AO7" i="2"/>
  <c r="AM8" i="2"/>
  <c r="AN7" i="2"/>
  <c r="AN8" i="2"/>
  <c r="AP8" i="2"/>
  <c r="AM9" i="2"/>
  <c r="AP9" i="2"/>
  <c r="AM10" i="2"/>
  <c r="AP10" i="2"/>
  <c r="AM11" i="2"/>
  <c r="AP11" i="2"/>
  <c r="AM12" i="2"/>
  <c r="AP12" i="2"/>
  <c r="AM13" i="2"/>
  <c r="AP13" i="2"/>
  <c r="AM14" i="2"/>
  <c r="AP14" i="2"/>
  <c r="AM15" i="2"/>
  <c r="AP15" i="2"/>
  <c r="AM16" i="2"/>
  <c r="AP16" i="2"/>
  <c r="AM17" i="2"/>
  <c r="AP17" i="2"/>
  <c r="AM18" i="2"/>
  <c r="AP18" i="2"/>
  <c r="AM19" i="2"/>
  <c r="AP19" i="2"/>
  <c r="AM20" i="2"/>
  <c r="AP20" i="2"/>
  <c r="AM21" i="2"/>
  <c r="AP21" i="2"/>
  <c r="AM22" i="2"/>
  <c r="AP22" i="2"/>
  <c r="AM23" i="2"/>
  <c r="AP23" i="2"/>
  <c r="AM24" i="2"/>
  <c r="AP24" i="2"/>
  <c r="AM25" i="2"/>
  <c r="AP25" i="2"/>
  <c r="AM26" i="2"/>
  <c r="AP26" i="2"/>
  <c r="AM27" i="2"/>
  <c r="AP27" i="2"/>
  <c r="AM28" i="2"/>
  <c r="AP28" i="2"/>
  <c r="AM29" i="2"/>
  <c r="AP29" i="2"/>
  <c r="AP6" i="2"/>
  <c r="AP30" i="2"/>
  <c r="AH30" i="2"/>
  <c r="AG30" i="2"/>
  <c r="Z30" i="2"/>
  <c r="BF29" i="2"/>
  <c r="BE29" i="2"/>
  <c r="BD29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B29" i="2"/>
  <c r="AR29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Q29" i="2"/>
  <c r="AL29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H29" i="2"/>
  <c r="AG29" i="2"/>
  <c r="Z29" i="2"/>
  <c r="BF28" i="2"/>
  <c r="BE28" i="2"/>
  <c r="BD28" i="2"/>
  <c r="BB28" i="2"/>
  <c r="AR28" i="2"/>
  <c r="AQ28" i="2"/>
  <c r="AL28" i="2"/>
  <c r="AH28" i="2"/>
  <c r="AG28" i="2"/>
  <c r="Z28" i="2"/>
  <c r="BF27" i="2"/>
  <c r="BE27" i="2"/>
  <c r="BD27" i="2"/>
  <c r="BB27" i="2"/>
  <c r="AR27" i="2"/>
  <c r="AQ27" i="2"/>
  <c r="AL27" i="2"/>
  <c r="AH27" i="2"/>
  <c r="AG27" i="2"/>
  <c r="Z27" i="2"/>
  <c r="BF26" i="2"/>
  <c r="BE26" i="2"/>
  <c r="BD26" i="2"/>
  <c r="BB26" i="2"/>
  <c r="AR26" i="2"/>
  <c r="AQ26" i="2"/>
  <c r="AL26" i="2"/>
  <c r="AH26" i="2"/>
  <c r="AG26" i="2"/>
  <c r="Z26" i="2"/>
  <c r="BF25" i="2"/>
  <c r="BE25" i="2"/>
  <c r="BD25" i="2"/>
  <c r="BB25" i="2"/>
  <c r="AX25" i="2"/>
  <c r="AV25" i="2"/>
  <c r="AR25" i="2"/>
  <c r="AQ25" i="2"/>
  <c r="AL25" i="2"/>
  <c r="AH25" i="2"/>
  <c r="Z25" i="2"/>
  <c r="BF24" i="2"/>
  <c r="BE24" i="2"/>
  <c r="BD24" i="2"/>
  <c r="BB24" i="2"/>
  <c r="AX24" i="2"/>
  <c r="AV24" i="2"/>
  <c r="AR24" i="2"/>
  <c r="AQ24" i="2"/>
  <c r="AL24" i="2"/>
  <c r="AH24" i="2"/>
  <c r="Z24" i="2"/>
  <c r="BF23" i="2"/>
  <c r="BE23" i="2"/>
  <c r="BD23" i="2"/>
  <c r="BB23" i="2"/>
  <c r="AX23" i="2"/>
  <c r="AV23" i="2"/>
  <c r="AR23" i="2"/>
  <c r="AQ23" i="2"/>
  <c r="AL23" i="2"/>
  <c r="AH23" i="2"/>
  <c r="Z23" i="2"/>
  <c r="BF22" i="2"/>
  <c r="BE22" i="2"/>
  <c r="BD22" i="2"/>
  <c r="BB22" i="2"/>
  <c r="AX22" i="2"/>
  <c r="AV22" i="2"/>
  <c r="AR22" i="2"/>
  <c r="AQ22" i="2"/>
  <c r="AL22" i="2"/>
  <c r="AH22" i="2"/>
  <c r="Z22" i="2"/>
  <c r="BF21" i="2"/>
  <c r="BE21" i="2"/>
  <c r="BD21" i="2"/>
  <c r="BB21" i="2"/>
  <c r="AX21" i="2"/>
  <c r="AV21" i="2"/>
  <c r="AR21" i="2"/>
  <c r="AQ21" i="2"/>
  <c r="AL21" i="2"/>
  <c r="AH21" i="2"/>
  <c r="Z21" i="2"/>
  <c r="BF20" i="2"/>
  <c r="BE20" i="2"/>
  <c r="BD20" i="2"/>
  <c r="BB20" i="2"/>
  <c r="AX20" i="2"/>
  <c r="AV20" i="2"/>
  <c r="AR20" i="2"/>
  <c r="AQ20" i="2"/>
  <c r="AL20" i="2"/>
  <c r="AH20" i="2"/>
  <c r="Z20" i="2"/>
  <c r="BF19" i="2"/>
  <c r="BE19" i="2"/>
  <c r="BD19" i="2"/>
  <c r="BB19" i="2"/>
  <c r="AX19" i="2"/>
  <c r="AV19" i="2"/>
  <c r="AR19" i="2"/>
  <c r="AQ19" i="2"/>
  <c r="AL19" i="2"/>
  <c r="AH19" i="2"/>
  <c r="Z19" i="2"/>
  <c r="BF18" i="2"/>
  <c r="BE18" i="2"/>
  <c r="BD18" i="2"/>
  <c r="BB18" i="2"/>
  <c r="AX18" i="2"/>
  <c r="AV18" i="2"/>
  <c r="AR18" i="2"/>
  <c r="AQ18" i="2"/>
  <c r="AL18" i="2"/>
  <c r="AH18" i="2"/>
  <c r="Z18" i="2"/>
  <c r="BF17" i="2"/>
  <c r="BE17" i="2"/>
  <c r="BD17" i="2"/>
  <c r="BB17" i="2"/>
  <c r="AX17" i="2"/>
  <c r="AV17" i="2"/>
  <c r="AR17" i="2"/>
  <c r="AQ17" i="2"/>
  <c r="AL17" i="2"/>
  <c r="AH17" i="2"/>
  <c r="Z17" i="2"/>
  <c r="BF16" i="2"/>
  <c r="BE16" i="2"/>
  <c r="BD16" i="2"/>
  <c r="BB16" i="2"/>
  <c r="AX16" i="2"/>
  <c r="AV16" i="2"/>
  <c r="AR16" i="2"/>
  <c r="AQ16" i="2"/>
  <c r="AL16" i="2"/>
  <c r="AH16" i="2"/>
  <c r="Z16" i="2"/>
  <c r="BF15" i="2"/>
  <c r="BE15" i="2"/>
  <c r="BD15" i="2"/>
  <c r="BB15" i="2"/>
  <c r="AX15" i="2"/>
  <c r="AV15" i="2"/>
  <c r="AR15" i="2"/>
  <c r="AQ15" i="2"/>
  <c r="AL15" i="2"/>
  <c r="AH15" i="2"/>
  <c r="Z15" i="2"/>
  <c r="BF14" i="2"/>
  <c r="BE14" i="2"/>
  <c r="BD14" i="2"/>
  <c r="BB14" i="2"/>
  <c r="AV14" i="2"/>
  <c r="AR14" i="2"/>
  <c r="AQ14" i="2"/>
  <c r="AL14" i="2"/>
  <c r="AH14" i="2"/>
  <c r="Z14" i="2"/>
  <c r="BF13" i="2"/>
  <c r="BE13" i="2"/>
  <c r="BD13" i="2"/>
  <c r="BB13" i="2"/>
  <c r="AR13" i="2"/>
  <c r="AQ13" i="2"/>
  <c r="AL13" i="2"/>
  <c r="BF12" i="2"/>
  <c r="BE12" i="2"/>
  <c r="BD12" i="2"/>
  <c r="BB12" i="2"/>
  <c r="AU12" i="2"/>
  <c r="AR12" i="2"/>
  <c r="AQ12" i="2"/>
  <c r="AL12" i="2"/>
  <c r="BF11" i="2"/>
  <c r="BE11" i="2"/>
  <c r="BD11" i="2"/>
  <c r="BB11" i="2"/>
  <c r="AU11" i="2"/>
  <c r="AR11" i="2"/>
  <c r="AQ11" i="2"/>
  <c r="AL11" i="2"/>
  <c r="BF10" i="2"/>
  <c r="BE10" i="2"/>
  <c r="BD10" i="2"/>
  <c r="BB10" i="2"/>
  <c r="AU10" i="2"/>
  <c r="AR10" i="2"/>
  <c r="AQ10" i="2"/>
  <c r="AL10" i="2"/>
  <c r="BF9" i="2"/>
  <c r="BE9" i="2"/>
  <c r="BD9" i="2"/>
  <c r="BB9" i="2"/>
  <c r="AU9" i="2"/>
  <c r="AR9" i="2"/>
  <c r="AQ9" i="2"/>
  <c r="AL9" i="2"/>
  <c r="BF8" i="2"/>
  <c r="BE8" i="2"/>
  <c r="BD8" i="2"/>
  <c r="BB8" i="2"/>
  <c r="AU8" i="2"/>
  <c r="AR8" i="2"/>
  <c r="AQ8" i="2"/>
  <c r="AL8" i="2"/>
  <c r="AA8" i="2"/>
  <c r="Y8" i="2"/>
  <c r="BF7" i="2"/>
  <c r="BE7" i="2"/>
  <c r="BD7" i="2"/>
  <c r="BB7" i="2"/>
  <c r="AU7" i="2"/>
  <c r="AP7" i="2"/>
  <c r="AR7" i="2"/>
  <c r="AQ7" i="2"/>
  <c r="AL7" i="2"/>
  <c r="AA7" i="2"/>
  <c r="Y7" i="2"/>
  <c r="BF6" i="2"/>
  <c r="BE6" i="2"/>
  <c r="BD6" i="2"/>
  <c r="BB6" i="2"/>
  <c r="AU6" i="2"/>
  <c r="AR6" i="2"/>
  <c r="AQ6" i="2"/>
  <c r="AH6" i="2"/>
  <c r="Y6" i="2"/>
  <c r="BF5" i="2"/>
  <c r="BE5" i="2"/>
  <c r="BD5" i="2"/>
  <c r="BB5" i="2"/>
  <c r="AU5" i="2"/>
  <c r="AP5" i="2"/>
  <c r="AR5" i="2"/>
  <c r="AQ5" i="2"/>
  <c r="AH5" i="2"/>
  <c r="Y5" i="2"/>
  <c r="BF4" i="2"/>
  <c r="BE4" i="2"/>
  <c r="BD4" i="2"/>
  <c r="BB4" i="2"/>
  <c r="AU4" i="2"/>
  <c r="AP4" i="2"/>
  <c r="AR4" i="2"/>
  <c r="AQ4" i="2"/>
  <c r="AH4" i="2"/>
  <c r="Y4" i="2"/>
  <c r="BF3" i="2"/>
  <c r="BE3" i="2"/>
  <c r="BD3" i="2"/>
  <c r="BB3" i="2"/>
  <c r="AH3" i="2"/>
  <c r="Y3" i="2"/>
  <c r="AF230" i="1"/>
  <c r="AF226" i="1"/>
  <c r="AH230" i="1"/>
  <c r="AE134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E202" i="1"/>
  <c r="AE206" i="1"/>
  <c r="AE210" i="1"/>
  <c r="AE214" i="1"/>
  <c r="AE218" i="1"/>
  <c r="AE222" i="1"/>
  <c r="AE226" i="1"/>
  <c r="AE230" i="1"/>
  <c r="AF229" i="1"/>
  <c r="AE133" i="1"/>
  <c r="AE137" i="1"/>
  <c r="AE141" i="1"/>
  <c r="AE145" i="1"/>
  <c r="AE149" i="1"/>
  <c r="AE153" i="1"/>
  <c r="AE157" i="1"/>
  <c r="AE161" i="1"/>
  <c r="AE165" i="1"/>
  <c r="AE169" i="1"/>
  <c r="AE173" i="1"/>
  <c r="AE177" i="1"/>
  <c r="AE181" i="1"/>
  <c r="AE185" i="1"/>
  <c r="AE189" i="1"/>
  <c r="AE193" i="1"/>
  <c r="AE197" i="1"/>
  <c r="AE201" i="1"/>
  <c r="AE205" i="1"/>
  <c r="AE209" i="1"/>
  <c r="AE213" i="1"/>
  <c r="AE217" i="1"/>
  <c r="AE221" i="1"/>
  <c r="AE225" i="1"/>
  <c r="AE229" i="1"/>
  <c r="AF2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F2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F222" i="1"/>
  <c r="AH226" i="1"/>
  <c r="AF225" i="1"/>
  <c r="AF224" i="1"/>
  <c r="AF223" i="1"/>
  <c r="AF218" i="1"/>
  <c r="AH222" i="1"/>
  <c r="AF221" i="1"/>
  <c r="AF220" i="1"/>
  <c r="AF219" i="1"/>
  <c r="AF214" i="1"/>
  <c r="AH218" i="1"/>
  <c r="AF217" i="1"/>
  <c r="AF216" i="1"/>
  <c r="AF215" i="1"/>
  <c r="AF210" i="1"/>
  <c r="AH214" i="1"/>
  <c r="AF213" i="1"/>
  <c r="AF212" i="1"/>
  <c r="AF211" i="1"/>
  <c r="AF206" i="1"/>
  <c r="AH210" i="1"/>
  <c r="AF209" i="1"/>
  <c r="AF208" i="1"/>
  <c r="AF207" i="1"/>
  <c r="AF202" i="1"/>
  <c r="AH206" i="1"/>
  <c r="AF205" i="1"/>
  <c r="AF204" i="1"/>
  <c r="AF203" i="1"/>
  <c r="AF198" i="1"/>
  <c r="AH202" i="1"/>
  <c r="AF201" i="1"/>
  <c r="AF200" i="1"/>
  <c r="AF199" i="1"/>
  <c r="AF194" i="1"/>
  <c r="AH198" i="1"/>
  <c r="AF197" i="1"/>
  <c r="AF196" i="1"/>
  <c r="AF195" i="1"/>
  <c r="AF190" i="1"/>
  <c r="AH194" i="1"/>
  <c r="AF193" i="1"/>
  <c r="AF192" i="1"/>
  <c r="AF191" i="1"/>
  <c r="AF186" i="1"/>
  <c r="AH190" i="1"/>
  <c r="AF189" i="1"/>
  <c r="AF188" i="1"/>
  <c r="AF187" i="1"/>
  <c r="AF182" i="1"/>
  <c r="AH186" i="1"/>
  <c r="AF185" i="1"/>
  <c r="AF184" i="1"/>
  <c r="AF183" i="1"/>
  <c r="AF178" i="1"/>
  <c r="AH182" i="1"/>
  <c r="AF181" i="1"/>
  <c r="AF180" i="1"/>
  <c r="AF179" i="1"/>
  <c r="AF174" i="1"/>
  <c r="AH178" i="1"/>
  <c r="AF177" i="1"/>
  <c r="AF176" i="1"/>
  <c r="AF175" i="1"/>
  <c r="AF170" i="1"/>
  <c r="AH174" i="1"/>
  <c r="AF173" i="1"/>
  <c r="AF172" i="1"/>
  <c r="AF171" i="1"/>
  <c r="AF166" i="1"/>
  <c r="AH170" i="1"/>
  <c r="AF169" i="1"/>
  <c r="AF168" i="1"/>
  <c r="AF167" i="1"/>
  <c r="AF162" i="1"/>
  <c r="AH166" i="1"/>
  <c r="AF165" i="1"/>
  <c r="AF164" i="1"/>
  <c r="AF163" i="1"/>
  <c r="AF158" i="1"/>
  <c r="AH162" i="1"/>
  <c r="AF161" i="1"/>
  <c r="AF160" i="1"/>
  <c r="AF159" i="1"/>
  <c r="AF154" i="1"/>
  <c r="AH158" i="1"/>
  <c r="AF157" i="1"/>
  <c r="AF156" i="1"/>
  <c r="AF155" i="1"/>
  <c r="AF150" i="1"/>
  <c r="AH154" i="1"/>
  <c r="AF153" i="1"/>
  <c r="AF152" i="1"/>
  <c r="AF151" i="1"/>
  <c r="AF146" i="1"/>
  <c r="AH150" i="1"/>
  <c r="AF138" i="1"/>
  <c r="AF134" i="1"/>
  <c r="AH138" i="1"/>
  <c r="AF142" i="1"/>
  <c r="AH142" i="1"/>
  <c r="AH146" i="1"/>
  <c r="AG149" i="1"/>
  <c r="AF149" i="1"/>
  <c r="AF148" i="1"/>
  <c r="AI147" i="1"/>
  <c r="AJ147" i="1"/>
  <c r="AF147" i="1"/>
  <c r="AF145" i="1"/>
  <c r="AF144" i="1"/>
  <c r="AF143" i="1"/>
  <c r="AF141" i="1"/>
  <c r="AF140" i="1"/>
  <c r="AF139" i="1"/>
  <c r="AI138" i="1"/>
  <c r="AF137" i="1"/>
  <c r="AF136" i="1"/>
  <c r="AF135" i="1"/>
  <c r="AF133" i="1"/>
  <c r="AF132" i="1"/>
  <c r="AF131" i="1"/>
  <c r="AF130" i="1"/>
  <c r="AF129" i="1"/>
  <c r="AF128" i="1"/>
  <c r="AF127" i="1"/>
  <c r="AH117" i="1"/>
  <c r="AG117" i="1"/>
  <c r="Z1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H116" i="1"/>
  <c r="AG116" i="1"/>
  <c r="Z1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H115" i="1"/>
  <c r="AG115" i="1"/>
  <c r="Z1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G114" i="1"/>
  <c r="AS114" i="1"/>
  <c r="AH114" i="1"/>
  <c r="Z1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H113" i="1"/>
  <c r="AG113" i="1"/>
  <c r="Z113" i="1"/>
  <c r="AH112" i="1"/>
  <c r="AG112" i="1"/>
  <c r="Z112" i="1"/>
  <c r="AH111" i="1"/>
  <c r="AG111" i="1"/>
  <c r="Z111" i="1"/>
  <c r="BC110" i="1"/>
  <c r="AG110" i="1"/>
  <c r="AS110" i="1"/>
  <c r="AH110" i="1"/>
  <c r="Z110" i="1"/>
  <c r="BC109" i="1"/>
  <c r="AH109" i="1"/>
  <c r="AG109" i="1"/>
  <c r="Z109" i="1"/>
  <c r="BC108" i="1"/>
  <c r="AH108" i="1"/>
  <c r="AG108" i="1"/>
  <c r="Z108" i="1"/>
  <c r="BC107" i="1"/>
  <c r="AH107" i="1"/>
  <c r="AG107" i="1"/>
  <c r="Z107" i="1"/>
  <c r="BC106" i="1"/>
  <c r="AG106" i="1"/>
  <c r="AS106" i="1"/>
  <c r="AH106" i="1"/>
  <c r="Z106" i="1"/>
  <c r="BC105" i="1"/>
  <c r="AH105" i="1"/>
  <c r="AG105" i="1"/>
  <c r="Z105" i="1"/>
  <c r="BC104" i="1"/>
  <c r="AH104" i="1"/>
  <c r="AG104" i="1"/>
  <c r="Z104" i="1"/>
  <c r="BC103" i="1"/>
  <c r="AH103" i="1"/>
  <c r="AG103" i="1"/>
  <c r="Z103" i="1"/>
  <c r="BC102" i="1"/>
  <c r="AG102" i="1"/>
  <c r="AS102" i="1"/>
  <c r="AH102" i="1"/>
  <c r="Z102" i="1"/>
  <c r="BC101" i="1"/>
  <c r="AH101" i="1"/>
  <c r="AG101" i="1"/>
  <c r="Z101" i="1"/>
  <c r="BC100" i="1"/>
  <c r="AH100" i="1"/>
  <c r="AG100" i="1"/>
  <c r="Z100" i="1"/>
  <c r="BC99" i="1"/>
  <c r="AH99" i="1"/>
  <c r="AG99" i="1"/>
  <c r="Z99" i="1"/>
  <c r="BC98" i="1"/>
  <c r="AG98" i="1"/>
  <c r="AS98" i="1"/>
  <c r="AH98" i="1"/>
  <c r="Z98" i="1"/>
  <c r="BC97" i="1"/>
  <c r="AH97" i="1"/>
  <c r="AG97" i="1"/>
  <c r="Z97" i="1"/>
  <c r="BC96" i="1"/>
  <c r="AH96" i="1"/>
  <c r="AG96" i="1"/>
  <c r="Z96" i="1"/>
  <c r="BC95" i="1"/>
  <c r="AH95" i="1"/>
  <c r="AG95" i="1"/>
  <c r="Z95" i="1"/>
  <c r="BC94" i="1"/>
  <c r="AG94" i="1"/>
  <c r="AS94" i="1"/>
  <c r="AH94" i="1"/>
  <c r="Z94" i="1"/>
  <c r="BC93" i="1"/>
  <c r="AH93" i="1"/>
  <c r="AG93" i="1"/>
  <c r="Z93" i="1"/>
  <c r="BC92" i="1"/>
  <c r="AH92" i="1"/>
  <c r="AG92" i="1"/>
  <c r="Z92" i="1"/>
  <c r="BC91" i="1"/>
  <c r="AH91" i="1"/>
  <c r="AG91" i="1"/>
  <c r="Z91" i="1"/>
  <c r="BC90" i="1"/>
  <c r="AG90" i="1"/>
  <c r="AS90" i="1"/>
  <c r="AH90" i="1"/>
  <c r="Z90" i="1"/>
  <c r="BC89" i="1"/>
  <c r="AH89" i="1"/>
  <c r="AG89" i="1"/>
  <c r="Z89" i="1"/>
  <c r="BC88" i="1"/>
  <c r="AH88" i="1"/>
  <c r="AG88" i="1"/>
  <c r="Z88" i="1"/>
  <c r="BC87" i="1"/>
  <c r="AH87" i="1"/>
  <c r="AG87" i="1"/>
  <c r="Z87" i="1"/>
  <c r="BC86" i="1"/>
  <c r="AG86" i="1"/>
  <c r="AS86" i="1"/>
  <c r="AH86" i="1"/>
  <c r="Z86" i="1"/>
  <c r="BC85" i="1"/>
  <c r="AH85" i="1"/>
  <c r="AG85" i="1"/>
  <c r="Z85" i="1"/>
  <c r="BC84" i="1"/>
  <c r="AH84" i="1"/>
  <c r="AG84" i="1"/>
  <c r="Z84" i="1"/>
  <c r="BC83" i="1"/>
  <c r="AH83" i="1"/>
  <c r="AG83" i="1"/>
  <c r="Z83" i="1"/>
  <c r="BC82" i="1"/>
  <c r="AG82" i="1"/>
  <c r="AS82" i="1"/>
  <c r="AH82" i="1"/>
  <c r="Z82" i="1"/>
  <c r="BC81" i="1"/>
  <c r="AH81" i="1"/>
  <c r="AG81" i="1"/>
  <c r="Z81" i="1"/>
  <c r="BC80" i="1"/>
  <c r="AH80" i="1"/>
  <c r="AG80" i="1"/>
  <c r="Z80" i="1"/>
  <c r="BC79" i="1"/>
  <c r="AH79" i="1"/>
  <c r="AG79" i="1"/>
  <c r="Z79" i="1"/>
  <c r="BC78" i="1"/>
  <c r="AG78" i="1"/>
  <c r="AS78" i="1"/>
  <c r="AH78" i="1"/>
  <c r="Z78" i="1"/>
  <c r="BC77" i="1"/>
  <c r="AH77" i="1"/>
  <c r="AG77" i="1"/>
  <c r="Z77" i="1"/>
  <c r="BC76" i="1"/>
  <c r="AH76" i="1"/>
  <c r="AG76" i="1"/>
  <c r="Z76" i="1"/>
  <c r="BC75" i="1"/>
  <c r="AH75" i="1"/>
  <c r="AG75" i="1"/>
  <c r="Z75" i="1"/>
  <c r="BC74" i="1"/>
  <c r="AG74" i="1"/>
  <c r="AS74" i="1"/>
  <c r="AH74" i="1"/>
  <c r="Z74" i="1"/>
  <c r="BC73" i="1"/>
  <c r="AH73" i="1"/>
  <c r="AG73" i="1"/>
  <c r="Z73" i="1"/>
  <c r="BC72" i="1"/>
  <c r="AH72" i="1"/>
  <c r="AG72" i="1"/>
  <c r="Z72" i="1"/>
  <c r="BC71" i="1"/>
  <c r="AH71" i="1"/>
  <c r="AG71" i="1"/>
  <c r="Z71" i="1"/>
  <c r="BC70" i="1"/>
  <c r="AG70" i="1"/>
  <c r="AS70" i="1"/>
  <c r="AH70" i="1"/>
  <c r="Z70" i="1"/>
  <c r="BC69" i="1"/>
  <c r="AH69" i="1"/>
  <c r="AG69" i="1"/>
  <c r="Z69" i="1"/>
  <c r="BC68" i="1"/>
  <c r="AH68" i="1"/>
  <c r="AG68" i="1"/>
  <c r="Z68" i="1"/>
  <c r="BC67" i="1"/>
  <c r="AH67" i="1"/>
  <c r="AG67" i="1"/>
  <c r="Z67" i="1"/>
  <c r="BC66" i="1"/>
  <c r="AG66" i="1"/>
  <c r="AS66" i="1"/>
  <c r="AH66" i="1"/>
  <c r="Z66" i="1"/>
  <c r="BC65" i="1"/>
  <c r="AH65" i="1"/>
  <c r="AG65" i="1"/>
  <c r="Z65" i="1"/>
  <c r="BC64" i="1"/>
  <c r="AH64" i="1"/>
  <c r="AG64" i="1"/>
  <c r="Z64" i="1"/>
  <c r="BC63" i="1"/>
  <c r="AH63" i="1"/>
  <c r="AG63" i="1"/>
  <c r="Z63" i="1"/>
  <c r="BC62" i="1"/>
  <c r="AG62" i="1"/>
  <c r="AS62" i="1"/>
  <c r="AH62" i="1"/>
  <c r="Z62" i="1"/>
  <c r="BC61" i="1"/>
  <c r="AH61" i="1"/>
  <c r="AG61" i="1"/>
  <c r="Z61" i="1"/>
  <c r="BC60" i="1"/>
  <c r="AH60" i="1"/>
  <c r="AG60" i="1"/>
  <c r="Z60" i="1"/>
  <c r="BC59" i="1"/>
  <c r="AH59" i="1"/>
  <c r="AG59" i="1"/>
  <c r="Z59" i="1"/>
  <c r="BC58" i="1"/>
  <c r="AG58" i="1"/>
  <c r="AS58" i="1"/>
  <c r="AH58" i="1"/>
  <c r="Z58" i="1"/>
  <c r="BC57" i="1"/>
  <c r="AH57" i="1"/>
  <c r="AG57" i="1"/>
  <c r="Z57" i="1"/>
  <c r="BC56" i="1"/>
  <c r="AH56" i="1"/>
  <c r="AG56" i="1"/>
  <c r="Z56" i="1"/>
  <c r="BC55" i="1"/>
  <c r="AH55" i="1"/>
  <c r="AG55" i="1"/>
  <c r="Z55" i="1"/>
  <c r="BC54" i="1"/>
  <c r="AG54" i="1"/>
  <c r="AS54" i="1"/>
  <c r="AH54" i="1"/>
  <c r="Z54" i="1"/>
  <c r="BC53" i="1"/>
  <c r="AH53" i="1"/>
  <c r="AG53" i="1"/>
  <c r="Z53" i="1"/>
  <c r="BC52" i="1"/>
  <c r="AH52" i="1"/>
  <c r="AG52" i="1"/>
  <c r="Z52" i="1"/>
  <c r="BC51" i="1"/>
  <c r="AH51" i="1"/>
  <c r="AG51" i="1"/>
  <c r="Z51" i="1"/>
  <c r="BC50" i="1"/>
  <c r="AG50" i="1"/>
  <c r="AS50" i="1"/>
  <c r="AH50" i="1"/>
  <c r="Z50" i="1"/>
  <c r="BC49" i="1"/>
  <c r="AH49" i="1"/>
  <c r="AG49" i="1"/>
  <c r="Z49" i="1"/>
  <c r="BC48" i="1"/>
  <c r="AH48" i="1"/>
  <c r="AG48" i="1"/>
  <c r="Z48" i="1"/>
  <c r="BC47" i="1"/>
  <c r="AH47" i="1"/>
  <c r="AG47" i="1"/>
  <c r="Z47" i="1"/>
  <c r="BC46" i="1"/>
  <c r="AG46" i="1"/>
  <c r="AS46" i="1"/>
  <c r="AH46" i="1"/>
  <c r="Z46" i="1"/>
  <c r="BC45" i="1"/>
  <c r="AH45" i="1"/>
  <c r="AG45" i="1"/>
  <c r="Z45" i="1"/>
  <c r="BC44" i="1"/>
  <c r="AH44" i="1"/>
  <c r="AG44" i="1"/>
  <c r="Z44" i="1"/>
  <c r="BC43" i="1"/>
  <c r="AH43" i="1"/>
  <c r="AG43" i="1"/>
  <c r="Z43" i="1"/>
  <c r="BC42" i="1"/>
  <c r="AG42" i="1"/>
  <c r="AS42" i="1"/>
  <c r="AH42" i="1"/>
  <c r="Z42" i="1"/>
  <c r="BC41" i="1"/>
  <c r="AH41" i="1"/>
  <c r="AG41" i="1"/>
  <c r="Z41" i="1"/>
  <c r="BC40" i="1"/>
  <c r="AH40" i="1"/>
  <c r="AG40" i="1"/>
  <c r="Z40" i="1"/>
  <c r="BC39" i="1"/>
  <c r="AH39" i="1"/>
  <c r="AG39" i="1"/>
  <c r="Z39" i="1"/>
  <c r="BC38" i="1"/>
  <c r="AG38" i="1"/>
  <c r="AS38" i="1"/>
  <c r="AH38" i="1"/>
  <c r="Z38" i="1"/>
  <c r="BC37" i="1"/>
  <c r="AH37" i="1"/>
  <c r="AG37" i="1"/>
  <c r="Z37" i="1"/>
  <c r="BC36" i="1"/>
  <c r="AH36" i="1"/>
  <c r="AG36" i="1"/>
  <c r="Z36" i="1"/>
  <c r="BC35" i="1"/>
  <c r="AH35" i="1"/>
  <c r="AG35" i="1"/>
  <c r="Z35" i="1"/>
  <c r="BC34" i="1"/>
  <c r="AG34" i="1"/>
  <c r="AS34" i="1"/>
  <c r="AH34" i="1"/>
  <c r="Z34" i="1"/>
  <c r="BC33" i="1"/>
  <c r="AH33" i="1"/>
  <c r="AG33" i="1"/>
  <c r="Z33" i="1"/>
  <c r="BC32" i="1"/>
  <c r="AM7" i="1"/>
  <c r="AO7" i="1"/>
  <c r="AM8" i="1"/>
  <c r="AN7" i="1"/>
  <c r="AN8" i="1"/>
  <c r="AP8" i="1"/>
  <c r="AM9" i="1"/>
  <c r="AP9" i="1"/>
  <c r="AM10" i="1"/>
  <c r="AP10" i="1"/>
  <c r="AM11" i="1"/>
  <c r="AP11" i="1"/>
  <c r="AM12" i="1"/>
  <c r="AP12" i="1"/>
  <c r="AM13" i="1"/>
  <c r="AP13" i="1"/>
  <c r="AM14" i="1"/>
  <c r="AP14" i="1"/>
  <c r="AM15" i="1"/>
  <c r="AP15" i="1"/>
  <c r="AM16" i="1"/>
  <c r="AP16" i="1"/>
  <c r="AM17" i="1"/>
  <c r="AP17" i="1"/>
  <c r="AM18" i="1"/>
  <c r="AP18" i="1"/>
  <c r="AM19" i="1"/>
  <c r="AP19" i="1"/>
  <c r="AM20" i="1"/>
  <c r="AP20" i="1"/>
  <c r="AM21" i="1"/>
  <c r="AP21" i="1"/>
  <c r="AM22" i="1"/>
  <c r="AP22" i="1"/>
  <c r="AM23" i="1"/>
  <c r="AP23" i="1"/>
  <c r="AM24" i="1"/>
  <c r="AP24" i="1"/>
  <c r="AM25" i="1"/>
  <c r="AP25" i="1"/>
  <c r="AM26" i="1"/>
  <c r="AP26" i="1"/>
  <c r="AM27" i="1"/>
  <c r="AP27" i="1"/>
  <c r="AM28" i="1"/>
  <c r="AP28" i="1"/>
  <c r="AM29" i="1"/>
  <c r="AP32" i="1"/>
  <c r="AH32" i="1"/>
  <c r="AG32" i="1"/>
  <c r="Z32" i="1"/>
  <c r="C26" i="1"/>
  <c r="C27" i="1"/>
  <c r="C28" i="1"/>
  <c r="C29" i="1"/>
  <c r="C32" i="1"/>
  <c r="BC31" i="1"/>
  <c r="AP31" i="1"/>
  <c r="AH31" i="1"/>
  <c r="AG31" i="1"/>
  <c r="Z31" i="1"/>
  <c r="BC30" i="1"/>
  <c r="AG30" i="1"/>
  <c r="AS30" i="1"/>
  <c r="AP29" i="1"/>
  <c r="AP6" i="1"/>
  <c r="AP30" i="1"/>
  <c r="AH30" i="1"/>
  <c r="Z30" i="1"/>
  <c r="BG29" i="1"/>
  <c r="BF29" i="1"/>
  <c r="BE29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C29" i="1"/>
  <c r="AR29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Q29" i="1"/>
  <c r="AL29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29" i="1"/>
  <c r="AG29" i="1"/>
  <c r="Z29" i="1"/>
  <c r="BG28" i="1"/>
  <c r="BF28" i="1"/>
  <c r="BE28" i="1"/>
  <c r="BC28" i="1"/>
  <c r="AR28" i="1"/>
  <c r="AQ28" i="1"/>
  <c r="AL28" i="1"/>
  <c r="AH28" i="1"/>
  <c r="AG28" i="1"/>
  <c r="Z28" i="1"/>
  <c r="BG27" i="1"/>
  <c r="BF27" i="1"/>
  <c r="BE27" i="1"/>
  <c r="BC27" i="1"/>
  <c r="AR27" i="1"/>
  <c r="AQ27" i="1"/>
  <c r="AL27" i="1"/>
  <c r="AH27" i="1"/>
  <c r="AG27" i="1"/>
  <c r="Z27" i="1"/>
  <c r="BG26" i="1"/>
  <c r="BF26" i="1"/>
  <c r="BE26" i="1"/>
  <c r="BC26" i="1"/>
  <c r="BB26" i="1"/>
  <c r="AG26" i="1"/>
  <c r="AS26" i="1"/>
  <c r="AR26" i="1"/>
  <c r="AQ26" i="1"/>
  <c r="AL26" i="1"/>
  <c r="AH26" i="1"/>
  <c r="Z26" i="1"/>
  <c r="BG25" i="1"/>
  <c r="BF25" i="1"/>
  <c r="BE25" i="1"/>
  <c r="BC25" i="1"/>
  <c r="AY25" i="1"/>
  <c r="AW25" i="1"/>
  <c r="AR25" i="1"/>
  <c r="AQ25" i="1"/>
  <c r="AL25" i="1"/>
  <c r="AH25" i="1"/>
  <c r="Z25" i="1"/>
  <c r="BG24" i="1"/>
  <c r="BF24" i="1"/>
  <c r="BE24" i="1"/>
  <c r="BC24" i="1"/>
  <c r="AY24" i="1"/>
  <c r="AW24" i="1"/>
  <c r="AR24" i="1"/>
  <c r="AQ24" i="1"/>
  <c r="AL24" i="1"/>
  <c r="AH24" i="1"/>
  <c r="Z24" i="1"/>
  <c r="BG23" i="1"/>
  <c r="BF23" i="1"/>
  <c r="BE23" i="1"/>
  <c r="BC23" i="1"/>
  <c r="AY23" i="1"/>
  <c r="AW23" i="1"/>
  <c r="AR23" i="1"/>
  <c r="AQ23" i="1"/>
  <c r="AL23" i="1"/>
  <c r="AH23" i="1"/>
  <c r="Z23" i="1"/>
  <c r="BG22" i="1"/>
  <c r="BF22" i="1"/>
  <c r="BE22" i="1"/>
  <c r="BC22" i="1"/>
  <c r="AY22" i="1"/>
  <c r="AW22" i="1"/>
  <c r="AR22" i="1"/>
  <c r="AQ22" i="1"/>
  <c r="AL22" i="1"/>
  <c r="AH22" i="1"/>
  <c r="Z22" i="1"/>
  <c r="BG21" i="1"/>
  <c r="BF21" i="1"/>
  <c r="BE21" i="1"/>
  <c r="BC21" i="1"/>
  <c r="AY21" i="1"/>
  <c r="AW21" i="1"/>
  <c r="AR21" i="1"/>
  <c r="AQ21" i="1"/>
  <c r="AL21" i="1"/>
  <c r="AH21" i="1"/>
  <c r="Z21" i="1"/>
  <c r="BG20" i="1"/>
  <c r="BF20" i="1"/>
  <c r="BE20" i="1"/>
  <c r="BC20" i="1"/>
  <c r="AY20" i="1"/>
  <c r="AW20" i="1"/>
  <c r="AR20" i="1"/>
  <c r="AQ20" i="1"/>
  <c r="AL20" i="1"/>
  <c r="AH20" i="1"/>
  <c r="Z20" i="1"/>
  <c r="BG19" i="1"/>
  <c r="BF19" i="1"/>
  <c r="BE19" i="1"/>
  <c r="BC19" i="1"/>
  <c r="AY19" i="1"/>
  <c r="AW19" i="1"/>
  <c r="AR19" i="1"/>
  <c r="AQ19" i="1"/>
  <c r="AL19" i="1"/>
  <c r="AH19" i="1"/>
  <c r="Z19" i="1"/>
  <c r="BG18" i="1"/>
  <c r="BF18" i="1"/>
  <c r="BE18" i="1"/>
  <c r="BC18" i="1"/>
  <c r="AY18" i="1"/>
  <c r="AW18" i="1"/>
  <c r="AR18" i="1"/>
  <c r="AQ18" i="1"/>
  <c r="AL18" i="1"/>
  <c r="AH18" i="1"/>
  <c r="Z18" i="1"/>
  <c r="BG17" i="1"/>
  <c r="BF17" i="1"/>
  <c r="BE17" i="1"/>
  <c r="BC17" i="1"/>
  <c r="AY17" i="1"/>
  <c r="AW17" i="1"/>
  <c r="AR17" i="1"/>
  <c r="AQ17" i="1"/>
  <c r="AL17" i="1"/>
  <c r="AH17" i="1"/>
  <c r="Z17" i="1"/>
  <c r="BG16" i="1"/>
  <c r="BF16" i="1"/>
  <c r="BE16" i="1"/>
  <c r="BC16" i="1"/>
  <c r="AY16" i="1"/>
  <c r="AW16" i="1"/>
  <c r="AR16" i="1"/>
  <c r="AQ16" i="1"/>
  <c r="AL16" i="1"/>
  <c r="AH16" i="1"/>
  <c r="Z16" i="1"/>
  <c r="BG15" i="1"/>
  <c r="BF15" i="1"/>
  <c r="BE15" i="1"/>
  <c r="BC15" i="1"/>
  <c r="AY15" i="1"/>
  <c r="AW15" i="1"/>
  <c r="AR15" i="1"/>
  <c r="AQ15" i="1"/>
  <c r="AL15" i="1"/>
  <c r="AH15" i="1"/>
  <c r="Z15" i="1"/>
  <c r="BG14" i="1"/>
  <c r="BF14" i="1"/>
  <c r="BE14" i="1"/>
  <c r="BC14" i="1"/>
  <c r="AW14" i="1"/>
  <c r="AR14" i="1"/>
  <c r="AQ14" i="1"/>
  <c r="AL14" i="1"/>
  <c r="AH14" i="1"/>
  <c r="Z14" i="1"/>
  <c r="BG13" i="1"/>
  <c r="BF13" i="1"/>
  <c r="BE13" i="1"/>
  <c r="BC13" i="1"/>
  <c r="AR13" i="1"/>
  <c r="AQ13" i="1"/>
  <c r="AL13" i="1"/>
  <c r="BG12" i="1"/>
  <c r="BF12" i="1"/>
  <c r="BE12" i="1"/>
  <c r="BC12" i="1"/>
  <c r="AV12" i="1"/>
  <c r="AR12" i="1"/>
  <c r="AQ12" i="1"/>
  <c r="AL12" i="1"/>
  <c r="BG11" i="1"/>
  <c r="BF11" i="1"/>
  <c r="BE11" i="1"/>
  <c r="BC11" i="1"/>
  <c r="AV11" i="1"/>
  <c r="AR11" i="1"/>
  <c r="AQ11" i="1"/>
  <c r="AL11" i="1"/>
  <c r="BG10" i="1"/>
  <c r="BF10" i="1"/>
  <c r="BE10" i="1"/>
  <c r="BC10" i="1"/>
  <c r="AV10" i="1"/>
  <c r="AR10" i="1"/>
  <c r="AQ10" i="1"/>
  <c r="AL10" i="1"/>
  <c r="BG9" i="1"/>
  <c r="BF9" i="1"/>
  <c r="BE9" i="1"/>
  <c r="BC9" i="1"/>
  <c r="AV9" i="1"/>
  <c r="AR9" i="1"/>
  <c r="AQ9" i="1"/>
  <c r="AL9" i="1"/>
  <c r="BG8" i="1"/>
  <c r="BF8" i="1"/>
  <c r="BE8" i="1"/>
  <c r="BC8" i="1"/>
  <c r="AV8" i="1"/>
  <c r="AR8" i="1"/>
  <c r="AQ8" i="1"/>
  <c r="AL8" i="1"/>
  <c r="AA8" i="1"/>
  <c r="Y8" i="1"/>
  <c r="BG7" i="1"/>
  <c r="BF7" i="1"/>
  <c r="BE7" i="1"/>
  <c r="BC7" i="1"/>
  <c r="AV7" i="1"/>
  <c r="AP7" i="1"/>
  <c r="AR7" i="1"/>
  <c r="AQ7" i="1"/>
  <c r="AL7" i="1"/>
  <c r="AA7" i="1"/>
  <c r="Y7" i="1"/>
  <c r="BG6" i="1"/>
  <c r="BF6" i="1"/>
  <c r="BE6" i="1"/>
  <c r="BC6" i="1"/>
  <c r="AV6" i="1"/>
  <c r="AR6" i="1"/>
  <c r="AQ6" i="1"/>
  <c r="AH6" i="1"/>
  <c r="Y6" i="1"/>
  <c r="BG5" i="1"/>
  <c r="BF5" i="1"/>
  <c r="BE5" i="1"/>
  <c r="BC5" i="1"/>
  <c r="AV5" i="1"/>
  <c r="AP5" i="1"/>
  <c r="AR5" i="1"/>
  <c r="AQ5" i="1"/>
  <c r="AH5" i="1"/>
  <c r="Y5" i="1"/>
  <c r="BG4" i="1"/>
  <c r="BF4" i="1"/>
  <c r="BE4" i="1"/>
  <c r="BC4" i="1"/>
  <c r="AV4" i="1"/>
  <c r="AP4" i="1"/>
  <c r="AR4" i="1"/>
  <c r="AQ4" i="1"/>
  <c r="AH4" i="1"/>
  <c r="Y4" i="1"/>
  <c r="BG3" i="1"/>
  <c r="BF3" i="1"/>
  <c r="BE3" i="1"/>
  <c r="BC3" i="1"/>
  <c r="AH3" i="1"/>
  <c r="Y3" i="1"/>
</calcChain>
</file>

<file path=xl/sharedStrings.xml><?xml version="1.0" encoding="utf-8"?>
<sst xmlns="http://schemas.openxmlformats.org/spreadsheetml/2006/main" count="221" uniqueCount="69">
  <si>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</si>
  <si>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</si>
  <si>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</si>
  <si>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</si>
  <si>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</si>
  <si>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</si>
  <si>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</si>
  <si>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</si>
  <si>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</si>
  <si>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</si>
  <si>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</si>
  <si>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</si>
  <si>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</si>
  <si>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</si>
  <si>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</si>
  <si>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</si>
  <si>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IPC 2014 noviembre</t>
  </si>
  <si>
    <t>PIB en pesos constantes noviembre 2014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</si>
  <si>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</si>
  <si>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</si>
  <si>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</si>
  <si>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</si>
  <si>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</si>
  <si>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</si>
  <si>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</si>
  <si>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</si>
  <si>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</si>
  <si>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</si>
  <si>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</si>
  <si>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</si>
  <si>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Crecimiento PIB real con salarios aumentando 2% annual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</si>
  <si>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</si>
  <si>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</si>
  <si>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</si>
  <si>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</si>
  <si>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</si>
  <si>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</si>
  <si>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</si>
  <si>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</si>
  <si>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</si>
  <si>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</si>
  <si>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</si>
  <si>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</si>
  <si>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</si>
  <si>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</si>
  <si>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</si>
  <si>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>158 vs 160</t>
  </si>
  <si>
    <t>Prestaciones seguridad social, harmonizadas</t>
  </si>
  <si>
    <t>Prestaciones seguridad social</t>
  </si>
  <si>
    <t>Crecimiento PIB real con salarios aumentando 1% annual</t>
  </si>
  <si>
    <t>Crecimiento PIB real con salarios aumentando 3% annual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</si>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</sst>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\-??\ _€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</fills>
  <borders count="5">
    <border>
      <left/>
      <right/>
      <top/>
      <bottom/>
      <diagonal/>
    </border>
    <border diagonalUp="1" diagonalDown="1">
      <left/>
      <right/>
      <top/>
      <bottom/>
      <diagonal style="hair">
        <color auto="1"/>
      </diagonal>
    </border>
    <border diagonalUp="1" diagonalDown="1">
      <left/>
      <right/>
      <top/>
      <bottom/>
      <diagonal style="thin">
        <color auto="1"/>
      </diagonal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164" fontId="1" fillId="0" borderId="0" applyBorder="0" applyProtection="0"/>
    <xf numFmtId="9" fontId="1" fillId="0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2" borderId="0" xfId="0" applyFont="1" applyFill="1" applyAlignment="1">
      <alignment horizontal="justify"/>
    </xf>
    <xf numFmtId="0" fontId="0" fillId="2" borderId="2" xfId="0" applyFont="1" applyFill="1" applyBorder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0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justify"/>
    </xf>
    <xf numFmtId="0" fontId="2" fillId="2" borderId="0" xfId="0" applyFont="1" applyFill="1" applyAlignment="1">
      <alignment wrapText="1"/>
    </xf>
    <xf numFmtId="0" fontId="0" fillId="3" borderId="0" xfId="0" applyFill="1"/>
    <xf numFmtId="3" fontId="0" fillId="3" borderId="0" xfId="0" applyNumberFormat="1" applyFont="1" applyFill="1"/>
    <xf numFmtId="3" fontId="0" fillId="3" borderId="2" xfId="0" applyNumberFormat="1" applyFont="1" applyFill="1" applyBorder="1"/>
    <xf numFmtId="0" fontId="0" fillId="3" borderId="2" xfId="0" applyFont="1" applyFill="1" applyBorder="1"/>
    <xf numFmtId="0" fontId="2" fillId="3" borderId="0" xfId="0" applyFont="1" applyFill="1"/>
    <xf numFmtId="3" fontId="0" fillId="3" borderId="2" xfId="0" applyNumberFormat="1" applyFill="1" applyBorder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2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3" fontId="0" fillId="0" borderId="0" xfId="0" applyNumberFormat="1" applyFont="1"/>
    <xf numFmtId="3" fontId="0" fillId="0" borderId="0" xfId="0" applyNumberFormat="1"/>
    <xf numFmtId="3" fontId="0" fillId="0" borderId="2" xfId="0" applyNumberFormat="1" applyBorder="1"/>
    <xf numFmtId="3" fontId="0" fillId="2" borderId="0" xfId="0" applyNumberFormat="1" applyFont="1" applyFill="1"/>
    <xf numFmtId="0" fontId="2" fillId="0" borderId="0" xfId="0" applyFont="1"/>
    <xf numFmtId="10" fontId="2" fillId="0" borderId="0" xfId="0" applyNumberFormat="1" applyFont="1"/>
    <xf numFmtId="10" fontId="0" fillId="0" borderId="0" xfId="2" applyNumberFormat="1" applyFont="1" applyBorder="1" applyAlignment="1" applyProtection="1"/>
    <xf numFmtId="0" fontId="0" fillId="4" borderId="0" xfId="0" applyFill="1"/>
    <xf numFmtId="3" fontId="0" fillId="4" borderId="0" xfId="0" applyNumberFormat="1" applyFill="1"/>
    <xf numFmtId="3" fontId="0" fillId="4" borderId="2" xfId="0" applyNumberFormat="1" applyFont="1" applyFill="1" applyBorder="1"/>
    <xf numFmtId="3" fontId="0" fillId="4" borderId="2" xfId="0" applyNumberFormat="1" applyFill="1" applyBorder="1"/>
    <xf numFmtId="3" fontId="0" fillId="4" borderId="0" xfId="0" applyNumberFormat="1" applyFont="1" applyFill="1"/>
    <xf numFmtId="10" fontId="0" fillId="4" borderId="0" xfId="0" applyNumberFormat="1" applyFill="1"/>
    <xf numFmtId="0" fontId="2" fillId="4" borderId="0" xfId="0" applyFont="1" applyFill="1"/>
    <xf numFmtId="10" fontId="2" fillId="4" borderId="0" xfId="0" applyNumberFormat="1" applyFont="1" applyFill="1"/>
    <xf numFmtId="10" fontId="0" fillId="4" borderId="0" xfId="2" applyNumberFormat="1" applyFont="1" applyFill="1" applyBorder="1" applyAlignment="1" applyProtection="1"/>
    <xf numFmtId="4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0" fillId="5" borderId="2" xfId="0" applyNumberFormat="1" applyFont="1" applyFill="1" applyBorder="1"/>
    <xf numFmtId="3" fontId="0" fillId="5" borderId="2" xfId="0" applyNumberFormat="1" applyFill="1" applyBorder="1"/>
    <xf numFmtId="3" fontId="0" fillId="5" borderId="0" xfId="0" applyNumberFormat="1" applyFont="1" applyFill="1"/>
    <xf numFmtId="10" fontId="0" fillId="5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10" fontId="0" fillId="5" borderId="0" xfId="2" applyNumberFormat="1" applyFont="1" applyFill="1" applyBorder="1" applyAlignment="1" applyProtection="1"/>
    <xf numFmtId="4" fontId="0" fillId="5" borderId="0" xfId="0" applyNumberFormat="1" applyFill="1"/>
    <xf numFmtId="9" fontId="0" fillId="4" borderId="0" xfId="2" applyFont="1" applyFill="1" applyBorder="1" applyAlignment="1" applyProtection="1"/>
    <xf numFmtId="0" fontId="0" fillId="5" borderId="0" xfId="0" applyFill="1" applyAlignment="1">
      <alignment wrapText="1"/>
    </xf>
    <xf numFmtId="0" fontId="0" fillId="4" borderId="2" xfId="0" applyFill="1" applyBorder="1" applyAlignment="1">
      <alignment horizontal="right" wrapText="1"/>
    </xf>
    <xf numFmtId="3" fontId="0" fillId="4" borderId="0" xfId="0" applyNumberFormat="1" applyFill="1" applyAlignment="1">
      <alignment horizontal="right" wrapText="1"/>
    </xf>
    <xf numFmtId="2" fontId="0" fillId="4" borderId="0" xfId="0" applyNumberFormat="1" applyFill="1"/>
    <xf numFmtId="0" fontId="0" fillId="5" borderId="2" xfId="0" applyFill="1" applyBorder="1" applyAlignment="1">
      <alignment horizontal="right" wrapText="1"/>
    </xf>
    <xf numFmtId="3" fontId="0" fillId="5" borderId="0" xfId="0" applyNumberFormat="1" applyFill="1" applyAlignment="1">
      <alignment horizontal="right" wrapText="1"/>
    </xf>
    <xf numFmtId="2" fontId="0" fillId="5" borderId="0" xfId="0" applyNumberFormat="1" applyFill="1"/>
    <xf numFmtId="3" fontId="0" fillId="5" borderId="2" xfId="0" applyNumberFormat="1" applyFill="1" applyBorder="1" applyAlignment="1">
      <alignment horizontal="right" wrapText="1"/>
    </xf>
    <xf numFmtId="1" fontId="0" fillId="5" borderId="2" xfId="0" applyNumberFormat="1" applyFill="1" applyBorder="1" applyAlignment="1">
      <alignment horizontal="right" wrapText="1"/>
    </xf>
    <xf numFmtId="3" fontId="0" fillId="4" borderId="2" xfId="0" applyNumberFormat="1" applyFill="1" applyBorder="1" applyAlignment="1">
      <alignment horizontal="right" wrapText="1"/>
    </xf>
    <xf numFmtId="164" fontId="1" fillId="0" borderId="0" xfId="1" applyBorder="1" applyAlignment="1" applyProtection="1"/>
    <xf numFmtId="0" fontId="3" fillId="6" borderId="3" xfId="0" applyFont="1" applyFill="1" applyBorder="1"/>
    <xf numFmtId="10" fontId="3" fillId="7" borderId="4" xfId="0" applyNumberFormat="1" applyFont="1" applyFill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justify"/>
    </xf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-0.0304857465421128</c:v>
                </c:pt>
                <c:pt idx="3">
                  <c:v>-0.0343763089058913</c:v>
                </c:pt>
                <c:pt idx="4">
                  <c:v>-0.0281846456288027</c:v>
                </c:pt>
                <c:pt idx="5">
                  <c:v>-0.0264868047663312</c:v>
                </c:pt>
                <c:pt idx="6">
                  <c:v>-0.0282125174744536</c:v>
                </c:pt>
                <c:pt idx="7">
                  <c:v>-0.0279375018524813</c:v>
                </c:pt>
                <c:pt idx="8">
                  <c:v>-0.0272664472022149</c:v>
                </c:pt>
                <c:pt idx="9">
                  <c:v>-0.026600016709129</c:v>
                </c:pt>
                <c:pt idx="10">
                  <c:v>-0.0269120742680295</c:v>
                </c:pt>
                <c:pt idx="11">
                  <c:v>-0.0275604101012983</c:v>
                </c:pt>
                <c:pt idx="12">
                  <c:v>-0.0255058468891518</c:v>
                </c:pt>
                <c:pt idx="13">
                  <c:v>-0.0250937060085745</c:v>
                </c:pt>
                <c:pt idx="14">
                  <c:v>-0.0241014660804106</c:v>
                </c:pt>
                <c:pt idx="15">
                  <c:v>-0.0238885045556037</c:v>
                </c:pt>
                <c:pt idx="16">
                  <c:v>-0.0240047070918119</c:v>
                </c:pt>
                <c:pt idx="17">
                  <c:v>-0.0242831480803143</c:v>
                </c:pt>
                <c:pt idx="18">
                  <c:v>-0.0233654966395048</c:v>
                </c:pt>
                <c:pt idx="19">
                  <c:v>-0.0222649061274672</c:v>
                </c:pt>
                <c:pt idx="20">
                  <c:v>-0.0224343656216423</c:v>
                </c:pt>
                <c:pt idx="21">
                  <c:v>-0.0226708363016789</c:v>
                </c:pt>
                <c:pt idx="22">
                  <c:v>-0.0225497579736308</c:v>
                </c:pt>
                <c:pt idx="23">
                  <c:v>-0.0220426398068736</c:v>
                </c:pt>
                <c:pt idx="24">
                  <c:v>-0.0220133735429455</c:v>
                </c:pt>
                <c:pt idx="25">
                  <c:v>-0.0216371881122708</c:v>
                </c:pt>
                <c:pt idx="26">
                  <c:v>-0.0213450025323515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-0.0328222669154845</c:v>
                </c:pt>
                <c:pt idx="2">
                  <c:v>-0.0305093165832999</c:v>
                </c:pt>
                <c:pt idx="3">
                  <c:v>-0.0348402542664032</c:v>
                </c:pt>
                <c:pt idx="4">
                  <c:v>-0.0290635577221385</c:v>
                </c:pt>
                <c:pt idx="5">
                  <c:v>-0.0277939272660584</c:v>
                </c:pt>
                <c:pt idx="6">
                  <c:v>-0.0299593368022422</c:v>
                </c:pt>
                <c:pt idx="7">
                  <c:v>-0.0301247726303561</c:v>
                </c:pt>
                <c:pt idx="8">
                  <c:v>-0.0299380116693895</c:v>
                </c:pt>
                <c:pt idx="9">
                  <c:v>-0.0297744551845705</c:v>
                </c:pt>
                <c:pt idx="10">
                  <c:v>-0.0306997046027835</c:v>
                </c:pt>
                <c:pt idx="11">
                  <c:v>-0.0328924165174231</c:v>
                </c:pt>
                <c:pt idx="12">
                  <c:v>-0.0320709200392815</c:v>
                </c:pt>
                <c:pt idx="13">
                  <c:v>-0.0332779230925039</c:v>
                </c:pt>
                <c:pt idx="14">
                  <c:v>-0.033800353567145</c:v>
                </c:pt>
                <c:pt idx="15">
                  <c:v>-0.034969138233082</c:v>
                </c:pt>
                <c:pt idx="16">
                  <c:v>-0.0364335128312664</c:v>
                </c:pt>
                <c:pt idx="17">
                  <c:v>-0.037932755220104</c:v>
                </c:pt>
                <c:pt idx="18">
                  <c:v>-0.0383522148284843</c:v>
                </c:pt>
                <c:pt idx="19">
                  <c:v>-0.0385683649164107</c:v>
                </c:pt>
                <c:pt idx="20">
                  <c:v>-0.0401820013920536</c:v>
                </c:pt>
                <c:pt idx="21">
                  <c:v>-0.0416673257670021</c:v>
                </c:pt>
                <c:pt idx="22">
                  <c:v>-0.0434029199787234</c:v>
                </c:pt>
                <c:pt idx="23">
                  <c:v>-0.0447442192334014</c:v>
                </c:pt>
                <c:pt idx="24">
                  <c:v>-0.0466426102216031</c:v>
                </c:pt>
                <c:pt idx="25">
                  <c:v>-0.0481381133793422</c:v>
                </c:pt>
                <c:pt idx="26">
                  <c:v>-0.0496861630363581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-0.0304857465421128</c:v>
                </c:pt>
                <c:pt idx="3">
                  <c:v>-0.0343763089058914</c:v>
                </c:pt>
                <c:pt idx="4">
                  <c:v>-0.028902614957812</c:v>
                </c:pt>
                <c:pt idx="5">
                  <c:v>-0.0262041297071126</c:v>
                </c:pt>
                <c:pt idx="6">
                  <c:v>-0.0288062720293231</c:v>
                </c:pt>
                <c:pt idx="7">
                  <c:v>-0.029291108955108</c:v>
                </c:pt>
                <c:pt idx="8">
                  <c:v>-0.0295339613621605</c:v>
                </c:pt>
                <c:pt idx="9">
                  <c:v>-0.030522619942288</c:v>
                </c:pt>
                <c:pt idx="10">
                  <c:v>-0.0311998579984276</c:v>
                </c:pt>
                <c:pt idx="11">
                  <c:v>-0.0313238768253064</c:v>
                </c:pt>
                <c:pt idx="12">
                  <c:v>-0.0310813404815074</c:v>
                </c:pt>
                <c:pt idx="13">
                  <c:v>-0.0307618116355201</c:v>
                </c:pt>
                <c:pt idx="14">
                  <c:v>-0.0306643486652242</c:v>
                </c:pt>
                <c:pt idx="15">
                  <c:v>-0.0303537458844891</c:v>
                </c:pt>
                <c:pt idx="16">
                  <c:v>-0.0308446953143733</c:v>
                </c:pt>
                <c:pt idx="17">
                  <c:v>-0.0313821046340422</c:v>
                </c:pt>
                <c:pt idx="18">
                  <c:v>-0.0324499198839295</c:v>
                </c:pt>
                <c:pt idx="19">
                  <c:v>-0.0331050213188057</c:v>
                </c:pt>
                <c:pt idx="20">
                  <c:v>-0.0336440825317797</c:v>
                </c:pt>
                <c:pt idx="21">
                  <c:v>-0.0341686273559093</c:v>
                </c:pt>
                <c:pt idx="22">
                  <c:v>-0.0342697105987806</c:v>
                </c:pt>
                <c:pt idx="23">
                  <c:v>-0.0348802779463142</c:v>
                </c:pt>
                <c:pt idx="24">
                  <c:v>-0.0352518728377279</c:v>
                </c:pt>
                <c:pt idx="25">
                  <c:v>-0.0355253760629484</c:v>
                </c:pt>
                <c:pt idx="26">
                  <c:v>-0.0364527043949067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-0.0305093165832999</c:v>
                </c:pt>
                <c:pt idx="3">
                  <c:v>-0.0348402542664033</c:v>
                </c:pt>
                <c:pt idx="4">
                  <c:v>-0.0298079172680747</c:v>
                </c:pt>
                <c:pt idx="5">
                  <c:v>-0.027525325137795</c:v>
                </c:pt>
                <c:pt idx="6">
                  <c:v>-0.0305842638880227</c:v>
                </c:pt>
                <c:pt idx="7">
                  <c:v>-0.0314908487968546</c:v>
                </c:pt>
                <c:pt idx="8">
                  <c:v>-0.032310342403262</c:v>
                </c:pt>
                <c:pt idx="9">
                  <c:v>-0.0337445607780786</c:v>
                </c:pt>
                <c:pt idx="10">
                  <c:v>-0.0349863671685392</c:v>
                </c:pt>
                <c:pt idx="11">
                  <c:v>-0.0365228727097766</c:v>
                </c:pt>
                <c:pt idx="12">
                  <c:v>-0.0378527432059485</c:v>
                </c:pt>
                <c:pt idx="13">
                  <c:v>-0.0390717616301995</c:v>
                </c:pt>
                <c:pt idx="14">
                  <c:v>-0.0406468912341674</c:v>
                </c:pt>
                <c:pt idx="15">
                  <c:v>-0.0417784839207191</c:v>
                </c:pt>
                <c:pt idx="16">
                  <c:v>-0.043700887075474</c:v>
                </c:pt>
                <c:pt idx="17">
                  <c:v>-0.0456914889749514</c:v>
                </c:pt>
                <c:pt idx="18">
                  <c:v>-0.048478368651734</c:v>
                </c:pt>
                <c:pt idx="19">
                  <c:v>-0.0507737902506999</c:v>
                </c:pt>
                <c:pt idx="20">
                  <c:v>-0.0528205793923719</c:v>
                </c:pt>
                <c:pt idx="21">
                  <c:v>-0.0548773295833156</c:v>
                </c:pt>
                <c:pt idx="22">
                  <c:v>-0.0567834431185083</c:v>
                </c:pt>
                <c:pt idx="23">
                  <c:v>-0.0592567426132113</c:v>
                </c:pt>
                <c:pt idx="24">
                  <c:v>-0.0619355207315167</c:v>
                </c:pt>
                <c:pt idx="25">
                  <c:v>-0.0644567977103078</c:v>
                </c:pt>
                <c:pt idx="26">
                  <c:v>-0.0674141169409312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-0.0304857465421128</c:v>
                </c:pt>
                <c:pt idx="3">
                  <c:v>-0.0343763089058912</c:v>
                </c:pt>
                <c:pt idx="4">
                  <c:v>-0.0290339643492679</c:v>
                </c:pt>
                <c:pt idx="5">
                  <c:v>-0.0262731915868772</c:v>
                </c:pt>
                <c:pt idx="6">
                  <c:v>-0.0275987306466591</c:v>
                </c:pt>
                <c:pt idx="7">
                  <c:v>-0.0267901012414912</c:v>
                </c:pt>
                <c:pt idx="8">
                  <c:v>-0.0259448895487694</c:v>
                </c:pt>
                <c:pt idx="9">
                  <c:v>-0.0254652467271816</c:v>
                </c:pt>
                <c:pt idx="10">
                  <c:v>-0.0243522504671263</c:v>
                </c:pt>
                <c:pt idx="11">
                  <c:v>-0.02335396964946</c:v>
                </c:pt>
                <c:pt idx="12">
                  <c:v>-0.0222693058989618</c:v>
                </c:pt>
                <c:pt idx="13">
                  <c:v>-0.0202388691718438</c:v>
                </c:pt>
                <c:pt idx="14">
                  <c:v>-0.0179962150199558</c:v>
                </c:pt>
                <c:pt idx="15">
                  <c:v>-0.0170032409542385</c:v>
                </c:pt>
                <c:pt idx="16">
                  <c:v>-0.0165483144846307</c:v>
                </c:pt>
                <c:pt idx="17">
                  <c:v>-0.016186644845394</c:v>
                </c:pt>
                <c:pt idx="18">
                  <c:v>-0.0152495983540545</c:v>
                </c:pt>
                <c:pt idx="19">
                  <c:v>-0.0150006914823116</c:v>
                </c:pt>
                <c:pt idx="20">
                  <c:v>-0.0146143833436947</c:v>
                </c:pt>
                <c:pt idx="21">
                  <c:v>-0.0136046916937525</c:v>
                </c:pt>
                <c:pt idx="22">
                  <c:v>-0.0128313769119288</c:v>
                </c:pt>
                <c:pt idx="23">
                  <c:v>-0.012823655359881</c:v>
                </c:pt>
                <c:pt idx="24">
                  <c:v>-0.0124335237331704</c:v>
                </c:pt>
                <c:pt idx="25">
                  <c:v>-0.0125367898375837</c:v>
                </c:pt>
                <c:pt idx="26">
                  <c:v>-0.0124109825531383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-0.0207644505662547</c:v>
                </c:pt>
                <c:pt idx="1">
                  <c:v>-0.0328222669154849</c:v>
                </c:pt>
                <c:pt idx="2">
                  <c:v>-0.0305093165832999</c:v>
                </c:pt>
                <c:pt idx="3">
                  <c:v>-0.0348402542664032</c:v>
                </c:pt>
                <c:pt idx="4">
                  <c:v>-0.0299421927061081</c:v>
                </c:pt>
                <c:pt idx="5">
                  <c:v>-0.0275985320045085</c:v>
                </c:pt>
                <c:pt idx="6">
                  <c:v>-0.0294047164765649</c:v>
                </c:pt>
                <c:pt idx="7">
                  <c:v>-0.0290017781190283</c:v>
                </c:pt>
                <c:pt idx="8">
                  <c:v>-0.0286761923233062</c:v>
                </c:pt>
                <c:pt idx="9">
                  <c:v>-0.028629427826658</c:v>
                </c:pt>
                <c:pt idx="10">
                  <c:v>-0.0279889864612936</c:v>
                </c:pt>
                <c:pt idx="11">
                  <c:v>-0.0283566248977052</c:v>
                </c:pt>
                <c:pt idx="12">
                  <c:v>-0.0287287667598929</c:v>
                </c:pt>
                <c:pt idx="13">
                  <c:v>-0.0281411736409808</c:v>
                </c:pt>
                <c:pt idx="14">
                  <c:v>-0.0273795675489869</c:v>
                </c:pt>
                <c:pt idx="15">
                  <c:v>-0.0277826513913862</c:v>
                </c:pt>
                <c:pt idx="16">
                  <c:v>-0.028647508268657</c:v>
                </c:pt>
                <c:pt idx="17">
                  <c:v>-0.0296263487558479</c:v>
                </c:pt>
                <c:pt idx="18">
                  <c:v>-0.0300204253563424</c:v>
                </c:pt>
                <c:pt idx="19">
                  <c:v>-0.0311590151163887</c:v>
                </c:pt>
                <c:pt idx="20">
                  <c:v>-0.0322725432284368</c:v>
                </c:pt>
                <c:pt idx="21">
                  <c:v>-0.0325079054501082</c:v>
                </c:pt>
                <c:pt idx="22">
                  <c:v>-0.0331080440385226</c:v>
                </c:pt>
                <c:pt idx="23">
                  <c:v>-0.0348555112456667</c:v>
                </c:pt>
                <c:pt idx="24">
                  <c:v>-0.0362309600703413</c:v>
                </c:pt>
                <c:pt idx="25">
                  <c:v>-0.0381104066332156</c:v>
                </c:pt>
                <c:pt idx="26">
                  <c:v>-0.0398002011740448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03259848"/>
        <c:axId val="-2103264040"/>
      </c:lineChart>
      <c:catAx>
        <c:axId val="-210325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3264040"/>
        <c:crosses val="autoZero"/>
        <c:auto val="1"/>
        <c:lblAlgn val="ctr"/>
        <c:lblOffset val="100"/>
        <c:noMultiLvlLbl val="1"/>
      </c:catAx>
      <c:valAx>
        <c:axId val="-210326404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32598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342000</xdr:colOff>
      <xdr:row>0</xdr:row>
      <xdr:rowOff>37080</xdr:rowOff>
    </xdr:from>
    <xdr:to>
      <xdr:col>20</xdr:col>
      <xdr:colOff>607320</xdr:colOff>
      <xdr:row>37</xdr:row>
      <xdr:rowOff>46800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0"/>
  <sheetViews>
    <sheetView topLeftCell="A80" zoomScale="125" zoomScaleNormal="125" zoomScalePageLayoutView="125" workbookViewId="0">
      <pane xSplit="2" topLeftCell="AR1" activePane="topRight" state="frozen"/>
      <selection pane="topRight" activeCell="BA25" sqref="BA25:BA117"/>
    </sheetView>
  </sheetViews>
  <sheetFormatPr baseColWidth="10" defaultColWidth="8.83203125" defaultRowHeight="12" x14ac:dyDescent="0"/>
  <cols>
    <col min="7" max="10" width="8.83203125" style="1"/>
  </cols>
  <sheetData>
    <row r="1" spans="1:61" s="6" customFormat="1" ht="50.25" customHeight="1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S1" s="6" t="s">
        <v>26</v>
      </c>
      <c r="AT1" s="6" t="s">
        <v>27</v>
      </c>
      <c r="AV1" s="6" t="s">
        <v>28</v>
      </c>
      <c r="AX1" s="6" t="s">
        <v>29</v>
      </c>
      <c r="AZ1" s="6" t="s">
        <v>30</v>
      </c>
      <c r="BC1" s="6" t="s">
        <v>31</v>
      </c>
      <c r="BE1" s="6" t="s">
        <v>32</v>
      </c>
      <c r="BF1" s="6" t="s">
        <v>33</v>
      </c>
      <c r="BG1" s="6" t="s">
        <v>34</v>
      </c>
      <c r="BH1" s="6" t="s">
        <v>35</v>
      </c>
      <c r="BI1" s="7" t="s">
        <v>36</v>
      </c>
    </row>
    <row r="2" spans="1:61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L2" s="14"/>
      <c r="AM2" s="14"/>
      <c r="AN2" s="14"/>
      <c r="AO2" s="14"/>
      <c r="AP2" s="14"/>
      <c r="AQ2" s="14"/>
      <c r="AR2" s="14"/>
      <c r="AT2" s="10" t="s">
        <v>41</v>
      </c>
      <c r="AU2" s="10" t="s">
        <v>39</v>
      </c>
      <c r="AV2" s="10" t="s">
        <v>41</v>
      </c>
      <c r="AW2" s="10" t="s">
        <v>39</v>
      </c>
      <c r="AX2" s="10" t="s">
        <v>42</v>
      </c>
      <c r="AY2" s="10" t="s">
        <v>43</v>
      </c>
      <c r="BI2" s="14"/>
    </row>
    <row r="3" spans="1:61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L3" s="19"/>
      <c r="AM3" s="19"/>
      <c r="AN3" s="19"/>
      <c r="AO3" s="11" t="s">
        <v>44</v>
      </c>
      <c r="AP3" s="19" t="s">
        <v>45</v>
      </c>
      <c r="AQ3" s="19" t="s">
        <v>44</v>
      </c>
      <c r="AR3" s="19" t="s">
        <v>45</v>
      </c>
      <c r="AS3" s="20"/>
      <c r="AT3" s="10">
        <v>10923418</v>
      </c>
      <c r="BC3" s="18">
        <f>S3/AF3</f>
        <v>1.3803743059084649E-2</v>
      </c>
      <c r="BD3" s="10">
        <v>2014</v>
      </c>
      <c r="BE3" s="18">
        <f>(SUM(S3:S6)/AVERAGE(AF3:AF6))</f>
        <v>5.6918105137217651E-2</v>
      </c>
      <c r="BF3" s="18">
        <f>(SUM(O3:O6)/AVERAGE(AF3:AF6))</f>
        <v>1.3201759021596645E-2</v>
      </c>
      <c r="BG3" s="18">
        <f>(SUM(C3:C6)/AVERAGE(AF3:AF6))</f>
        <v>6.4480796681875729E-2</v>
      </c>
      <c r="BH3" s="18">
        <f>(SUM(H3:H6)+SUM(J3:J6))/AVERAGE(AF3:AF6)</f>
        <v>0</v>
      </c>
      <c r="BI3" s="19">
        <f t="shared" ref="BI3:BI29" si="2">AJ3-BH3</f>
        <v>-2.0764450566254731E-2</v>
      </c>
    </row>
    <row r="4" spans="1:61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-3.2822266915484524E-2</v>
      </c>
      <c r="AK4" s="19"/>
      <c r="AL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S4" s="20"/>
      <c r="AT4" s="10">
        <v>10933469</v>
      </c>
      <c r="AV4" s="10">
        <f t="shared" ref="AV4:AV12" si="3">(AT4-AT3)/AT3</f>
        <v>9.2013324034656552E-4</v>
      </c>
      <c r="BC4" s="18">
        <f>S4/AF4</f>
        <v>1.4212842397520341E-2</v>
      </c>
      <c r="BD4" s="10">
        <v>2015</v>
      </c>
      <c r="BE4" s="18">
        <f>SUM(T14:T17)/AVERAGE(AF14:AF17)</f>
        <v>5.8016302548056821E-2</v>
      </c>
      <c r="BF4" s="18">
        <f>SUM(P14:P17)/AVERAGE(AF14:AF17)</f>
        <v>1.2830632772659042E-2</v>
      </c>
      <c r="BG4" s="18">
        <f>SUM(D14:D17)/AVERAGE(AF14:AF17)</f>
        <v>7.800793669088231E-2</v>
      </c>
      <c r="BH4" s="18">
        <f>(SUM(H14:H17)+SUM(J14:J17))/AVERAGE(AF14:AF17)</f>
        <v>0</v>
      </c>
      <c r="BI4" s="19">
        <f t="shared" si="2"/>
        <v>-3.2822266915484524E-2</v>
      </c>
    </row>
    <row r="5" spans="1:61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-3.0485746542112804E-2</v>
      </c>
      <c r="AK5" s="19"/>
      <c r="AL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S5" s="20"/>
      <c r="AT5" s="10">
        <v>10927942</v>
      </c>
      <c r="AV5" s="10">
        <f t="shared" si="3"/>
        <v>-5.0551202001853203E-4</v>
      </c>
      <c r="BC5" s="18">
        <f>S5/AF5</f>
        <v>1.3103697084635945E-2</v>
      </c>
      <c r="BD5" s="10">
        <v>2016</v>
      </c>
      <c r="BE5" s="18">
        <f>SUM(T18:T21)/AVERAGE(AF18:AF21)</f>
        <v>5.6853574673360364E-2</v>
      </c>
      <c r="BF5" s="18">
        <f>SUM(P18:P21)/AVERAGE(AF18:AF21)</f>
        <v>1.2674000203704931E-2</v>
      </c>
      <c r="BG5" s="18">
        <f>SUM(D18:D21)/AVERAGE(AF18:AF21)</f>
        <v>7.4665321011768246E-2</v>
      </c>
      <c r="BH5" s="18">
        <f>(SUM(H18:H21)+SUM(J18:J21))/AVERAGE(AF18:AF21)</f>
        <v>2.3570041187072876E-5</v>
      </c>
      <c r="BI5" s="19">
        <f t="shared" si="2"/>
        <v>-3.0509316583299875E-2</v>
      </c>
    </row>
    <row r="6" spans="1:61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-3.4376308905891273E-2</v>
      </c>
      <c r="AK6" s="19"/>
      <c r="AL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S6" s="20"/>
      <c r="AT6" s="10">
        <v>11163575</v>
      </c>
      <c r="AV6" s="10">
        <f t="shared" si="3"/>
        <v>2.1562431425789046E-2</v>
      </c>
      <c r="BC6" s="18">
        <f>S6/AF6</f>
        <v>1.5720197118186657E-2</v>
      </c>
      <c r="BD6" s="10">
        <v>2017</v>
      </c>
      <c r="BE6" s="18">
        <f>SUM(T22:T25)/AVERAGE(AF22:AF25)</f>
        <v>5.6359558616476874E-2</v>
      </c>
      <c r="BF6" s="18">
        <f>SUM(P22:P25)/AVERAGE(AF22:AF25)</f>
        <v>1.5482416354218723E-2</v>
      </c>
      <c r="BG6" s="18">
        <f>SUM(D22:D25)/AVERAGE(AF22:AF25)</f>
        <v>7.525345116814941E-2</v>
      </c>
      <c r="BH6" s="18">
        <f>(SUM(H22:H25)+SUM(J22:J25))/AVERAGE(AF22:AF25)</f>
        <v>4.6394536051195531E-4</v>
      </c>
      <c r="BI6" s="19">
        <f t="shared" si="2"/>
        <v>-3.4840254266403227E-2</v>
      </c>
    </row>
    <row r="7" spans="1:61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-2.8184645628802733E-2</v>
      </c>
      <c r="AK7" s="11">
        <v>35499882</v>
      </c>
      <c r="AL7" s="19">
        <f>AK7/AVERAGE(AF26:AF29)</f>
        <v>6.0002234288681136E-3</v>
      </c>
      <c r="AM7" s="19">
        <f>(AF29-AF25)/AF25</f>
        <v>4.1432512080797748E-2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12100294.325840577</v>
      </c>
      <c r="AO7" s="11">
        <f t="shared" ref="AO7:AO29" si="5">AO6*(1+AM7)</f>
        <v>604734365.49742353</v>
      </c>
      <c r="AP7" s="11">
        <f>AO7</f>
        <v>604734365.49742353</v>
      </c>
      <c r="AQ7" s="21">
        <f>AO7/AF29</f>
        <v>0.10103933176461725</v>
      </c>
      <c r="AR7" s="21">
        <f>AP7/AF29</f>
        <v>0.10103933176461725</v>
      </c>
      <c r="AT7" s="10">
        <v>11012334</v>
      </c>
      <c r="AV7" s="10">
        <f t="shared" si="3"/>
        <v>-1.3547721048140941E-2</v>
      </c>
      <c r="BC7" s="18">
        <f t="shared" ref="BC7:BC38" si="6">T14/AF14</f>
        <v>1.3827254222720351E-2</v>
      </c>
      <c r="BD7" s="10">
        <f t="shared" ref="BD7:BD29" si="7">BD6+1</f>
        <v>2018</v>
      </c>
      <c r="BE7" s="18">
        <f>SUM(T26:T29)/AVERAGE(AF26:AF29)</f>
        <v>5.446828394930666E-2</v>
      </c>
      <c r="BF7" s="18">
        <f>SUM(P26:P29)/AVERAGE(AF26:AF29)</f>
        <v>1.3098074991977493E-2</v>
      </c>
      <c r="BG7" s="18">
        <f>SUM(D26:D29)/AVERAGE(AF26:AF29)</f>
        <v>6.9554854586131892E-2</v>
      </c>
      <c r="BH7" s="18">
        <f>(SUM(H26:H29)+SUM(J26:J29))/AVERAGE(AF26:AF29)</f>
        <v>8.7891209333581686E-4</v>
      </c>
      <c r="BI7" s="19">
        <f t="shared" si="2"/>
        <v>-2.9063557722138551E-2</v>
      </c>
    </row>
    <row r="8" spans="1:61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-2.6486804766331213E-2</v>
      </c>
      <c r="AK8" s="11">
        <v>34418736</v>
      </c>
      <c r="AL8" s="19">
        <f>AK8/AVERAGE(AF30:AF33)</f>
        <v>5.8025402750346566E-3</v>
      </c>
      <c r="AM8" s="19">
        <f>(AF33-AF29)/AF29</f>
        <v>1.4605718564856859E-2</v>
      </c>
      <c r="AN8" s="11">
        <f>((((AN7*((1+AM8)^(1/12))-AK8/12)*((1+AM8)^(1/12))-AK8/12)*((1+AM8)^(1/12))-AK8/12)*((1+AM8)^(1/12))-AK8/12)*((1+AM8)^(1/12))-AK8/12</f>
        <v>-2202238.8792663137</v>
      </c>
      <c r="AO8" s="11">
        <f t="shared" si="5"/>
        <v>613566945.4463762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591195431.57013202</v>
      </c>
      <c r="AQ8" s="21">
        <f>AO8/AF33</f>
        <v>0.10103933176461725</v>
      </c>
      <c r="AR8" s="21">
        <f>AP8/AF33</f>
        <v>9.7355295606225259E-2</v>
      </c>
      <c r="AS8" s="20"/>
      <c r="AT8" s="10">
        <v>11082939</v>
      </c>
      <c r="AV8" s="10">
        <f t="shared" si="3"/>
        <v>6.4114473825439729E-3</v>
      </c>
      <c r="BC8" s="18">
        <f t="shared" si="6"/>
        <v>1.4927503834836226E-2</v>
      </c>
      <c r="BD8" s="10">
        <f t="shared" si="7"/>
        <v>2019</v>
      </c>
      <c r="BE8" s="18">
        <f>SUM(T30:T33)/AVERAGE(AF30:AF33)</f>
        <v>5.6035743139020121E-2</v>
      </c>
      <c r="BF8" s="18">
        <f>SUM(P30:P33)/AVERAGE(AF30:AF33)</f>
        <v>1.2333449971077189E-2</v>
      </c>
      <c r="BG8" s="18">
        <f>SUM(D30:D33)/AVERAGE(AF30:AF33)</f>
        <v>7.018909793427415E-2</v>
      </c>
      <c r="BH8" s="18">
        <f>(SUM(H30:H33)+SUM(J30:J33))/AVERAGE(AF30:AF33)</f>
        <v>1.3071224997271648E-3</v>
      </c>
      <c r="BI8" s="19">
        <f t="shared" si="2"/>
        <v>-2.7793927266058376E-2</v>
      </c>
    </row>
    <row r="9" spans="1:61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-2.8212517474453615E-2</v>
      </c>
      <c r="AK9" s="11">
        <v>32888832</v>
      </c>
      <c r="AL9" s="19">
        <f>AK9/AVERAGE(AF34:AF37)</f>
        <v>5.4443553577949088E-3</v>
      </c>
      <c r="AM9" s="19">
        <f>(AF37-AF33)/AF33</f>
        <v>7.5324231892810057E-3</v>
      </c>
      <c r="AN9" s="19"/>
      <c r="AO9" s="11">
        <f t="shared" si="5"/>
        <v>618188591.33443284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562646343.48310399</v>
      </c>
      <c r="AQ9" s="21">
        <f>AO9/AF37</f>
        <v>0.10103933176461725</v>
      </c>
      <c r="AR9" s="21">
        <f>AP9/AF37</f>
        <v>9.1961274216694935E-2</v>
      </c>
      <c r="AT9" s="10">
        <v>11339977</v>
      </c>
      <c r="AV9" s="10">
        <f t="shared" si="3"/>
        <v>2.3192223651145243E-2</v>
      </c>
      <c r="BC9" s="18">
        <f t="shared" si="6"/>
        <v>1.3592051892300453E-2</v>
      </c>
      <c r="BD9" s="10">
        <f t="shared" si="7"/>
        <v>2020</v>
      </c>
      <c r="BE9" s="18">
        <f>SUM(T34:T37)/AVERAGE(AF34:AF37)</f>
        <v>5.5291645651126632E-2</v>
      </c>
      <c r="BF9" s="18">
        <f>SUM(P34:P37)/AVERAGE(AF34:AF37)</f>
        <v>1.2121305950121694E-2</v>
      </c>
      <c r="BG9" s="18">
        <f>SUM(D34:D37)/AVERAGE(AF34:AF37)</f>
        <v>7.1382857175458558E-2</v>
      </c>
      <c r="BH9" s="18">
        <f>(SUM(H34:H37)+SUM(J34:J37))/AVERAGE(AF34:AF37)</f>
        <v>1.7468193277886102E-3</v>
      </c>
      <c r="BI9" s="19">
        <f t="shared" si="2"/>
        <v>-2.9959336802242224E-2</v>
      </c>
    </row>
    <row r="10" spans="1:61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-2.7937501852481263E-2</v>
      </c>
      <c r="AK10" s="11">
        <v>31097702</v>
      </c>
      <c r="AL10" s="19">
        <f>AK10/AVERAGE(AF38:AF41)</f>
        <v>5.043783061036906E-3</v>
      </c>
      <c r="AM10" s="19">
        <f>(AF41-AF37)/AF37</f>
        <v>1.7069831396379093E-2</v>
      </c>
      <c r="AN10" s="19"/>
      <c r="AO10" s="11">
        <f t="shared" si="5"/>
        <v>628740966.35967672</v>
      </c>
      <c r="AP10" s="11">
        <f t="shared" si="8"/>
        <v>540910364.98566842</v>
      </c>
      <c r="AQ10" s="21">
        <f>AO10/AF41</f>
        <v>0.10103933176461727</v>
      </c>
      <c r="AR10" s="21">
        <f>AP10/AF41</f>
        <v>8.6924862140193862E-2</v>
      </c>
      <c r="AT10" s="10">
        <v>11479064</v>
      </c>
      <c r="AV10" s="10">
        <f t="shared" si="3"/>
        <v>1.2265192424993455E-2</v>
      </c>
      <c r="BC10" s="18">
        <f t="shared" si="6"/>
        <v>1.5585340256804801E-2</v>
      </c>
      <c r="BD10" s="10">
        <f t="shared" si="7"/>
        <v>2021</v>
      </c>
      <c r="BE10" s="18">
        <f>SUM(T38:T41)/AVERAGE(AF38:AF41)</f>
        <v>5.5133647501533628E-2</v>
      </c>
      <c r="BF10" s="18">
        <f>SUM(P38:P41)/AVERAGE(AF38:AF41)</f>
        <v>1.1839508561772873E-2</v>
      </c>
      <c r="BG10" s="18">
        <f>SUM(D38:D41)/AVERAGE(AF38:AF41)</f>
        <v>7.1231640792242021E-2</v>
      </c>
      <c r="BH10" s="18">
        <f>(SUM(H38:H41)+SUM(J38:J41))/AVERAGE(AF38:AF41)</f>
        <v>2.1872707778748538E-3</v>
      </c>
      <c r="BI10" s="19">
        <f t="shared" si="2"/>
        <v>-3.0124772630356116E-2</v>
      </c>
    </row>
    <row r="11" spans="1:61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-2.7266447202214956E-2</v>
      </c>
      <c r="AK11" s="11">
        <v>29339483</v>
      </c>
      <c r="AL11" s="19">
        <f>AK11/AVERAGE(AF42:AF45)</f>
        <v>4.6719129799368958E-3</v>
      </c>
      <c r="AM11" s="19">
        <f>(AF45-AF41)/AF41</f>
        <v>1.2073788276895692E-2</v>
      </c>
      <c r="AN11" s="19"/>
      <c r="AO11" s="11">
        <f t="shared" si="5"/>
        <v>636332251.66851425</v>
      </c>
      <c r="AP11" s="11">
        <f t="shared" si="8"/>
        <v>517939711.62371051</v>
      </c>
      <c r="AQ11" s="21">
        <f>AO11/AF45</f>
        <v>0.10103933176461727</v>
      </c>
      <c r="AR11" s="21">
        <f>AP11/AF45</f>
        <v>8.2240499706872999E-2</v>
      </c>
      <c r="AT11" s="10">
        <v>11462881</v>
      </c>
      <c r="AV11" s="10">
        <f t="shared" si="3"/>
        <v>-1.4097839336029488E-3</v>
      </c>
      <c r="BC11" s="18">
        <f t="shared" si="6"/>
        <v>1.3648937813796651E-2</v>
      </c>
      <c r="BD11" s="10">
        <f t="shared" si="7"/>
        <v>2022</v>
      </c>
      <c r="BE11" s="18">
        <f>SUM(T42:T45)/AVERAGE(AF42:AF45)</f>
        <v>5.5075733449642256E-2</v>
      </c>
      <c r="BF11" s="18">
        <f>SUM(P42:P45)/AVERAGE(AF42:AF45)</f>
        <v>1.154295061392013E-2</v>
      </c>
      <c r="BG11" s="18">
        <f>SUM(D42:D45)/AVERAGE(AF42:AF45)</f>
        <v>7.0799230037937075E-2</v>
      </c>
      <c r="BH11" s="18">
        <f>(SUM(H42:H45)+SUM(J42:J45))/AVERAGE(AF42:AF45)</f>
        <v>2.6715644671745182E-3</v>
      </c>
      <c r="BI11" s="19">
        <f t="shared" si="2"/>
        <v>-2.9938011669389475E-2</v>
      </c>
    </row>
    <row r="12" spans="1:61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-2.6600016709129044E-2</v>
      </c>
      <c r="AK12" s="11">
        <v>27622963</v>
      </c>
      <c r="AL12" s="19">
        <f>AK12/AVERAGE(AF46:AF49)</f>
        <v>4.3332582855436967E-3</v>
      </c>
      <c r="AM12" s="19">
        <f>(AF49-AF45)/AF45</f>
        <v>1.4735959923005233E-2</v>
      </c>
      <c r="AN12" s="19"/>
      <c r="AO12" s="11">
        <f t="shared" si="5"/>
        <v>645709218.22681713</v>
      </c>
      <c r="AP12" s="11">
        <f t="shared" si="8"/>
        <v>497763015.23431623</v>
      </c>
      <c r="AQ12" s="21">
        <f>AO12/AF49</f>
        <v>0.10103933176461725</v>
      </c>
      <c r="AR12" s="21">
        <f>AP12/AF49</f>
        <v>7.7888995567583413E-2</v>
      </c>
      <c r="AT12" s="10">
        <v>11332510</v>
      </c>
      <c r="AV12" s="10">
        <f t="shared" si="3"/>
        <v>-1.1373318801791626E-2</v>
      </c>
      <c r="BC12" s="18">
        <f t="shared" si="6"/>
        <v>1.4371126013635339E-2</v>
      </c>
      <c r="BD12" s="10">
        <f t="shared" si="7"/>
        <v>2023</v>
      </c>
      <c r="BE12" s="18">
        <f>SUM(T46:T49)/AVERAGE(AF46:AF49)</f>
        <v>5.5437271043111164E-2</v>
      </c>
      <c r="BF12" s="18">
        <f>SUM(P46:P49)/AVERAGE(AF46:AF49)</f>
        <v>1.1382848830628772E-2</v>
      </c>
      <c r="BG12" s="18">
        <f>SUM(D46:D49)/AVERAGE(AF46:AF49)</f>
        <v>7.065443892161144E-2</v>
      </c>
      <c r="BH12" s="18">
        <f>(SUM(H46:H49)+SUM(J46:J49))/AVERAGE(AF46:AF49)</f>
        <v>3.1744384754414487E-3</v>
      </c>
      <c r="BI12" s="19">
        <f t="shared" si="2"/>
        <v>-2.9774455184570493E-2</v>
      </c>
    </row>
    <row r="13" spans="1:61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-2.6912074268029534E-2</v>
      </c>
      <c r="AK13" s="23">
        <v>25980237</v>
      </c>
      <c r="AL13" s="27">
        <f>AK13/AVERAGE(AF50:AF53)</f>
        <v>4.0252531505625263E-3</v>
      </c>
      <c r="AM13" s="27">
        <f>(AF53-AF49)/AF49</f>
        <v>1.4789097423915556E-2</v>
      </c>
      <c r="AN13" s="27"/>
      <c r="AO13" s="23">
        <f t="shared" si="5"/>
        <v>655258674.76269388</v>
      </c>
      <c r="AP13" s="23">
        <f t="shared" si="8"/>
        <v>478968607.9707213</v>
      </c>
      <c r="AQ13" s="28">
        <f>AO13/AF53</f>
        <v>0.10103933176461725</v>
      </c>
      <c r="AR13" s="28">
        <f>AP13/AF53</f>
        <v>7.3855822058543602E-2</v>
      </c>
      <c r="BC13" s="20">
        <f t="shared" si="6"/>
        <v>1.3371306482896883E-2</v>
      </c>
      <c r="BD13">
        <f t="shared" si="7"/>
        <v>2024</v>
      </c>
      <c r="BE13" s="20">
        <f>SUM(T50:T53)/AVERAGE(AF50:AF53)</f>
        <v>5.5294381420595992E-2</v>
      </c>
      <c r="BF13" s="20">
        <f>SUM(P50:P53)/AVERAGE(AF50:AF53)</f>
        <v>1.1244042389957971E-2</v>
      </c>
      <c r="BG13" s="20">
        <f>SUM(D50:D53)/AVERAGE(AF50:AF53)</f>
        <v>7.0962413298667551E-2</v>
      </c>
      <c r="BH13" s="20">
        <f>(SUM(H50:H53)+SUM(J50:J53))/AVERAGE(AF50:AF53)</f>
        <v>3.7876303347539365E-3</v>
      </c>
      <c r="BI13" s="27">
        <f t="shared" si="2"/>
        <v>-3.069970460278347E-2</v>
      </c>
    </row>
    <row r="14" spans="1:61" s="29" customFormat="1">
      <c r="A14" s="29">
        <v>2015</v>
      </c>
      <c r="B14" s="29">
        <v>1</v>
      </c>
      <c r="C14" s="30"/>
      <c r="D14" s="30">
        <v>94935467.946732402</v>
      </c>
      <c r="E14" s="30"/>
      <c r="F14" s="30">
        <v>17255645.071814399</v>
      </c>
      <c r="G14" s="31">
        <v>0</v>
      </c>
      <c r="H14" s="31">
        <v>0</v>
      </c>
      <c r="I14" s="31">
        <v>0</v>
      </c>
      <c r="J14" s="32">
        <v>0</v>
      </c>
      <c r="K14" s="30"/>
      <c r="L14" s="33">
        <v>2539896.5458378801</v>
      </c>
      <c r="M14" s="33"/>
      <c r="N14" s="33">
        <v>705811.99728030001</v>
      </c>
      <c r="O14" s="30"/>
      <c r="P14" s="30">
        <v>17062704.611342698</v>
      </c>
      <c r="Q14" s="33"/>
      <c r="R14" s="33">
        <v>17864532.4008561</v>
      </c>
      <c r="S14" s="33"/>
      <c r="T14" s="30">
        <v>68306587.984066293</v>
      </c>
      <c r="U14" s="30"/>
      <c r="V14" s="33">
        <v>116424.766458671</v>
      </c>
      <c r="W14" s="33"/>
      <c r="X14" s="33">
        <v>292425.44715261302</v>
      </c>
      <c r="Y14" s="30"/>
      <c r="Z14" s="30">
        <f t="shared" ref="Z14:Z45" si="9">R14+V14-N14-L14-F14</f>
        <v>-2520396.4476178065</v>
      </c>
      <c r="AA14" s="30"/>
      <c r="AB14" s="30">
        <f t="shared" ref="AB14:AB45" si="10">T14-P14-D14</f>
        <v>-43691584.574008808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-8.8444565177114628E-3</v>
      </c>
      <c r="AI14" s="35">
        <f t="shared" si="4"/>
        <v>2025</v>
      </c>
      <c r="AJ14" s="36">
        <f>SUM(AB54:AB57)/AVERAGE(AF54:AF57)</f>
        <v>-2.7560410101298265E-2</v>
      </c>
      <c r="AK14" s="30">
        <v>24317490</v>
      </c>
      <c r="AL14" s="36">
        <f>AK14/AVERAGE(AF54:AF57)</f>
        <v>3.8717398769786255E-3</v>
      </c>
      <c r="AM14" s="36">
        <f>(AF57-AF53)/AF53</f>
        <v>1.9352880897337939E-2</v>
      </c>
      <c r="AN14" s="36"/>
      <c r="AO14" s="30">
        <f t="shared" si="5"/>
        <v>667939817.85232389</v>
      </c>
      <c r="AP14" s="30">
        <f t="shared" si="8"/>
        <v>463705589.04732466</v>
      </c>
      <c r="AQ14" s="37">
        <f>AO14/AF57</f>
        <v>0.10103933176461727</v>
      </c>
      <c r="AR14" s="37">
        <f>AP14/AF57</f>
        <v>7.0144796882312274E-2</v>
      </c>
      <c r="AU14" s="29">
        <v>11171229</v>
      </c>
      <c r="AW14" s="29">
        <f>(AU14-AT6)/AT6</f>
        <v>6.8562266119948133E-4</v>
      </c>
      <c r="AX14" s="38">
        <v>6368.9065332603996</v>
      </c>
      <c r="BC14" s="34">
        <f t="shared" si="6"/>
        <v>1.5435953799932029E-2</v>
      </c>
      <c r="BD14" s="29">
        <f t="shared" si="7"/>
        <v>2025</v>
      </c>
      <c r="BE14" s="34">
        <f>SUM(T54:T57)/AVERAGE(AF54:AF57)</f>
        <v>5.7809911958048396E-2</v>
      </c>
      <c r="BF14" s="34">
        <f>SUM(P54:P57)/AVERAGE(AF54:AF57)</f>
        <v>1.1513183999348642E-2</v>
      </c>
      <c r="BG14" s="34">
        <f>SUM(D54:D57)/AVERAGE(AF54:AF57)</f>
        <v>7.3857138059998009E-2</v>
      </c>
      <c r="BH14" s="34">
        <f>(SUM(H54:H57)+SUM(J54:J57))/AVERAGE(AF54:AF57)</f>
        <v>5.3320064161248805E-3</v>
      </c>
      <c r="BI14" s="36">
        <f t="shared" si="2"/>
        <v>-3.2892416517423147E-2</v>
      </c>
    </row>
    <row r="15" spans="1:61" s="39" customFormat="1">
      <c r="A15" s="39">
        <v>2015</v>
      </c>
      <c r="B15" s="39">
        <v>2</v>
      </c>
      <c r="C15" s="40"/>
      <c r="D15" s="40">
        <v>109339014.260113</v>
      </c>
      <c r="E15" s="40"/>
      <c r="F15" s="40">
        <v>19873660.112290099</v>
      </c>
      <c r="G15" s="41">
        <v>0</v>
      </c>
      <c r="H15" s="41">
        <v>0</v>
      </c>
      <c r="I15" s="41">
        <v>0</v>
      </c>
      <c r="J15" s="42">
        <v>0</v>
      </c>
      <c r="K15" s="40"/>
      <c r="L15" s="43">
        <v>2236649.19177722</v>
      </c>
      <c r="M15" s="43"/>
      <c r="N15" s="43">
        <v>815524.15203720005</v>
      </c>
      <c r="O15" s="40"/>
      <c r="P15" s="40">
        <v>16092756.554698201</v>
      </c>
      <c r="Q15" s="43"/>
      <c r="R15" s="43">
        <v>21768919.327668302</v>
      </c>
      <c r="S15" s="43"/>
      <c r="T15" s="40">
        <v>83235349.798584893</v>
      </c>
      <c r="U15" s="40"/>
      <c r="V15" s="43">
        <v>117941.839121197</v>
      </c>
      <c r="W15" s="43"/>
      <c r="X15" s="43">
        <v>296235.896296694</v>
      </c>
      <c r="Y15" s="40"/>
      <c r="Z15" s="40">
        <f t="shared" si="9"/>
        <v>-1038972.2893150225</v>
      </c>
      <c r="AA15" s="40"/>
      <c r="AB15" s="40">
        <f t="shared" si="10"/>
        <v>-42196421.016226307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-7.5675447758710686E-3</v>
      </c>
      <c r="AI15" s="45">
        <f t="shared" si="4"/>
        <v>2026</v>
      </c>
      <c r="AJ15" s="46">
        <f>SUM(AB58:AB61)/AVERAGE(AF58:AF61)</f>
        <v>-2.5505846889151761E-2</v>
      </c>
      <c r="AK15" s="40">
        <v>22722415</v>
      </c>
      <c r="AL15" s="46">
        <f>AK15/AVERAGE(AF58:AF61)</f>
        <v>3.3950382337954717E-3</v>
      </c>
      <c r="AM15" s="46">
        <f>(AF61-AF57)/AF57</f>
        <v>1.3940919105831538E-2</v>
      </c>
      <c r="AN15" s="46"/>
      <c r="AO15" s="40">
        <f t="shared" si="5"/>
        <v>677251512.82056701</v>
      </c>
      <c r="AP15" s="40">
        <f t="shared" si="8"/>
        <v>447302832.2109533</v>
      </c>
      <c r="AQ15" s="47">
        <f>AO15/AF61</f>
        <v>0.10103933176461728</v>
      </c>
      <c r="AR15" s="47">
        <f>AP15/AF61</f>
        <v>6.6733227475254953E-2</v>
      </c>
      <c r="AU15" s="39">
        <v>11004289</v>
      </c>
      <c r="AW15" s="39">
        <f t="shared" ref="AW15:AW46" si="13">(AU15-AU14)/AU14</f>
        <v>-1.494374522266082E-2</v>
      </c>
      <c r="AX15" s="48">
        <v>6691.6267211455997</v>
      </c>
      <c r="AY15" s="44">
        <f t="shared" ref="AY15:AY46" si="14">(AX15-AX14)/AX14</f>
        <v>5.06712080323138E-2</v>
      </c>
      <c r="BC15" s="44">
        <f t="shared" si="6"/>
        <v>1.3822787597134715E-2</v>
      </c>
      <c r="BD15" s="39">
        <f t="shared" si="7"/>
        <v>2026</v>
      </c>
      <c r="BE15" s="44">
        <f>SUM(T58:T61)/AVERAGE(AF58:AF61)</f>
        <v>5.5412883159477365E-2</v>
      </c>
      <c r="BF15" s="44">
        <f>SUM(P58:P61)/AVERAGE(AF58:AF61)</f>
        <v>1.0827357612438051E-2</v>
      </c>
      <c r="BG15" s="44">
        <f>SUM(D58:D61)/AVERAGE(AF58:AF61)</f>
        <v>7.0091372436191082E-2</v>
      </c>
      <c r="BH15" s="44">
        <f>(SUM(H58:H61)+SUM(J58:J61))/AVERAGE(AF58:AF61)</f>
        <v>6.5650731501297683E-3</v>
      </c>
      <c r="BI15" s="46">
        <f t="shared" si="2"/>
        <v>-3.2070920039281532E-2</v>
      </c>
    </row>
    <row r="16" spans="1:61" s="39" customFormat="1">
      <c r="A16" s="39">
        <v>2015</v>
      </c>
      <c r="B16" s="39">
        <v>3</v>
      </c>
      <c r="C16" s="40"/>
      <c r="D16" s="40">
        <v>106210928.692734</v>
      </c>
      <c r="E16" s="40"/>
      <c r="F16" s="40">
        <v>19305093.532566201</v>
      </c>
      <c r="G16" s="41">
        <v>0</v>
      </c>
      <c r="H16" s="41">
        <v>0</v>
      </c>
      <c r="I16" s="41">
        <v>0</v>
      </c>
      <c r="J16" s="42">
        <v>0</v>
      </c>
      <c r="K16" s="40"/>
      <c r="L16" s="43">
        <v>2734803.8185367598</v>
      </c>
      <c r="M16" s="43"/>
      <c r="N16" s="43">
        <v>793894.77475969901</v>
      </c>
      <c r="O16" s="40"/>
      <c r="P16" s="40">
        <v>18558684.828998201</v>
      </c>
      <c r="Q16" s="43"/>
      <c r="R16" s="43">
        <v>20018134.0063628</v>
      </c>
      <c r="S16" s="43"/>
      <c r="T16" s="40">
        <v>76541070.379033193</v>
      </c>
      <c r="U16" s="40"/>
      <c r="V16" s="43">
        <v>123359.29092606</v>
      </c>
      <c r="W16" s="43"/>
      <c r="X16" s="43">
        <v>309842.97333581402</v>
      </c>
      <c r="Y16" s="40"/>
      <c r="Z16" s="40">
        <f t="shared" si="9"/>
        <v>-2692298.8285737988</v>
      </c>
      <c r="AA16" s="40"/>
      <c r="AB16" s="40">
        <f t="shared" si="10"/>
        <v>-48228543.142699011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-8.564354507187337E-3</v>
      </c>
      <c r="AI16" s="45">
        <f t="shared" si="4"/>
        <v>2027</v>
      </c>
      <c r="AJ16" s="46">
        <f>SUM(AB62:AB65)/AVERAGE(AF62:AF65)</f>
        <v>-2.5093706008574468E-2</v>
      </c>
      <c r="AK16" s="40">
        <v>21166877</v>
      </c>
      <c r="AL16" s="46">
        <f>AK16/AVERAGE(AF62:AF65)</f>
        <v>3.1244936279390093E-3</v>
      </c>
      <c r="AM16" s="46">
        <f>(AF65-AF61)/AF61</f>
        <v>9.0270005801434041E-3</v>
      </c>
      <c r="AN16" s="46"/>
      <c r="AO16" s="40">
        <f t="shared" si="5"/>
        <v>683365062.61970127</v>
      </c>
      <c r="AP16" s="40">
        <f t="shared" si="8"/>
        <v>430086324.91970319</v>
      </c>
      <c r="AQ16" s="47">
        <f>AO16/AF65</f>
        <v>0.10103933176461728</v>
      </c>
      <c r="AR16" s="47">
        <f>AP16/AF65</f>
        <v>6.3590659294752855E-2</v>
      </c>
      <c r="AU16" s="39">
        <v>11262070</v>
      </c>
      <c r="AW16" s="39">
        <f t="shared" si="13"/>
        <v>2.3425502547234082E-2</v>
      </c>
      <c r="AX16" s="48">
        <v>6984.1911310187998</v>
      </c>
      <c r="AY16" s="44">
        <f t="shared" si="14"/>
        <v>4.372096981272041E-2</v>
      </c>
      <c r="BC16" s="44">
        <f t="shared" si="6"/>
        <v>1.4454010095105791E-2</v>
      </c>
      <c r="BD16" s="39">
        <f t="shared" si="7"/>
        <v>2027</v>
      </c>
      <c r="BE16" s="44">
        <f>SUM(T62:T65)/AVERAGE(AF62:AF65)</f>
        <v>5.5374530318132963E-2</v>
      </c>
      <c r="BF16" s="44">
        <f>SUM(P62:P65)/AVERAGE(AF62:AF65)</f>
        <v>1.0644224009666081E-2</v>
      </c>
      <c r="BG16" s="44">
        <f>SUM(D62:D65)/AVERAGE(AF62:AF65)</f>
        <v>6.9824012317041356E-2</v>
      </c>
      <c r="BH16" s="44">
        <f>(SUM(H62:H65)+SUM(J62:J65))/AVERAGE(AF62:AF65)</f>
        <v>8.1842170839294855E-3</v>
      </c>
      <c r="BI16" s="46">
        <f t="shared" si="2"/>
        <v>-3.327792309250395E-2</v>
      </c>
    </row>
    <row r="17" spans="1:61" s="39" customFormat="1">
      <c r="A17" s="39">
        <v>2015</v>
      </c>
      <c r="B17" s="39">
        <v>4</v>
      </c>
      <c r="C17" s="40"/>
      <c r="D17" s="40">
        <v>114771012.910385</v>
      </c>
      <c r="E17" s="40"/>
      <c r="F17" s="40">
        <v>20860990.166767199</v>
      </c>
      <c r="G17" s="41">
        <v>0</v>
      </c>
      <c r="H17" s="41">
        <v>0</v>
      </c>
      <c r="I17" s="41">
        <v>0</v>
      </c>
      <c r="J17" s="42">
        <v>0</v>
      </c>
      <c r="K17" s="40"/>
      <c r="L17" s="43">
        <v>2602828.7029223</v>
      </c>
      <c r="M17" s="43"/>
      <c r="N17" s="43">
        <v>858883.92639519996</v>
      </c>
      <c r="O17" s="40"/>
      <c r="P17" s="40">
        <v>18231416.464090198</v>
      </c>
      <c r="Q17" s="43"/>
      <c r="R17" s="43">
        <v>23064733.3455511</v>
      </c>
      <c r="S17" s="43"/>
      <c r="T17" s="40">
        <v>88190007.006363899</v>
      </c>
      <c r="U17" s="40"/>
      <c r="V17" s="43">
        <v>115904.1045511</v>
      </c>
      <c r="W17" s="43"/>
      <c r="X17" s="43">
        <v>291117.69455178798</v>
      </c>
      <c r="Y17" s="40"/>
      <c r="Z17" s="40">
        <f t="shared" si="9"/>
        <v>-1142065.3459824994</v>
      </c>
      <c r="AA17" s="40"/>
      <c r="AB17" s="40">
        <f t="shared" si="10"/>
        <v>-44812422.368111297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-7.919455662230148E-3</v>
      </c>
      <c r="AI17" s="45">
        <f t="shared" si="4"/>
        <v>2028</v>
      </c>
      <c r="AJ17" s="46">
        <f>SUM(AB66:AB69)/AVERAGE(AF66:AF69)</f>
        <v>-2.4101466080410562E-2</v>
      </c>
      <c r="AK17" s="40">
        <v>19655418</v>
      </c>
      <c r="AL17" s="46">
        <f>AK17/AVERAGE(AF66:AF69)</f>
        <v>2.8468610261770792E-3</v>
      </c>
      <c r="AM17" s="46">
        <f>(AF69-AF65)/AF65</f>
        <v>2.791627582472354E-2</v>
      </c>
      <c r="AN17" s="46"/>
      <c r="AO17" s="40">
        <f t="shared" si="5"/>
        <v>702442070.19677234</v>
      </c>
      <c r="AP17" s="40">
        <f t="shared" si="8"/>
        <v>422187075.34672368</v>
      </c>
      <c r="AQ17" s="47">
        <f>AO17/AF69</f>
        <v>0.10103933176461728</v>
      </c>
      <c r="AR17" s="47">
        <f>AP17/AF69</f>
        <v>6.0727427616545815E-2</v>
      </c>
      <c r="AU17" s="39">
        <v>11267048</v>
      </c>
      <c r="AW17" s="39">
        <f t="shared" si="13"/>
        <v>4.4201465627544492E-4</v>
      </c>
      <c r="AX17" s="48">
        <v>6967.8308273950997</v>
      </c>
      <c r="AY17" s="44">
        <f t="shared" si="14"/>
        <v>-2.3424765039775628E-3</v>
      </c>
      <c r="BC17" s="44">
        <f t="shared" si="6"/>
        <v>1.3110468534483668E-2</v>
      </c>
      <c r="BD17" s="39">
        <f t="shared" si="7"/>
        <v>2028</v>
      </c>
      <c r="BE17" s="44">
        <f>SUM(T66:T69)/AVERAGE(AF66:AF69)</f>
        <v>5.5672509898800647E-2</v>
      </c>
      <c r="BF17" s="44">
        <f>SUM(P66:P69)/AVERAGE(AF66:AF69)</f>
        <v>1.0549401182169399E-2</v>
      </c>
      <c r="BG17" s="44">
        <f>SUM(D66:D69)/AVERAGE(AF66:AF69)</f>
        <v>6.9224574797041818E-2</v>
      </c>
      <c r="BH17" s="44">
        <f>(SUM(H66:H69)+SUM(J66:J69))/AVERAGE(AF66:AF69)</f>
        <v>9.6988874867344702E-3</v>
      </c>
      <c r="BI17" s="46">
        <f t="shared" si="2"/>
        <v>-3.3800353567145031E-2</v>
      </c>
    </row>
    <row r="18" spans="1:61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30">
        <v>100240264.60821301</v>
      </c>
      <c r="E18" s="30"/>
      <c r="F18" s="30">
        <v>18219854.6591102</v>
      </c>
      <c r="G18" s="31">
        <v>0</v>
      </c>
      <c r="H18" s="31">
        <v>0</v>
      </c>
      <c r="I18" s="31">
        <v>0</v>
      </c>
      <c r="J18" s="32">
        <v>0</v>
      </c>
      <c r="K18" s="30"/>
      <c r="L18" s="33">
        <v>2640788.5999428201</v>
      </c>
      <c r="M18" s="33"/>
      <c r="N18" s="33">
        <v>746581.10841980204</v>
      </c>
      <c r="O18" s="30"/>
      <c r="P18" s="30">
        <v>17810533.580371</v>
      </c>
      <c r="Q18" s="33"/>
      <c r="R18" s="33">
        <v>18956103.483738702</v>
      </c>
      <c r="S18" s="33"/>
      <c r="T18" s="30">
        <v>72480304.627789095</v>
      </c>
      <c r="U18" s="30"/>
      <c r="V18" s="33">
        <v>109424.910354893</v>
      </c>
      <c r="W18" s="33"/>
      <c r="X18" s="33">
        <v>274843.82673443703</v>
      </c>
      <c r="Y18" s="30"/>
      <c r="Z18" s="30">
        <f t="shared" si="9"/>
        <v>-2541695.9733792264</v>
      </c>
      <c r="AA18" s="30"/>
      <c r="AB18" s="30">
        <f t="shared" si="10"/>
        <v>-45570493.560794912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-8.5814875634068286E-3</v>
      </c>
      <c r="AI18" s="35">
        <f t="shared" si="4"/>
        <v>2029</v>
      </c>
      <c r="AJ18" s="36">
        <f>SUM(AB70:AB73)/AVERAGE(AF70:AF73)</f>
        <v>-2.3888504555603735E-2</v>
      </c>
      <c r="AK18" s="30">
        <v>18224737</v>
      </c>
      <c r="AL18" s="36">
        <f>AK18/AVERAGE(AF70:AF73)</f>
        <v>2.594756850838896E-3</v>
      </c>
      <c r="AM18" s="36">
        <f>(AF73-AF69)/AF69</f>
        <v>4.1172531128051675E-3</v>
      </c>
      <c r="AN18" s="36"/>
      <c r="AO18" s="30">
        <f t="shared" si="5"/>
        <v>705334201.99685526</v>
      </c>
      <c r="AP18" s="30">
        <f t="shared" si="8"/>
        <v>405666223.47712803</v>
      </c>
      <c r="AQ18" s="37">
        <f>AO18/AF73</f>
        <v>0.10103933176461727</v>
      </c>
      <c r="AR18" s="37">
        <f>AP18/AF73</f>
        <v>5.8111805756142332E-2</v>
      </c>
      <c r="AU18" s="29">
        <v>11091626</v>
      </c>
      <c r="AW18" s="29">
        <f t="shared" si="13"/>
        <v>-1.5569473033220415E-2</v>
      </c>
      <c r="AX18" s="38">
        <v>6546.8359095505002</v>
      </c>
      <c r="AY18" s="34">
        <f t="shared" si="14"/>
        <v>-6.0419796099152288E-2</v>
      </c>
      <c r="BC18" s="34">
        <f t="shared" si="6"/>
        <v>1.4944580088999038E-2</v>
      </c>
      <c r="BD18" s="29">
        <f t="shared" si="7"/>
        <v>2029</v>
      </c>
      <c r="BE18" s="34">
        <f>SUM(T70:T73)/AVERAGE(AF70:AF73)</f>
        <v>5.5254556078494235E-2</v>
      </c>
      <c r="BF18" s="34">
        <f>SUM(P70:P73)/AVERAGE(AF70:AF73)</f>
        <v>1.0240279636933148E-2</v>
      </c>
      <c r="BG18" s="34">
        <f>SUM(D70:D73)/AVERAGE(AF70:AF73)</f>
        <v>6.890278099716482E-2</v>
      </c>
      <c r="BH18" s="34">
        <f>(SUM(H70:H73)+SUM(J70:J73))/AVERAGE(AF70:AF73)</f>
        <v>1.1080633677478307E-2</v>
      </c>
      <c r="BI18" s="36">
        <f t="shared" si="2"/>
        <v>-3.4969138233082044E-2</v>
      </c>
    </row>
    <row r="19" spans="1:61" s="39" customFormat="1">
      <c r="A19" s="39">
        <f t="shared" si="15"/>
        <v>2016</v>
      </c>
      <c r="B19" s="39">
        <f t="shared" si="16"/>
        <v>2</v>
      </c>
      <c r="C19" s="40"/>
      <c r="D19" s="40">
        <v>103301064.511197</v>
      </c>
      <c r="E19" s="40"/>
      <c r="F19" s="40">
        <v>18776191.272854801</v>
      </c>
      <c r="G19" s="41">
        <v>0</v>
      </c>
      <c r="H19" s="41">
        <v>0</v>
      </c>
      <c r="I19" s="41">
        <v>0</v>
      </c>
      <c r="J19" s="42">
        <v>0</v>
      </c>
      <c r="K19" s="40"/>
      <c r="L19" s="43">
        <v>2248745.6258871201</v>
      </c>
      <c r="M19" s="43"/>
      <c r="N19" s="43">
        <v>770770.99337759998</v>
      </c>
      <c r="O19" s="40"/>
      <c r="P19" s="40">
        <v>15909306.334170001</v>
      </c>
      <c r="Q19" s="43"/>
      <c r="R19" s="43">
        <v>21350096.797455899</v>
      </c>
      <c r="S19" s="43"/>
      <c r="T19" s="40">
        <v>81633945.554257095</v>
      </c>
      <c r="U19" s="40"/>
      <c r="V19" s="43">
        <v>106122.576781039</v>
      </c>
      <c r="W19" s="43"/>
      <c r="X19" s="43">
        <v>266549.31688610301</v>
      </c>
      <c r="Y19" s="40"/>
      <c r="Z19" s="40">
        <f t="shared" si="9"/>
        <v>-339488.5178825818</v>
      </c>
      <c r="AA19" s="40"/>
      <c r="AB19" s="40">
        <f t="shared" si="10"/>
        <v>-37576425.291109905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-6.6150856648424412E-3</v>
      </c>
      <c r="AI19" s="45">
        <f t="shared" si="4"/>
        <v>2030</v>
      </c>
      <c r="AJ19" s="46">
        <f>SUM(AB74:AB77)/AVERAGE(AF74:AF77)</f>
        <v>-2.4004707091811947E-2</v>
      </c>
      <c r="AK19" s="40">
        <v>16823953</v>
      </c>
      <c r="AL19" s="46">
        <f>AK19/AVERAGE(AF74:AF77)</f>
        <v>2.3747035991740686E-3</v>
      </c>
      <c r="AM19" s="46">
        <f>(AF77-AF73)/AF73</f>
        <v>2.5414746916363695E-2</v>
      </c>
      <c r="AN19" s="46"/>
      <c r="AO19" s="40">
        <f t="shared" si="5"/>
        <v>723260092.23206067</v>
      </c>
      <c r="AP19" s="40">
        <f t="shared" si="8"/>
        <v>398957090.34029102</v>
      </c>
      <c r="AQ19" s="47">
        <f>AO19/AF77</f>
        <v>0.10103933176461727</v>
      </c>
      <c r="AR19" s="47">
        <f>AP19/AF77</f>
        <v>5.5734248638462582E-2</v>
      </c>
      <c r="AU19" s="39">
        <v>11136575</v>
      </c>
      <c r="AW19" s="39">
        <f t="shared" si="13"/>
        <v>4.0525167365001308E-3</v>
      </c>
      <c r="AX19" s="48">
        <v>6356.2046503346</v>
      </c>
      <c r="AY19" s="44">
        <f t="shared" si="14"/>
        <v>-2.9118075028855998E-2</v>
      </c>
      <c r="BC19" s="44">
        <f t="shared" si="6"/>
        <v>1.2722413925293094E-2</v>
      </c>
      <c r="BD19" s="39">
        <f t="shared" si="7"/>
        <v>2030</v>
      </c>
      <c r="BE19" s="44">
        <f>SUM(T74:T77)/AVERAGE(AF74:AF77)</f>
        <v>5.5563165610521548E-2</v>
      </c>
      <c r="BF19" s="44">
        <f>SUM(P74:P77)/AVERAGE(AF74:AF77)</f>
        <v>1.0087789718837241E-2</v>
      </c>
      <c r="BG19" s="44">
        <f>SUM(D74:D77)/AVERAGE(AF74:AF77)</f>
        <v>6.9480082983496241E-2</v>
      </c>
      <c r="BH19" s="44">
        <f>(SUM(H74:H77)+SUM(J74:J77))/AVERAGE(AF74:AF77)</f>
        <v>1.2428805739454466E-2</v>
      </c>
      <c r="BI19" s="46">
        <f t="shared" si="2"/>
        <v>-3.6433512831266411E-2</v>
      </c>
    </row>
    <row r="20" spans="1:61" s="39" customFormat="1">
      <c r="A20" s="39">
        <f t="shared" si="15"/>
        <v>2016</v>
      </c>
      <c r="B20" s="39">
        <f t="shared" si="16"/>
        <v>3</v>
      </c>
      <c r="C20" s="40"/>
      <c r="D20" s="40">
        <v>97904122.827609301</v>
      </c>
      <c r="E20" s="40"/>
      <c r="F20" s="40">
        <v>17795233.237049598</v>
      </c>
      <c r="G20" s="41">
        <v>0</v>
      </c>
      <c r="H20" s="41">
        <v>0</v>
      </c>
      <c r="I20" s="41">
        <v>0</v>
      </c>
      <c r="J20" s="42">
        <v>0</v>
      </c>
      <c r="K20" s="40"/>
      <c r="L20" s="43">
        <v>1926072.42011175</v>
      </c>
      <c r="M20" s="43"/>
      <c r="N20" s="43">
        <v>731080.45248199999</v>
      </c>
      <c r="O20" s="40"/>
      <c r="P20" s="40">
        <v>14016587.890072901</v>
      </c>
      <c r="Q20" s="43"/>
      <c r="R20" s="43">
        <v>18954291.2400463</v>
      </c>
      <c r="S20" s="43"/>
      <c r="T20" s="40">
        <v>72473375.356961206</v>
      </c>
      <c r="U20" s="40"/>
      <c r="V20" s="43">
        <v>115976.965700388</v>
      </c>
      <c r="W20" s="43"/>
      <c r="X20" s="43">
        <v>291300.70075234701</v>
      </c>
      <c r="Y20" s="40"/>
      <c r="Z20" s="40">
        <f t="shared" si="9"/>
        <v>-1382117.9038966596</v>
      </c>
      <c r="AA20" s="40"/>
      <c r="AB20" s="40">
        <f t="shared" si="10"/>
        <v>-39447335.360720992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-7.2780163535070162E-3</v>
      </c>
      <c r="AI20" s="45">
        <f t="shared" si="4"/>
        <v>2031</v>
      </c>
      <c r="AJ20" s="46">
        <f>SUM(AB78:AB81)/AVERAGE(AF78:AF81)</f>
        <v>-2.4283148080314343E-2</v>
      </c>
      <c r="AK20" s="40">
        <v>15471816</v>
      </c>
      <c r="AL20" s="46">
        <f>AK20/AVERAGE(AF78:AF81)</f>
        <v>2.160637801585361E-3</v>
      </c>
      <c r="AM20" s="46">
        <f>(AF81-AF77)/AF77</f>
        <v>7.7029087784417118E-3</v>
      </c>
      <c r="AN20" s="46"/>
      <c r="AO20" s="40">
        <f t="shared" si="5"/>
        <v>728831298.74561155</v>
      </c>
      <c r="AP20" s="40">
        <f t="shared" si="8"/>
        <v>386503856.84851605</v>
      </c>
      <c r="AQ20" s="47">
        <f>AO20/AF81</f>
        <v>0.10103933176461727</v>
      </c>
      <c r="AR20" s="47">
        <f>AP20/AF81</f>
        <v>5.3581797993079799E-2</v>
      </c>
      <c r="AU20" s="39">
        <v>11116578</v>
      </c>
      <c r="AW20" s="39">
        <f t="shared" si="13"/>
        <v>-1.7956148995539472E-3</v>
      </c>
      <c r="AX20" s="48">
        <v>6421.7509021330998</v>
      </c>
      <c r="AY20" s="44">
        <f t="shared" si="14"/>
        <v>1.0312168252016441E-2</v>
      </c>
      <c r="BC20" s="44">
        <f t="shared" si="6"/>
        <v>1.4578425356837293E-2</v>
      </c>
      <c r="BD20" s="39">
        <f t="shared" si="7"/>
        <v>2031</v>
      </c>
      <c r="BE20" s="44">
        <f>SUM(T78:T81)/AVERAGE(AF78:AF81)</f>
        <v>5.5581457957479451E-2</v>
      </c>
      <c r="BF20" s="44">
        <f>SUM(P78:P81)/AVERAGE(AF78:AF81)</f>
        <v>1.0210027625715419E-2</v>
      </c>
      <c r="BG20" s="44">
        <f>SUM(D78:D81)/AVERAGE(AF78:AF81)</f>
        <v>6.9654578412078366E-2</v>
      </c>
      <c r="BH20" s="44">
        <f>(SUM(H78:H81)+SUM(J78:J81))/AVERAGE(AF78:AF81)</f>
        <v>1.3649607139789671E-2</v>
      </c>
      <c r="BI20" s="46">
        <f t="shared" si="2"/>
        <v>-3.7932755220104017E-2</v>
      </c>
    </row>
    <row r="21" spans="1:61" s="39" customFormat="1">
      <c r="A21" s="39">
        <f t="shared" si="15"/>
        <v>2016</v>
      </c>
      <c r="B21" s="39">
        <f t="shared" si="16"/>
        <v>4</v>
      </c>
      <c r="C21" s="40"/>
      <c r="D21" s="40">
        <v>106656433.064731</v>
      </c>
      <c r="E21" s="40"/>
      <c r="F21" s="40">
        <v>19386069.225712199</v>
      </c>
      <c r="G21" s="41">
        <v>22714</v>
      </c>
      <c r="H21" s="41">
        <v>124965.72628654201</v>
      </c>
      <c r="I21" s="41">
        <v>702</v>
      </c>
      <c r="J21" s="42">
        <v>3862.1968765145998</v>
      </c>
      <c r="K21" s="40"/>
      <c r="L21" s="43">
        <v>3303720.5617130701</v>
      </c>
      <c r="M21" s="43"/>
      <c r="N21" s="43">
        <v>798561.77464650199</v>
      </c>
      <c r="O21" s="40"/>
      <c r="P21" s="40">
        <v>21536472.970246099</v>
      </c>
      <c r="Q21" s="43"/>
      <c r="R21" s="43">
        <v>22010676.469193101</v>
      </c>
      <c r="S21" s="43"/>
      <c r="T21" s="40">
        <v>84159729.182707697</v>
      </c>
      <c r="U21" s="40"/>
      <c r="V21" s="43">
        <v>116561.02930682201</v>
      </c>
      <c r="W21" s="43"/>
      <c r="X21" s="43">
        <v>292767.70014149899</v>
      </c>
      <c r="Y21" s="40"/>
      <c r="Z21" s="40">
        <f t="shared" si="9"/>
        <v>-1361114.063571848</v>
      </c>
      <c r="AA21" s="40"/>
      <c r="AB21" s="40">
        <f t="shared" si="10"/>
        <v>-44033176.852269404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-8.0762389584248303E-3</v>
      </c>
      <c r="AI21" s="45">
        <f t="shared" si="4"/>
        <v>2032</v>
      </c>
      <c r="AJ21" s="46">
        <f>SUM(AB82:AB85)/AVERAGE(AF82:AF85)</f>
        <v>-2.3365496639504761E-2</v>
      </c>
      <c r="AK21" s="40">
        <v>14168357</v>
      </c>
      <c r="AL21" s="46">
        <f>AK21/AVERAGE(AF82:AF85)</f>
        <v>1.9401874542929122E-3</v>
      </c>
      <c r="AM21" s="46">
        <f>(AF85-AF81)/AF81</f>
        <v>1.6331867337920268E-2</v>
      </c>
      <c r="AN21" s="46"/>
      <c r="AO21" s="40">
        <f t="shared" si="5"/>
        <v>740734474.82844901</v>
      </c>
      <c r="AP21" s="40">
        <f t="shared" si="8"/>
        <v>378542083.40164357</v>
      </c>
      <c r="AQ21" s="47">
        <f>AO21/AF85</f>
        <v>0.10103933176461727</v>
      </c>
      <c r="AR21" s="47">
        <f>AP21/AF85</f>
        <v>5.1634749632175653E-2</v>
      </c>
      <c r="AU21" s="39">
        <v>11272418</v>
      </c>
      <c r="AW21" s="39">
        <f t="shared" si="13"/>
        <v>1.40187025179871E-2</v>
      </c>
      <c r="AX21" s="48">
        <v>6485.7556979743003</v>
      </c>
      <c r="AY21" s="44">
        <f t="shared" si="14"/>
        <v>9.966876139642887E-3</v>
      </c>
      <c r="BC21" s="44">
        <f t="shared" si="6"/>
        <v>1.2700935116866409E-2</v>
      </c>
      <c r="BD21" s="39">
        <f t="shared" si="7"/>
        <v>2032</v>
      </c>
      <c r="BE21" s="44">
        <f>SUM(T82:T85)/AVERAGE(AF82:AF85)</f>
        <v>5.5519414572471323E-2</v>
      </c>
      <c r="BF21" s="44">
        <f>SUM(P82:P85)/AVERAGE(AF82:AF85)</f>
        <v>9.8684153559115452E-3</v>
      </c>
      <c r="BG21" s="44">
        <f>SUM(D82:D85)/AVERAGE(AF82:AF85)</f>
        <v>6.9016495856064536E-2</v>
      </c>
      <c r="BH21" s="44">
        <f>(SUM(H82:H85)+SUM(J82:J85))/AVERAGE(AF82:AF85)</f>
        <v>1.498671818897955E-2</v>
      </c>
      <c r="BI21" s="46">
        <f t="shared" si="2"/>
        <v>-3.8352214828484311E-2</v>
      </c>
    </row>
    <row r="22" spans="1:61" s="29" customFormat="1">
      <c r="A22" s="29">
        <f t="shared" si="15"/>
        <v>2017</v>
      </c>
      <c r="B22" s="29">
        <f t="shared" si="16"/>
        <v>1</v>
      </c>
      <c r="C22" s="30"/>
      <c r="D22" s="30">
        <v>101471183.210428</v>
      </c>
      <c r="E22" s="30"/>
      <c r="F22" s="30">
        <v>18443588.685723301</v>
      </c>
      <c r="G22" s="31">
        <v>68797</v>
      </c>
      <c r="H22" s="31">
        <v>378500.79560338298</v>
      </c>
      <c r="I22" s="31">
        <v>2128</v>
      </c>
      <c r="J22" s="32">
        <v>11707.6281384944</v>
      </c>
      <c r="K22" s="30"/>
      <c r="L22" s="33">
        <v>3660222.6711521298</v>
      </c>
      <c r="M22" s="33"/>
      <c r="N22" s="33">
        <v>761614.89932379895</v>
      </c>
      <c r="O22" s="30"/>
      <c r="P22" s="30">
        <v>23183093.3039301</v>
      </c>
      <c r="Q22" s="33"/>
      <c r="R22" s="33">
        <v>19236463.486876301</v>
      </c>
      <c r="S22" s="33"/>
      <c r="T22" s="30">
        <v>73552285.3990639</v>
      </c>
      <c r="U22" s="30"/>
      <c r="V22" s="33">
        <v>87135.567113885394</v>
      </c>
      <c r="W22" s="33"/>
      <c r="X22" s="33">
        <v>218859.42270899701</v>
      </c>
      <c r="Y22" s="30"/>
      <c r="Z22" s="30">
        <f t="shared" si="9"/>
        <v>-3541827.2022090442</v>
      </c>
      <c r="AA22" s="30"/>
      <c r="AB22" s="30">
        <f t="shared" si="10"/>
        <v>-51101991.115294203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-9.6036712543315084E-3</v>
      </c>
      <c r="AI22" s="35">
        <f t="shared" si="4"/>
        <v>2033</v>
      </c>
      <c r="AJ22" s="36">
        <f>SUM(AB86:AB89)/AVERAGE(AF86:AF89)</f>
        <v>-2.2264906127467201E-2</v>
      </c>
      <c r="AK22" s="30">
        <v>12914321</v>
      </c>
      <c r="AL22" s="36">
        <f>AK22/AVERAGE(AF86:AF89)</f>
        <v>1.7432895657898638E-3</v>
      </c>
      <c r="AM22" s="36">
        <f>(AF89-AF85)/AF85</f>
        <v>1.8193164225841673E-2</v>
      </c>
      <c r="AN22" s="36"/>
      <c r="AO22" s="30">
        <f t="shared" si="5"/>
        <v>754210778.77674556</v>
      </c>
      <c r="AP22" s="30">
        <f t="shared" si="8"/>
        <v>372407304.74742299</v>
      </c>
      <c r="AQ22" s="37">
        <f>AO22/AF89</f>
        <v>0.10103933176461727</v>
      </c>
      <c r="AR22" s="37">
        <f>AP22/AF89</f>
        <v>4.9890277724445015E-2</v>
      </c>
      <c r="AU22" s="29">
        <v>11191499</v>
      </c>
      <c r="AW22" s="29">
        <f t="shared" si="13"/>
        <v>-7.1784953325896893E-3</v>
      </c>
      <c r="AX22" s="38">
        <v>6584.0500436289003</v>
      </c>
      <c r="AY22" s="34">
        <f t="shared" si="14"/>
        <v>1.5155419080200676E-2</v>
      </c>
      <c r="BC22" s="34">
        <f t="shared" si="6"/>
        <v>1.4469739755779094E-2</v>
      </c>
      <c r="BD22" s="29">
        <f t="shared" si="7"/>
        <v>2033</v>
      </c>
      <c r="BE22" s="34">
        <f>SUM(T86:T89)/AVERAGE(AF86:AF89)</f>
        <v>5.5582687169479998E-2</v>
      </c>
      <c r="BF22" s="34">
        <f>SUM(P86:P89)/AVERAGE(AF86:AF89)</f>
        <v>9.6442212430341533E-3</v>
      </c>
      <c r="BG22" s="34">
        <f>SUM(D86:D89)/AVERAGE(AF86:AF89)</f>
        <v>6.8203372053913053E-2</v>
      </c>
      <c r="BH22" s="34">
        <f>(SUM(H86:H89)+SUM(J86:J89))/AVERAGE(AF86:AF89)</f>
        <v>1.6303458788943504E-2</v>
      </c>
      <c r="BI22" s="36">
        <f t="shared" si="2"/>
        <v>-3.8568364916410705E-2</v>
      </c>
    </row>
    <row r="23" spans="1:61" s="39" customFormat="1">
      <c r="A23" s="39">
        <f t="shared" si="15"/>
        <v>2017</v>
      </c>
      <c r="B23" s="39">
        <f t="shared" si="16"/>
        <v>2</v>
      </c>
      <c r="C23" s="40"/>
      <c r="D23" s="40">
        <v>108007485.523725</v>
      </c>
      <c r="E23" s="40"/>
      <c r="F23" s="40">
        <v>19631639.0028462</v>
      </c>
      <c r="G23" s="41">
        <v>101425</v>
      </c>
      <c r="H23" s="41">
        <v>558010.42478702799</v>
      </c>
      <c r="I23" s="41">
        <v>3137</v>
      </c>
      <c r="J23" s="42">
        <v>17258.8484353651</v>
      </c>
      <c r="K23" s="40"/>
      <c r="L23" s="43">
        <v>3372117.0810181801</v>
      </c>
      <c r="M23" s="43"/>
      <c r="N23" s="43">
        <v>813786.919793598</v>
      </c>
      <c r="O23" s="40"/>
      <c r="P23" s="40">
        <v>21975147.090518899</v>
      </c>
      <c r="Q23" s="43"/>
      <c r="R23" s="43">
        <v>21831989.668235499</v>
      </c>
      <c r="S23" s="43"/>
      <c r="T23" s="40">
        <v>83476504.712157294</v>
      </c>
      <c r="U23" s="40"/>
      <c r="V23" s="43">
        <v>95910.331959445393</v>
      </c>
      <c r="W23" s="43"/>
      <c r="X23" s="43">
        <v>240899.10216613999</v>
      </c>
      <c r="Y23" s="40"/>
      <c r="Z23" s="40">
        <f t="shared" si="9"/>
        <v>-1889643.0034630336</v>
      </c>
      <c r="AA23" s="40"/>
      <c r="AB23" s="40">
        <f t="shared" si="10"/>
        <v>-46506127.902086608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-8.0525657428867341E-3</v>
      </c>
      <c r="AI23" s="45">
        <f t="shared" si="4"/>
        <v>2034</v>
      </c>
      <c r="AJ23" s="46">
        <f>SUM(AB90:AB93)/AVERAGE(AF90:AF93)</f>
        <v>-2.243436562164235E-2</v>
      </c>
      <c r="AK23" s="40">
        <v>11749264</v>
      </c>
      <c r="AL23" s="46">
        <f>AK23/AVERAGE(AF90:AF93)</f>
        <v>1.5810778843953828E-3</v>
      </c>
      <c r="AM23" s="46">
        <f>(AF93-AF89)/AF89</f>
        <v>-2.4005700991186142E-3</v>
      </c>
      <c r="AN23" s="46"/>
      <c r="AO23" s="40">
        <f t="shared" si="5"/>
        <v>752400242.9327811</v>
      </c>
      <c r="AP23" s="40">
        <f t="shared" si="8"/>
        <v>359776983.7772612</v>
      </c>
      <c r="AQ23" s="47">
        <f>AO23/AF93</f>
        <v>0.10103933176461725</v>
      </c>
      <c r="AR23" s="47">
        <f>AP23/AF93</f>
        <v>4.8314213567301631E-2</v>
      </c>
      <c r="AU23" s="39">
        <v>11324479</v>
      </c>
      <c r="AW23" s="39">
        <f t="shared" si="13"/>
        <v>1.1882233112829658E-2</v>
      </c>
      <c r="AX23" s="48">
        <v>6551.3566988074999</v>
      </c>
      <c r="AY23" s="44">
        <f t="shared" si="14"/>
        <v>-4.9655371093414334E-3</v>
      </c>
      <c r="BC23" s="44">
        <f t="shared" si="6"/>
        <v>1.324426439384681E-2</v>
      </c>
      <c r="BD23" s="39">
        <f t="shared" si="7"/>
        <v>2034</v>
      </c>
      <c r="BE23" s="44">
        <f>SUM(T90:T93)/AVERAGE(AF90:AF93)</f>
        <v>5.6129138949859401E-2</v>
      </c>
      <c r="BF23" s="44">
        <f>SUM(P90:P93)/AVERAGE(AF90:AF93)</f>
        <v>9.7461393359683044E-3</v>
      </c>
      <c r="BG23" s="44">
        <f>SUM(D90:D93)/AVERAGE(AF90:AF93)</f>
        <v>6.8817365235533459E-2</v>
      </c>
      <c r="BH23" s="44">
        <f>(SUM(H90:H93)+SUM(J90:J93))/AVERAGE(AF90:AF93)</f>
        <v>1.7747635770411253E-2</v>
      </c>
      <c r="BI23" s="46">
        <f t="shared" si="2"/>
        <v>-4.0182001392053607E-2</v>
      </c>
    </row>
    <row r="24" spans="1:61" s="39" customFormat="1">
      <c r="A24" s="39">
        <f t="shared" si="15"/>
        <v>2017</v>
      </c>
      <c r="B24" s="39">
        <f t="shared" si="16"/>
        <v>3</v>
      </c>
      <c r="C24" s="40"/>
      <c r="D24" s="40">
        <v>103134839.36607701</v>
      </c>
      <c r="E24" s="40"/>
      <c r="F24" s="40">
        <v>18745977.8850848</v>
      </c>
      <c r="G24" s="41">
        <v>122031</v>
      </c>
      <c r="H24" s="41">
        <v>671378.55703412101</v>
      </c>
      <c r="I24" s="41">
        <v>3774</v>
      </c>
      <c r="J24" s="42">
        <v>20763.434489980202</v>
      </c>
      <c r="K24" s="40"/>
      <c r="L24" s="43">
        <v>2993524.0450095101</v>
      </c>
      <c r="M24" s="43"/>
      <c r="N24" s="43">
        <v>777925.37423239998</v>
      </c>
      <c r="O24" s="40"/>
      <c r="P24" s="40">
        <v>19813326.384103201</v>
      </c>
      <c r="Q24" s="43"/>
      <c r="R24" s="43">
        <v>19582424.0254253</v>
      </c>
      <c r="S24" s="43"/>
      <c r="T24" s="40">
        <v>74875095.503194094</v>
      </c>
      <c r="U24" s="40"/>
      <c r="V24" s="43">
        <v>104659.772014402</v>
      </c>
      <c r="W24" s="43"/>
      <c r="X24" s="43">
        <v>262875.17305062799</v>
      </c>
      <c r="Y24" s="40"/>
      <c r="Z24" s="40">
        <f t="shared" si="9"/>
        <v>-2830343.5068870094</v>
      </c>
      <c r="AA24" s="40"/>
      <c r="AB24" s="40">
        <f t="shared" si="10"/>
        <v>-48073070.246986113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-8.4174914314766799E-3</v>
      </c>
      <c r="AI24" s="45">
        <f t="shared" si="4"/>
        <v>2035</v>
      </c>
      <c r="AJ24" s="46">
        <f>SUM(AB94:AB97)/AVERAGE(AF94:AF97)</f>
        <v>-2.2670836301678859E-2</v>
      </c>
      <c r="AK24" s="40">
        <v>10633091</v>
      </c>
      <c r="AL24" s="46">
        <f>AK24/AVERAGE(AF94:AF97)</f>
        <v>1.414409067433885E-3</v>
      </c>
      <c r="AM24" s="46">
        <f>(AF97-AF93)/AF93</f>
        <v>3.3636695623258349E-3</v>
      </c>
      <c r="AN24" s="46"/>
      <c r="AO24" s="40">
        <f t="shared" si="5"/>
        <v>754931068.72862065</v>
      </c>
      <c r="AP24" s="40">
        <f t="shared" si="8"/>
        <v>350337680.76220995</v>
      </c>
      <c r="AQ24" s="47">
        <f>AO24/AF97</f>
        <v>0.10103933176461725</v>
      </c>
      <c r="AR24" s="47">
        <f>AP24/AF97</f>
        <v>4.6888897043001657E-2</v>
      </c>
      <c r="AU24" s="39">
        <v>11306951</v>
      </c>
      <c r="AW24" s="39">
        <f t="shared" si="13"/>
        <v>-1.5477974748330586E-3</v>
      </c>
      <c r="AX24" s="48">
        <v>6734.1800242166</v>
      </c>
      <c r="AY24" s="44">
        <f t="shared" si="14"/>
        <v>2.7906177882571746E-2</v>
      </c>
      <c r="BC24" s="44">
        <f t="shared" si="6"/>
        <v>1.5207247783856914E-2</v>
      </c>
      <c r="BD24" s="39">
        <f t="shared" si="7"/>
        <v>2035</v>
      </c>
      <c r="BE24" s="44">
        <f>SUM(T94:T97)/AVERAGE(AF94:AF97)</f>
        <v>5.5772421857570309E-2</v>
      </c>
      <c r="BF24" s="44">
        <f>SUM(P94:P97)/AVERAGE(AF94:AF97)</f>
        <v>9.6640248645103455E-3</v>
      </c>
      <c r="BG24" s="44">
        <f>SUM(D94:D97)/AVERAGE(AF94:AF97)</f>
        <v>6.8779233294738812E-2</v>
      </c>
      <c r="BH24" s="44">
        <f>(SUM(H94:H97)+SUM(J94:J97))/AVERAGE(AF94:AF97)</f>
        <v>1.899648946532323E-2</v>
      </c>
      <c r="BI24" s="46">
        <f t="shared" si="2"/>
        <v>-4.1667325767002092E-2</v>
      </c>
    </row>
    <row r="25" spans="1:61">
      <c r="A25" s="39">
        <f t="shared" si="15"/>
        <v>2017</v>
      </c>
      <c r="B25" s="39">
        <f t="shared" si="16"/>
        <v>4</v>
      </c>
      <c r="C25" s="40"/>
      <c r="D25" s="40">
        <v>111712934.36590201</v>
      </c>
      <c r="E25" s="40"/>
      <c r="F25" s="40">
        <v>20305148.192143701</v>
      </c>
      <c r="G25" s="41">
        <v>168974</v>
      </c>
      <c r="H25" s="41">
        <v>929645.09260993998</v>
      </c>
      <c r="I25" s="41">
        <v>5226</v>
      </c>
      <c r="J25" s="42">
        <v>28751.910080719801</v>
      </c>
      <c r="K25" s="40"/>
      <c r="L25" s="43">
        <v>3407298.6874624598</v>
      </c>
      <c r="M25" s="43"/>
      <c r="N25" s="43">
        <v>844752.11853870004</v>
      </c>
      <c r="O25" s="40"/>
      <c r="P25" s="40">
        <v>22328066.000889499</v>
      </c>
      <c r="Q25" s="43"/>
      <c r="R25" s="43">
        <v>22462383.1001205</v>
      </c>
      <c r="S25" s="43"/>
      <c r="T25" s="40">
        <v>85886868.636240095</v>
      </c>
      <c r="U25" s="40"/>
      <c r="V25" s="43">
        <v>107767.707848416</v>
      </c>
      <c r="W25" s="43"/>
      <c r="X25" s="43">
        <v>270681.41182290699</v>
      </c>
      <c r="Y25" s="40"/>
      <c r="Z25" s="40">
        <f t="shared" si="9"/>
        <v>-1987048.1901759468</v>
      </c>
      <c r="AA25" s="40"/>
      <c r="AB25" s="40">
        <f t="shared" si="10"/>
        <v>-48154131.730551407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-8.3789674683724669E-3</v>
      </c>
      <c r="AI25" s="45">
        <f t="shared" si="4"/>
        <v>2036</v>
      </c>
      <c r="AJ25" s="46">
        <f>SUM(AB98:AB101)/AVERAGE(AF98:AF101)</f>
        <v>-2.2549757973630843E-2</v>
      </c>
      <c r="AK25" s="40">
        <v>9577683</v>
      </c>
      <c r="AL25" s="46">
        <f>AK25/AVERAGE(AF98:AF101)</f>
        <v>1.2624030252137554E-3</v>
      </c>
      <c r="AM25" s="46">
        <f>(AF101-AF97)/AF97</f>
        <v>2.0390389341771734E-2</v>
      </c>
      <c r="AN25" s="46"/>
      <c r="AO25" s="40">
        <f t="shared" si="5"/>
        <v>770324407.1461972</v>
      </c>
      <c r="AP25" s="40">
        <f t="shared" si="8"/>
        <v>347814336.5463534</v>
      </c>
      <c r="AQ25" s="47">
        <f>AO25/AF101</f>
        <v>0.10103933176461728</v>
      </c>
      <c r="AR25" s="47">
        <f>AP25/AF101</f>
        <v>4.5620945950538463E-2</v>
      </c>
      <c r="AS25" s="39"/>
      <c r="AT25" s="39"/>
      <c r="AU25" s="39">
        <v>11039157</v>
      </c>
      <c r="AV25" s="39"/>
      <c r="AW25" s="39">
        <f t="shared" si="13"/>
        <v>-2.3684015257517257E-2</v>
      </c>
      <c r="AX25" s="48">
        <v>6721.2591396848002</v>
      </c>
      <c r="AY25" s="44">
        <f t="shared" si="14"/>
        <v>-1.9187019778704191E-3</v>
      </c>
      <c r="AZ25" s="39">
        <v>100</v>
      </c>
      <c r="BA25">
        <v>100</v>
      </c>
      <c r="BC25" s="44">
        <f t="shared" si="6"/>
        <v>1.2888677975105621E-2</v>
      </c>
      <c r="BD25" s="39">
        <f t="shared" si="7"/>
        <v>2036</v>
      </c>
      <c r="BE25" s="44">
        <f>SUM(T98:T101)/AVERAGE(AF98:AF101)</f>
        <v>5.5719330146468037E-2</v>
      </c>
      <c r="BF25" s="44">
        <f>SUM(P98:P101)/AVERAGE(AF98:AF101)</f>
        <v>9.47945086758634E-3</v>
      </c>
      <c r="BG25" s="44">
        <f>SUM(D98:D101)/AVERAGE(AF98:AF101)</f>
        <v>6.8789637252512539E-2</v>
      </c>
      <c r="BH25" s="44">
        <f>(SUM(H98:H101)+SUM(J98:J101))/AVERAGE(AF98:AF101)</f>
        <v>2.0853162005092591E-2</v>
      </c>
      <c r="BI25" s="46">
        <f t="shared" si="2"/>
        <v>-4.3402919978723434E-2</v>
      </c>
    </row>
    <row r="26" spans="1:61" s="29" customFormat="1">
      <c r="A26" s="29">
        <f t="shared" si="15"/>
        <v>2018</v>
      </c>
      <c r="B26" s="29">
        <f t="shared" si="16"/>
        <v>1</v>
      </c>
      <c r="C26" s="30">
        <f>D26*0.081</f>
        <v>8464673.9804976191</v>
      </c>
      <c r="D26" s="30">
        <v>104502147.907378</v>
      </c>
      <c r="E26" s="30"/>
      <c r="F26" s="30">
        <v>18994502.397605099</v>
      </c>
      <c r="G26" s="31">
        <v>183168</v>
      </c>
      <c r="H26" s="31">
        <v>1007736.29270289</v>
      </c>
      <c r="I26" s="31">
        <v>5665</v>
      </c>
      <c r="J26" s="32">
        <v>31167.1585547795</v>
      </c>
      <c r="K26" s="30"/>
      <c r="L26" s="33">
        <v>3657759.7665794101</v>
      </c>
      <c r="M26" s="33"/>
      <c r="N26" s="33">
        <v>793463.31020700198</v>
      </c>
      <c r="O26" s="30"/>
      <c r="P26" s="30">
        <v>23345533.840273101</v>
      </c>
      <c r="Q26" s="33"/>
      <c r="R26" s="33">
        <v>19516704.0445383</v>
      </c>
      <c r="S26" s="33"/>
      <c r="T26" s="30">
        <v>74623809.4602101</v>
      </c>
      <c r="U26" s="30"/>
      <c r="V26" s="33">
        <v>93461.478518864606</v>
      </c>
      <c r="W26" s="33"/>
      <c r="X26" s="33">
        <v>234748.288347439</v>
      </c>
      <c r="Y26" s="30"/>
      <c r="Z26" s="30">
        <f t="shared" si="9"/>
        <v>-3835559.9513343442</v>
      </c>
      <c r="AA26" s="30"/>
      <c r="AB26" s="30">
        <f t="shared" si="10"/>
        <v>-53223872.287441</v>
      </c>
      <c r="AC26" s="17"/>
      <c r="AD26" s="30"/>
      <c r="AE26" s="30"/>
      <c r="AF26" s="30">
        <f>BA26/100*AF25</f>
        <v>5865538560.4026356</v>
      </c>
      <c r="AG26" s="34">
        <f t="shared" ref="AG26:AG57" si="17">(AF26-AF25)/AF25</f>
        <v>2.0621803692839231E-2</v>
      </c>
      <c r="AH26" s="34">
        <f t="shared" si="12"/>
        <v>-9.0739958043660855E-3</v>
      </c>
      <c r="AI26" s="35">
        <f t="shared" si="4"/>
        <v>2037</v>
      </c>
      <c r="AJ26" s="36">
        <f>SUM(AB102:AB105)/AVERAGE(AF102:AF105)</f>
        <v>-2.2042639806873609E-2</v>
      </c>
      <c r="AK26" s="30">
        <v>8579362</v>
      </c>
      <c r="AL26" s="36">
        <f>AK26/AVERAGE(AF102:AF105)</f>
        <v>1.1146344008488259E-3</v>
      </c>
      <c r="AM26" s="36">
        <f>(AF105-AF101)/AF101</f>
        <v>1.0628722031117638E-2</v>
      </c>
      <c r="AN26" s="36"/>
      <c r="AO26" s="30">
        <f t="shared" si="5"/>
        <v>778511971.14353967</v>
      </c>
      <c r="AP26" s="30">
        <f t="shared" si="8"/>
        <v>342890081.88963938</v>
      </c>
      <c r="AQ26" s="37">
        <f>AO26/AF105</f>
        <v>0.10103933176461728</v>
      </c>
      <c r="AR26" s="37">
        <f>AP26/AF105</f>
        <v>4.4502057806451188E-2</v>
      </c>
      <c r="AS26" s="34">
        <f>AVERAGE(AG26:AG29)</f>
        <v>1.0266031861350366E-2</v>
      </c>
      <c r="AU26" s="29">
        <v>11394013</v>
      </c>
      <c r="AW26" s="29">
        <f t="shared" si="13"/>
        <v>3.2145208189357212E-2</v>
      </c>
      <c r="AX26" s="38">
        <v>6646.2195162113003</v>
      </c>
      <c r="AY26" s="34">
        <f t="shared" si="14"/>
        <v>-1.1164518717994102E-2</v>
      </c>
      <c r="AZ26" s="29">
        <f t="shared" ref="AZ26:AZ57" si="18">AZ25*((1+AY26))</f>
        <v>98.883548128200587</v>
      </c>
      <c r="BA26" s="29">
        <f>BA25*(1+AW26)*(1+AY26)</f>
        <v>102.06218036928391</v>
      </c>
      <c r="BB26" s="29">
        <f>AF25*(1+AW26)*(1+AY26)</f>
        <v>5865538560.4026356</v>
      </c>
      <c r="BC26" s="34">
        <f t="shared" si="6"/>
        <v>1.4713859394611544E-2</v>
      </c>
      <c r="BD26" s="29">
        <f t="shared" si="7"/>
        <v>2037</v>
      </c>
      <c r="BE26" s="34">
        <f>SUM(T102:T105)/AVERAGE(AF102:AF105)</f>
        <v>5.5723567144546307E-2</v>
      </c>
      <c r="BF26" s="34">
        <f>SUM(P102:P105)/AVERAGE(AF102:AF105)</f>
        <v>9.5067305119541558E-3</v>
      </c>
      <c r="BG26" s="34">
        <f>SUM(D102:D105)/AVERAGE(AF102:AF105)</f>
        <v>6.8259476439465769E-2</v>
      </c>
      <c r="BH26" s="34">
        <f>(SUM(H102:H105)+SUM(J102:J105))/AVERAGE(AF102:AF105)</f>
        <v>2.2701579426527813E-2</v>
      </c>
      <c r="BI26" s="36">
        <f t="shared" si="2"/>
        <v>-4.4744219233401425E-2</v>
      </c>
    </row>
    <row r="27" spans="1:61" s="39" customFormat="1">
      <c r="A27" s="39">
        <f t="shared" si="15"/>
        <v>2018</v>
      </c>
      <c r="B27" s="39">
        <f t="shared" si="16"/>
        <v>2</v>
      </c>
      <c r="C27" s="40">
        <f>D27*0.081</f>
        <v>8319136.4056563927</v>
      </c>
      <c r="D27" s="40">
        <v>102705387.724153</v>
      </c>
      <c r="E27" s="40"/>
      <c r="F27" s="40">
        <v>18667919.9656494</v>
      </c>
      <c r="G27" s="41">
        <v>219481</v>
      </c>
      <c r="H27" s="41">
        <v>1207519.70463576</v>
      </c>
      <c r="I27" s="41">
        <v>6788</v>
      </c>
      <c r="J27" s="42">
        <v>37345.573216212397</v>
      </c>
      <c r="K27" s="40"/>
      <c r="L27" s="43">
        <v>2726730.2086314699</v>
      </c>
      <c r="M27" s="43"/>
      <c r="N27" s="43">
        <v>781884.19253290095</v>
      </c>
      <c r="O27" s="40"/>
      <c r="P27" s="40">
        <v>18450712.149102099</v>
      </c>
      <c r="Q27" s="43"/>
      <c r="R27" s="43">
        <v>22274519.893396001</v>
      </c>
      <c r="S27" s="43"/>
      <c r="T27" s="40">
        <v>85168557.382905304</v>
      </c>
      <c r="U27" s="40"/>
      <c r="V27" s="43">
        <v>96132.090605756297</v>
      </c>
      <c r="W27" s="43"/>
      <c r="X27" s="43">
        <v>241456.09595088099</v>
      </c>
      <c r="Y27" s="40"/>
      <c r="Z27" s="40">
        <f t="shared" si="9"/>
        <v>194117.61718798801</v>
      </c>
      <c r="AA27" s="40"/>
      <c r="AB27" s="40">
        <f t="shared" si="10"/>
        <v>-35987542.490349792</v>
      </c>
      <c r="AC27" s="17"/>
      <c r="AD27" s="40"/>
      <c r="AE27" s="40"/>
      <c r="AF27" s="40">
        <f>BA27/100*AF25</f>
        <v>5842095788.6896324</v>
      </c>
      <c r="AG27" s="44">
        <f t="shared" si="17"/>
        <v>-3.9966955244760925E-3</v>
      </c>
      <c r="AH27" s="44">
        <f t="shared" si="12"/>
        <v>-6.1600397857258871E-3</v>
      </c>
      <c r="AI27" s="45">
        <f t="shared" si="4"/>
        <v>2038</v>
      </c>
      <c r="AJ27" s="46">
        <f>SUM(AB106:AB109)/AVERAGE(AF106:AF109)</f>
        <v>-2.2013373542945486E-2</v>
      </c>
      <c r="AK27" s="40">
        <v>7635639</v>
      </c>
      <c r="AL27" s="46">
        <f>AK27/AVERAGE(AF106:AF109)</f>
        <v>9.8261635621011822E-4</v>
      </c>
      <c r="AM27" s="46">
        <f>(AF109-AF105)/AF105</f>
        <v>1.7623620259172166E-2</v>
      </c>
      <c r="AN27" s="46"/>
      <c r="AO27" s="40">
        <f t="shared" si="5"/>
        <v>792232170.49019301</v>
      </c>
      <c r="AP27" s="40">
        <f t="shared" si="8"/>
        <v>341235925.21376133</v>
      </c>
      <c r="AQ27" s="47">
        <f>AO27/AF109</f>
        <v>0.10103933176461728</v>
      </c>
      <c r="AR27" s="47">
        <f>AP27/AF109</f>
        <v>4.3520385995365445E-2</v>
      </c>
      <c r="AU27" s="39">
        <v>11419454</v>
      </c>
      <c r="AW27" s="39">
        <f t="shared" si="13"/>
        <v>2.2328392990248473E-3</v>
      </c>
      <c r="AX27" s="48">
        <v>6604.9089002572</v>
      </c>
      <c r="AY27" s="44">
        <f t="shared" si="14"/>
        <v>-6.215656261930021E-3</v>
      </c>
      <c r="AZ27" s="39">
        <f t="shared" si="18"/>
        <v>98.268921983075685</v>
      </c>
      <c r="BA27" s="39">
        <f t="shared" ref="BA27:BA90" si="19">BA26*(1+AW27)*(1+AY27)</f>
        <v>101.65426890978374</v>
      </c>
      <c r="BC27" s="44">
        <f t="shared" si="6"/>
        <v>1.2793763317039228E-2</v>
      </c>
      <c r="BD27" s="39">
        <f t="shared" si="7"/>
        <v>2038</v>
      </c>
      <c r="BE27" s="44">
        <f>SUM(T106:T109)/AVERAGE(AF106:AF109)</f>
        <v>5.5446199139849668E-2</v>
      </c>
      <c r="BF27" s="44">
        <f>SUM(P106:P109)/AVERAGE(AF106:AF109)</f>
        <v>9.3998324273016146E-3</v>
      </c>
      <c r="BG27" s="44">
        <f>SUM(D106:D109)/AVERAGE(AF106:AF109)</f>
        <v>6.8059740255493537E-2</v>
      </c>
      <c r="BH27" s="44">
        <f>(SUM(H106:H109)+SUM(J106:J109))/AVERAGE(AF106:AF109)</f>
        <v>2.4629236678657664E-2</v>
      </c>
      <c r="BI27" s="46">
        <f t="shared" si="2"/>
        <v>-4.6642610221603154E-2</v>
      </c>
    </row>
    <row r="28" spans="1:61">
      <c r="A28" s="39">
        <f t="shared" si="15"/>
        <v>2018</v>
      </c>
      <c r="B28" s="39">
        <f t="shared" si="16"/>
        <v>3</v>
      </c>
      <c r="C28" s="40">
        <f>D28*0.081</f>
        <v>8230340.5235281801</v>
      </c>
      <c r="D28" s="40">
        <v>101609142.26578</v>
      </c>
      <c r="E28" s="40"/>
      <c r="F28" s="40">
        <v>18468664.377085801</v>
      </c>
      <c r="G28" s="41">
        <v>249047</v>
      </c>
      <c r="H28" s="41">
        <v>1370183.11325546</v>
      </c>
      <c r="I28" s="41">
        <v>7702</v>
      </c>
      <c r="J28" s="42">
        <v>42374.131542614603</v>
      </c>
      <c r="K28" s="40"/>
      <c r="L28" s="43">
        <v>2587695.9452494802</v>
      </c>
      <c r="M28" s="43"/>
      <c r="N28" s="43">
        <v>775630.92998889799</v>
      </c>
      <c r="O28" s="40"/>
      <c r="P28" s="40">
        <v>17694859.0899655</v>
      </c>
      <c r="Q28" s="43"/>
      <c r="R28" s="43">
        <v>19840494.248834498</v>
      </c>
      <c r="S28" s="43"/>
      <c r="T28" s="40">
        <v>75861849.369784206</v>
      </c>
      <c r="U28" s="40"/>
      <c r="V28" s="43">
        <v>96443.312088815495</v>
      </c>
      <c r="W28" s="43"/>
      <c r="X28" s="43">
        <v>242237.794588683</v>
      </c>
      <c r="Y28" s="40"/>
      <c r="Z28" s="40">
        <f t="shared" si="9"/>
        <v>-1895053.6914008632</v>
      </c>
      <c r="AA28" s="40"/>
      <c r="AB28" s="40">
        <f t="shared" si="10"/>
        <v>-43442151.985961296</v>
      </c>
      <c r="AC28" s="17"/>
      <c r="AD28" s="40"/>
      <c r="AE28" s="40"/>
      <c r="AF28" s="40">
        <f>BA28/100*AF25</f>
        <v>5972934171.5195646</v>
      </c>
      <c r="AG28" s="44">
        <f t="shared" si="17"/>
        <v>2.2395795543653511E-2</v>
      </c>
      <c r="AH28" s="44">
        <f t="shared" si="12"/>
        <v>-7.2731677159785686E-3</v>
      </c>
      <c r="AI28" s="45">
        <f t="shared" si="4"/>
        <v>2039</v>
      </c>
      <c r="AJ28" s="46">
        <f>SUM(AB110:AB113)/AVERAGE(AF110:AF113)</f>
        <v>-2.1637188112270847E-2</v>
      </c>
      <c r="AK28" s="40">
        <v>6778576</v>
      </c>
      <c r="AL28" s="46">
        <f>AK28/AVERAGE(AF110:AF113)</f>
        <v>8.6567059976384983E-4</v>
      </c>
      <c r="AM28" s="46">
        <f>(AF113-AF109)/AF109</f>
        <v>5.6641080287753633E-3</v>
      </c>
      <c r="AN28" s="46"/>
      <c r="AO28" s="40">
        <f t="shared" si="5"/>
        <v>796719459.08772063</v>
      </c>
      <c r="AP28" s="40">
        <f t="shared" si="8"/>
        <v>336372566.78449982</v>
      </c>
      <c r="AQ28" s="47">
        <f>AO28/AF113</f>
        <v>0.10103933176461728</v>
      </c>
      <c r="AR28" s="47">
        <f>AP28/AF113</f>
        <v>4.2658502919925456E-2</v>
      </c>
      <c r="AS28" s="40"/>
      <c r="AU28" s="39">
        <v>11563597</v>
      </c>
      <c r="AW28" s="39">
        <f t="shared" si="13"/>
        <v>1.2622582480738571E-2</v>
      </c>
      <c r="AX28" s="48">
        <v>6668.6554362916004</v>
      </c>
      <c r="AY28" s="44">
        <f t="shared" si="14"/>
        <v>9.6513876265451656E-3</v>
      </c>
      <c r="AZ28" s="39">
        <f t="shared" si="18"/>
        <v>99.217353440777075</v>
      </c>
      <c r="BA28" s="39">
        <f t="shared" si="19"/>
        <v>103.93089713242684</v>
      </c>
      <c r="BC28" s="44">
        <f t="shared" si="6"/>
        <v>1.4860794797200981E-2</v>
      </c>
      <c r="BD28" s="39">
        <f t="shared" si="7"/>
        <v>2039</v>
      </c>
      <c r="BE28" s="44">
        <f>SUM(T110:T113)/AVERAGE(AF110:AF113)</f>
        <v>5.5588734887844889E-2</v>
      </c>
      <c r="BF28" s="44">
        <f>SUM(P110:P113)/AVERAGE(AF110:AF113)</f>
        <v>9.4294338103039742E-3</v>
      </c>
      <c r="BG28" s="44">
        <f>SUM(D110:D113)/AVERAGE(AF110:AF113)</f>
        <v>6.7796489189811751E-2</v>
      </c>
      <c r="BH28" s="44">
        <f>(SUM(H110:H113)+SUM(J110:J113))/AVERAGE(AF110:AF113)</f>
        <v>2.6500925267071405E-2</v>
      </c>
      <c r="BI28" s="46">
        <f t="shared" si="2"/>
        <v>-4.8138113379342248E-2</v>
      </c>
    </row>
    <row r="29" spans="1:61">
      <c r="A29" s="39">
        <f t="shared" si="15"/>
        <v>2018</v>
      </c>
      <c r="B29" s="39">
        <f t="shared" si="16"/>
        <v>4</v>
      </c>
      <c r="C29" s="40">
        <f>D29*0.081</f>
        <v>8318661.0977618555</v>
      </c>
      <c r="D29" s="40">
        <v>102699519.725455</v>
      </c>
      <c r="E29" s="40"/>
      <c r="F29" s="40">
        <v>18666853.387425099</v>
      </c>
      <c r="G29" s="41">
        <v>265115</v>
      </c>
      <c r="H29" s="41">
        <v>1458584.5084290099</v>
      </c>
      <c r="I29" s="41">
        <v>8199</v>
      </c>
      <c r="J29" s="42">
        <v>45108.4789039077</v>
      </c>
      <c r="K29" s="40"/>
      <c r="L29" s="43">
        <v>2631918.7285070801</v>
      </c>
      <c r="M29" s="43"/>
      <c r="N29" s="43">
        <v>789874.51093900204</v>
      </c>
      <c r="O29" s="40"/>
      <c r="P29" s="40">
        <v>18002695.302367099</v>
      </c>
      <c r="Q29" s="43"/>
      <c r="R29" s="43">
        <v>22649778.799693301</v>
      </c>
      <c r="S29" s="43"/>
      <c r="T29" s="40">
        <v>86603392.335460603</v>
      </c>
      <c r="U29" s="40"/>
      <c r="V29" s="43">
        <v>104025.574180688</v>
      </c>
      <c r="W29" s="43"/>
      <c r="X29" s="43">
        <v>261282.250936647</v>
      </c>
      <c r="Y29" s="40"/>
      <c r="Z29" s="40">
        <f t="shared" si="9"/>
        <v>665157.74700281024</v>
      </c>
      <c r="AA29" s="40"/>
      <c r="AB29" s="40">
        <f t="shared" si="10"/>
        <v>-34098822.692361489</v>
      </c>
      <c r="AC29" s="17"/>
      <c r="AD29" s="40"/>
      <c r="AE29" s="47"/>
      <c r="AF29" s="40">
        <f>BA29/100*AF25</f>
        <v>5985138212.3767586</v>
      </c>
      <c r="AG29" s="44">
        <f t="shared" si="17"/>
        <v>2.0432237333848158E-3</v>
      </c>
      <c r="AH29" s="44">
        <f t="shared" si="12"/>
        <v>-5.697248999504809E-3</v>
      </c>
      <c r="AI29" s="45">
        <f t="shared" si="4"/>
        <v>2040</v>
      </c>
      <c r="AJ29" s="46">
        <f>SUM(AB114:AB117)/AVERAGE(AF114:AF117)</f>
        <v>-2.134500253235146E-2</v>
      </c>
      <c r="AK29" s="40">
        <v>5976069</v>
      </c>
      <c r="AL29" s="46">
        <f>AK29/AVERAGE(AF114:AF117)</f>
        <v>7.5783605866309816E-4</v>
      </c>
      <c r="AM29" s="46">
        <f>(AF117-AF113)/AF113</f>
        <v>2.5762882395091711E-3</v>
      </c>
      <c r="AN29" s="46"/>
      <c r="AO29" s="40">
        <f t="shared" si="5"/>
        <v>798772038.06035638</v>
      </c>
      <c r="AP29" s="40">
        <f t="shared" si="8"/>
        <v>331256037.21565604</v>
      </c>
      <c r="AQ29" s="47">
        <f>AO29/AF117</f>
        <v>0.10103933176461727</v>
      </c>
      <c r="AR29" s="47">
        <f>AP29/AF117</f>
        <v>4.1901677886145586E-2</v>
      </c>
      <c r="AU29" s="39">
        <v>11550179</v>
      </c>
      <c r="AW29" s="39">
        <f t="shared" si="13"/>
        <v>-1.1603655852067483E-3</v>
      </c>
      <c r="AX29" s="48">
        <v>6690.0438880399997</v>
      </c>
      <c r="AY29" s="44">
        <f t="shared" si="14"/>
        <v>3.2073109718641184E-3</v>
      </c>
      <c r="AZ29" s="39">
        <f t="shared" si="18"/>
        <v>99.535574347067012</v>
      </c>
      <c r="BA29" s="39">
        <f>BA28*(1+AW29)*(1+AY29)</f>
        <v>104.14325120807977</v>
      </c>
      <c r="BC29" s="44">
        <f t="shared" si="6"/>
        <v>1.3029903041088791E-2</v>
      </c>
      <c r="BD29" s="39">
        <f t="shared" si="7"/>
        <v>2040</v>
      </c>
      <c r="BE29" s="44">
        <f>SUM(T114:T117)/AVERAGE(AF114:AF117)</f>
        <v>5.5555179735589627E-2</v>
      </c>
      <c r="BF29" s="44">
        <f>SUM(P114:P117)/AVERAGE(AF114:AF117)</f>
        <v>9.4554634357401132E-3</v>
      </c>
      <c r="BG29" s="44">
        <f>SUM(D114:D117)/AVERAGE(AF114:AF117)</f>
        <v>6.7444718832200962E-2</v>
      </c>
      <c r="BH29" s="44">
        <f>(SUM(H114:H117)+SUM(J114:J117))/AVERAGE(AF114:AF117)</f>
        <v>2.8341160504006615E-2</v>
      </c>
      <c r="BI29" s="46">
        <f t="shared" si="2"/>
        <v>-4.9686163036358075E-2</v>
      </c>
    </row>
    <row r="30" spans="1:61" s="29" customFormat="1">
      <c r="A30" s="29">
        <f t="shared" si="15"/>
        <v>2019</v>
      </c>
      <c r="B30" s="29">
        <f t="shared" si="16"/>
        <v>1</v>
      </c>
      <c r="C30" s="30"/>
      <c r="D30" s="30">
        <v>103189230.725196</v>
      </c>
      <c r="E30" s="30"/>
      <c r="F30" s="30">
        <v>18755864.158447299</v>
      </c>
      <c r="G30" s="31">
        <v>298728</v>
      </c>
      <c r="H30" s="31">
        <v>1643513.31699067</v>
      </c>
      <c r="I30" s="31">
        <v>9239</v>
      </c>
      <c r="J30" s="32">
        <v>50830.252054299701</v>
      </c>
      <c r="K30" s="30"/>
      <c r="L30" s="33">
        <v>3059608.6204991001</v>
      </c>
      <c r="M30" s="33"/>
      <c r="N30" s="33">
        <v>795531.19069350103</v>
      </c>
      <c r="O30" s="30"/>
      <c r="P30" s="30">
        <v>20253101.568084799</v>
      </c>
      <c r="Q30" s="33"/>
      <c r="R30" s="33">
        <v>20137221.388634399</v>
      </c>
      <c r="S30" s="33"/>
      <c r="T30" s="30">
        <v>76996411.306654602</v>
      </c>
      <c r="U30" s="30"/>
      <c r="V30" s="33">
        <v>103203.144247035</v>
      </c>
      <c r="W30" s="33"/>
      <c r="X30" s="33">
        <v>259216.54405644001</v>
      </c>
      <c r="Y30" s="30"/>
      <c r="Z30" s="30">
        <f t="shared" si="9"/>
        <v>-2370579.4367584661</v>
      </c>
      <c r="AA30" s="30"/>
      <c r="AB30" s="30">
        <f t="shared" si="10"/>
        <v>-46445920.9866262</v>
      </c>
      <c r="AC30" s="17"/>
      <c r="AD30" s="30"/>
      <c r="AE30" s="30"/>
      <c r="AF30" s="30">
        <f>BA30/100*AF25</f>
        <v>5813566462.9608707</v>
      </c>
      <c r="AG30" s="34">
        <f t="shared" si="17"/>
        <v>-2.8666296972239002E-2</v>
      </c>
      <c r="AH30" s="34">
        <f t="shared" si="12"/>
        <v>-7.9892302397401548E-3</v>
      </c>
      <c r="AK30" s="30"/>
      <c r="AP30" s="49">
        <f>(AP29-AP6)/AP6</f>
        <v>-0.4295333179954684</v>
      </c>
      <c r="AQ30" s="37"/>
      <c r="AS30" s="34">
        <f>AVERAGE(AG30:AG33)</f>
        <v>3.9715197953514511E-3</v>
      </c>
      <c r="AU30" s="29">
        <v>11182588</v>
      </c>
      <c r="AW30" s="29">
        <f t="shared" si="13"/>
        <v>-3.1825567378652747E-2</v>
      </c>
      <c r="AX30" s="38">
        <v>6711.8743113200999</v>
      </c>
      <c r="AY30" s="34">
        <f t="shared" si="14"/>
        <v>3.2631210864142576E-3</v>
      </c>
      <c r="AZ30" s="29">
        <f t="shared" si="18"/>
        <v>99.860370978567275</v>
      </c>
      <c r="BA30" s="29">
        <f t="shared" si="19"/>
        <v>101.15784984129448</v>
      </c>
      <c r="BC30" s="34">
        <f t="shared" si="6"/>
        <v>1.4607100339260022E-2</v>
      </c>
    </row>
    <row r="31" spans="1:61" s="39" customFormat="1">
      <c r="A31" s="39">
        <f t="shared" si="15"/>
        <v>2019</v>
      </c>
      <c r="B31" s="39">
        <f t="shared" si="16"/>
        <v>2</v>
      </c>
      <c r="C31" s="40"/>
      <c r="D31" s="40">
        <v>103820905.535533</v>
      </c>
      <c r="E31" s="40"/>
      <c r="F31" s="40">
        <v>18870678.532502901</v>
      </c>
      <c r="G31" s="41">
        <v>322856</v>
      </c>
      <c r="H31" s="41">
        <v>1776258.45407977</v>
      </c>
      <c r="I31" s="41">
        <v>9985</v>
      </c>
      <c r="J31" s="42">
        <v>54934.523948715498</v>
      </c>
      <c r="K31" s="40"/>
      <c r="L31" s="43">
        <v>2592041.4202475599</v>
      </c>
      <c r="M31" s="43"/>
      <c r="N31" s="43">
        <v>801828.86629260005</v>
      </c>
      <c r="O31" s="40"/>
      <c r="P31" s="40">
        <v>17861541.096290201</v>
      </c>
      <c r="Q31" s="43"/>
      <c r="R31" s="43">
        <v>23036212.162792001</v>
      </c>
      <c r="S31" s="43"/>
      <c r="T31" s="40">
        <v>88080953.7921049</v>
      </c>
      <c r="U31" s="40"/>
      <c r="V31" s="43">
        <v>107958.824955137</v>
      </c>
      <c r="W31" s="43"/>
      <c r="X31" s="43">
        <v>271161.44289439899</v>
      </c>
      <c r="Y31" s="40"/>
      <c r="Z31" s="40">
        <f t="shared" si="9"/>
        <v>879622.1687040776</v>
      </c>
      <c r="AA31" s="40"/>
      <c r="AB31" s="40">
        <f t="shared" si="10"/>
        <v>-33601492.839718297</v>
      </c>
      <c r="AC31" s="17"/>
      <c r="AD31" s="40"/>
      <c r="AE31" s="40"/>
      <c r="AF31" s="40">
        <f>BA31/100*AF25</f>
        <v>5792037786.4564199</v>
      </c>
      <c r="AG31" s="44">
        <f t="shared" si="17"/>
        <v>-3.7031788733496588E-3</v>
      </c>
      <c r="AH31" s="44">
        <f t="shared" si="12"/>
        <v>-5.8013248667487987E-3</v>
      </c>
      <c r="AP31" s="39">
        <f>AP28*(1+AM29)-AK29*((1+AM29)^(11/12)+(1+AM29)^(10/12)+(1+AM29)^(9/12)+(1+AM29)^(8/12)+(1+AM29)^(7/12)+(1+AM29)^(6/12)+(1+AM29)^(5/12)+(1+AM29)^(4/12)+(1+AM29)^(3/12)+(1+AM29)^(2/12)+(1+AM29)^(1/12)+1)/12</f>
        <v>331256037.21565574</v>
      </c>
      <c r="AU31" s="39">
        <v>11137097</v>
      </c>
      <c r="AW31" s="39">
        <f t="shared" si="13"/>
        <v>-4.0680207479699693E-3</v>
      </c>
      <c r="AX31" s="48">
        <v>6714.3330864744003</v>
      </c>
      <c r="AY31" s="44">
        <f t="shared" si="14"/>
        <v>3.6633212129039231E-4</v>
      </c>
      <c r="AZ31" s="39">
        <f t="shared" si="18"/>
        <v>99.896953040100698</v>
      </c>
      <c r="BA31" s="39">
        <f t="shared" si="19"/>
        <v>100.78324422888872</v>
      </c>
      <c r="BC31" s="44">
        <f t="shared" si="6"/>
        <v>1.2957872957364926E-2</v>
      </c>
    </row>
    <row r="32" spans="1:61">
      <c r="A32" s="39">
        <f t="shared" si="15"/>
        <v>2019</v>
      </c>
      <c r="B32" s="39">
        <f t="shared" si="16"/>
        <v>3</v>
      </c>
      <c r="C32" s="40">
        <f>SUM(C26:C29)</f>
        <v>33332812.007444046</v>
      </c>
      <c r="D32" s="40">
        <v>104479387.03488301</v>
      </c>
      <c r="E32" s="40"/>
      <c r="F32" s="40">
        <v>18990365.339603499</v>
      </c>
      <c r="G32" s="41">
        <v>355386</v>
      </c>
      <c r="H32" s="41">
        <v>1955228.91617809</v>
      </c>
      <c r="I32" s="41">
        <v>10992</v>
      </c>
      <c r="J32" s="42">
        <v>60474.740835681601</v>
      </c>
      <c r="K32" s="40"/>
      <c r="L32" s="43">
        <v>2476462.12790283</v>
      </c>
      <c r="M32" s="43"/>
      <c r="N32" s="43">
        <v>808746.24321960297</v>
      </c>
      <c r="O32" s="40"/>
      <c r="P32" s="40">
        <v>17299856.965768799</v>
      </c>
      <c r="Q32" s="43"/>
      <c r="R32" s="43">
        <v>20388519.055466399</v>
      </c>
      <c r="S32" s="43"/>
      <c r="T32" s="40">
        <v>77957269.716182604</v>
      </c>
      <c r="U32" s="40"/>
      <c r="V32" s="43">
        <v>110996.32421392899</v>
      </c>
      <c r="W32" s="43"/>
      <c r="X32" s="43">
        <v>278790.76529714803</v>
      </c>
      <c r="Y32" s="40"/>
      <c r="Z32" s="40">
        <f t="shared" si="9"/>
        <v>-1776058.3310456052</v>
      </c>
      <c r="AA32" s="40"/>
      <c r="AB32" s="40">
        <f t="shared" si="10"/>
        <v>-43821974.284469202</v>
      </c>
      <c r="AC32" s="17"/>
      <c r="AD32" s="40"/>
      <c r="AE32" s="40"/>
      <c r="AF32" s="40">
        <f>BA32/100*AF25</f>
        <v>6048507835.0748196</v>
      </c>
      <c r="AG32" s="44">
        <f t="shared" si="17"/>
        <v>4.427976095358116E-2</v>
      </c>
      <c r="AH32" s="44">
        <f t="shared" si="12"/>
        <v>-7.245088454767146E-3</v>
      </c>
      <c r="AI32" s="39"/>
      <c r="AJ32" s="39"/>
      <c r="AK32" s="39"/>
      <c r="AL32" s="39"/>
      <c r="AM32" s="39"/>
      <c r="AN32" s="39"/>
      <c r="AO32" s="39"/>
      <c r="AP32" s="39">
        <f>AP28*(1+AM29)</f>
        <v>337239159.47240019</v>
      </c>
      <c r="AQ32" s="39"/>
      <c r="AR32" s="39"/>
      <c r="AS32" s="40"/>
      <c r="AU32" s="39">
        <v>11540175</v>
      </c>
      <c r="AW32" s="39">
        <f t="shared" si="13"/>
        <v>3.619237580493373E-2</v>
      </c>
      <c r="AX32" s="48">
        <v>6766.7378319198997</v>
      </c>
      <c r="AY32" s="44">
        <f t="shared" si="14"/>
        <v>7.8049070206340342E-3</v>
      </c>
      <c r="AZ32" s="39">
        <f t="shared" si="18"/>
        <v>100.67663947022334</v>
      </c>
      <c r="BA32" s="39">
        <f t="shared" si="19"/>
        <v>105.24590219147029</v>
      </c>
      <c r="BC32" s="44">
        <f t="shared" si="6"/>
        <v>1.4596304618988452E-2</v>
      </c>
    </row>
    <row r="33" spans="1:55" ht="48" customHeight="1">
      <c r="A33" s="39">
        <f t="shared" si="15"/>
        <v>2019</v>
      </c>
      <c r="B33" s="39">
        <f t="shared" si="16"/>
        <v>4</v>
      </c>
      <c r="C33" s="40"/>
      <c r="D33" s="40">
        <v>104848824.629685</v>
      </c>
      <c r="E33" s="40"/>
      <c r="F33" s="40">
        <v>19057514.995574798</v>
      </c>
      <c r="G33" s="41">
        <v>390027</v>
      </c>
      <c r="H33" s="41">
        <v>2145813.4774307101</v>
      </c>
      <c r="I33" s="41">
        <v>12062</v>
      </c>
      <c r="J33" s="42">
        <v>66361.565134642602</v>
      </c>
      <c r="K33" s="40"/>
      <c r="L33" s="43">
        <v>2557982.8061437299</v>
      </c>
      <c r="M33" s="43"/>
      <c r="N33" s="43">
        <v>812481.26576130104</v>
      </c>
      <c r="O33" s="40"/>
      <c r="P33" s="40">
        <v>17743417.144708399</v>
      </c>
      <c r="Q33" s="43"/>
      <c r="R33" s="43">
        <v>23368301.7615036</v>
      </c>
      <c r="S33" s="43"/>
      <c r="T33" s="40">
        <v>89350727.155548602</v>
      </c>
      <c r="U33" s="40"/>
      <c r="V33" s="43">
        <v>104952.05794677899</v>
      </c>
      <c r="W33" s="43"/>
      <c r="X33" s="43">
        <v>263609.31104438601</v>
      </c>
      <c r="Y33" s="40"/>
      <c r="Z33" s="40">
        <f t="shared" si="9"/>
        <v>1045274.7519705482</v>
      </c>
      <c r="AA33" s="40"/>
      <c r="AB33" s="40">
        <f t="shared" si="10"/>
        <v>-33241514.618844792</v>
      </c>
      <c r="AC33" s="17"/>
      <c r="AD33" s="40"/>
      <c r="AE33" s="40"/>
      <c r="AF33" s="40">
        <f>BA33/100*AF25</f>
        <v>6072555456.678504</v>
      </c>
      <c r="AG33" s="44">
        <f t="shared" si="17"/>
        <v>3.9757940734133079E-3</v>
      </c>
      <c r="AH33" s="44">
        <f t="shared" si="12"/>
        <v>-5.4740569857268705E-3</v>
      </c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U33" s="39">
        <v>11594937</v>
      </c>
      <c r="AW33" s="39">
        <f t="shared" si="13"/>
        <v>4.7453353177053211E-3</v>
      </c>
      <c r="AX33" s="48">
        <v>6761.555141672</v>
      </c>
      <c r="AY33" s="44">
        <f t="shared" si="14"/>
        <v>-7.6590675989426297E-4</v>
      </c>
      <c r="AZ33" s="39">
        <f t="shared" si="18"/>
        <v>100.59953055148965</v>
      </c>
      <c r="BA33" s="39">
        <f t="shared" si="19"/>
        <v>105.66433822565418</v>
      </c>
      <c r="BC33" s="44">
        <f t="shared" si="6"/>
        <v>1.2875497424607014E-2</v>
      </c>
    </row>
    <row r="34" spans="1:55" s="29" customFormat="1">
      <c r="A34" s="29">
        <f t="shared" si="15"/>
        <v>2020</v>
      </c>
      <c r="B34" s="29">
        <f t="shared" si="16"/>
        <v>1</v>
      </c>
      <c r="C34" s="30"/>
      <c r="D34" s="30">
        <v>107167788.825277</v>
      </c>
      <c r="E34" s="30"/>
      <c r="F34" s="30">
        <v>19479014.188224498</v>
      </c>
      <c r="G34" s="31">
        <v>436444</v>
      </c>
      <c r="H34" s="31">
        <v>2401186.1162016201</v>
      </c>
      <c r="I34" s="31">
        <v>13498</v>
      </c>
      <c r="J34" s="32">
        <v>74262.0134461454</v>
      </c>
      <c r="K34" s="30"/>
      <c r="L34" s="33">
        <v>3050444.94771975</v>
      </c>
      <c r="M34" s="33"/>
      <c r="N34" s="33">
        <v>830979.31964570296</v>
      </c>
      <c r="O34" s="30"/>
      <c r="P34" s="30">
        <v>20400576.373076599</v>
      </c>
      <c r="Q34" s="33"/>
      <c r="R34" s="33">
        <v>20439259.194038801</v>
      </c>
      <c r="S34" s="33"/>
      <c r="T34" s="30">
        <v>78151279.033748299</v>
      </c>
      <c r="U34" s="30"/>
      <c r="V34" s="33">
        <v>111151.89515447601</v>
      </c>
      <c r="W34" s="33"/>
      <c r="X34" s="33">
        <v>279181.514647456</v>
      </c>
      <c r="Y34" s="30"/>
      <c r="Z34" s="30">
        <f t="shared" si="9"/>
        <v>-2810027.366396673</v>
      </c>
      <c r="AA34" s="30"/>
      <c r="AB34" s="30">
        <f t="shared" si="10"/>
        <v>-49417086.164605305</v>
      </c>
      <c r="AC34" s="17"/>
      <c r="AD34" s="30"/>
      <c r="AE34" s="30"/>
      <c r="AF34" s="30">
        <f>BA34/100*AF25</f>
        <v>6108545007.21171</v>
      </c>
      <c r="AG34" s="34">
        <f t="shared" si="17"/>
        <v>5.9265906733919124E-3</v>
      </c>
      <c r="AH34" s="34">
        <f t="shared" si="12"/>
        <v>-8.0898292647862621E-3</v>
      </c>
      <c r="AS34" s="34">
        <f>AVERAGE(AG34:AG37)</f>
        <v>2.0308426382685948E-3</v>
      </c>
      <c r="AU34" s="29">
        <v>11693138</v>
      </c>
      <c r="AW34" s="29">
        <f t="shared" si="13"/>
        <v>8.4693000056835152E-3</v>
      </c>
      <c r="AX34" s="38">
        <v>6744.5068593302003</v>
      </c>
      <c r="AY34" s="34">
        <f t="shared" si="14"/>
        <v>-2.5213552185250642E-3</v>
      </c>
      <c r="AZ34" s="29">
        <f t="shared" si="18"/>
        <v>100.34588340015249</v>
      </c>
      <c r="BA34" s="29">
        <f t="shared" si="19"/>
        <v>106.29056750709246</v>
      </c>
      <c r="BC34" s="34">
        <f t="shared" si="6"/>
        <v>1.4682499102869158E-2</v>
      </c>
    </row>
    <row r="35" spans="1:55" s="39" customFormat="1">
      <c r="A35" s="39">
        <f t="shared" si="15"/>
        <v>2020</v>
      </c>
      <c r="B35" s="39">
        <f t="shared" si="16"/>
        <v>2</v>
      </c>
      <c r="C35" s="40"/>
      <c r="D35" s="40">
        <v>107366979.08840001</v>
      </c>
      <c r="E35" s="40"/>
      <c r="F35" s="40">
        <v>19515219.376407199</v>
      </c>
      <c r="G35" s="41">
        <v>453050</v>
      </c>
      <c r="H35" s="41">
        <v>2492547.4286395102</v>
      </c>
      <c r="I35" s="41">
        <v>14012</v>
      </c>
      <c r="J35" s="42">
        <v>77089.889791627604</v>
      </c>
      <c r="K35" s="40"/>
      <c r="L35" s="43">
        <v>2523820.7419708599</v>
      </c>
      <c r="M35" s="43"/>
      <c r="N35" s="43">
        <v>834127.18503910303</v>
      </c>
      <c r="O35" s="40"/>
      <c r="P35" s="40">
        <v>17685239.492603499</v>
      </c>
      <c r="Q35" s="43"/>
      <c r="R35" s="43">
        <v>23254520.581894401</v>
      </c>
      <c r="S35" s="43"/>
      <c r="T35" s="40">
        <v>88915674.953704804</v>
      </c>
      <c r="U35" s="40"/>
      <c r="V35" s="43">
        <v>108265.985427992</v>
      </c>
      <c r="W35" s="43"/>
      <c r="X35" s="43">
        <v>271932.94144538901</v>
      </c>
      <c r="Y35" s="40"/>
      <c r="Z35" s="40">
        <f t="shared" si="9"/>
        <v>489619.26390523091</v>
      </c>
      <c r="AA35" s="40"/>
      <c r="AB35" s="40">
        <f t="shared" si="10"/>
        <v>-36136543.627298698</v>
      </c>
      <c r="AC35" s="17"/>
      <c r="AD35" s="40"/>
      <c r="AE35" s="40"/>
      <c r="AF35" s="40">
        <f>BA35/100*AF25</f>
        <v>5983238189.2825813</v>
      </c>
      <c r="AG35" s="44">
        <f t="shared" si="17"/>
        <v>-2.0513365749322006E-2</v>
      </c>
      <c r="AH35" s="44">
        <f t="shared" si="12"/>
        <v>-6.0396297931156976E-3</v>
      </c>
      <c r="AU35" s="39">
        <v>11502440</v>
      </c>
      <c r="AW35" s="39">
        <f t="shared" si="13"/>
        <v>-1.6308539247548434E-2</v>
      </c>
      <c r="AX35" s="48">
        <v>6715.6772086572</v>
      </c>
      <c r="AY35" s="44">
        <f t="shared" si="14"/>
        <v>-4.274537972056177E-3</v>
      </c>
      <c r="AZ35" s="39">
        <f t="shared" si="18"/>
        <v>99.916951111219021</v>
      </c>
      <c r="BA35" s="39">
        <f t="shared" si="19"/>
        <v>104.11019022011646</v>
      </c>
      <c r="BC35" s="44">
        <f t="shared" si="6"/>
        <v>1.2885912592182771E-2</v>
      </c>
    </row>
    <row r="36" spans="1:55">
      <c r="A36" s="39">
        <f t="shared" si="15"/>
        <v>2020</v>
      </c>
      <c r="B36" s="39">
        <f t="shared" si="16"/>
        <v>3</v>
      </c>
      <c r="C36" s="40"/>
      <c r="D36" s="40">
        <v>108103673.313758</v>
      </c>
      <c r="E36" s="40"/>
      <c r="F36" s="40">
        <v>19649122.2722812</v>
      </c>
      <c r="G36" s="41">
        <v>477663</v>
      </c>
      <c r="H36" s="41">
        <v>2627960.89263047</v>
      </c>
      <c r="I36" s="41">
        <v>14773</v>
      </c>
      <c r="J36" s="42">
        <v>81276.687260327904</v>
      </c>
      <c r="K36" s="40"/>
      <c r="L36" s="43">
        <v>2472690.8819211698</v>
      </c>
      <c r="M36" s="43"/>
      <c r="N36" s="43">
        <v>841907.670918599</v>
      </c>
      <c r="O36" s="40"/>
      <c r="P36" s="40">
        <v>17462732.343439098</v>
      </c>
      <c r="Q36" s="43"/>
      <c r="R36" s="43">
        <v>20288290.810669798</v>
      </c>
      <c r="S36" s="43"/>
      <c r="T36" s="40">
        <v>77574038.335250497</v>
      </c>
      <c r="U36" s="40"/>
      <c r="V36" s="43">
        <v>106950.710877335</v>
      </c>
      <c r="W36" s="43"/>
      <c r="X36" s="43">
        <v>268629.350978314</v>
      </c>
      <c r="Y36" s="40"/>
      <c r="Z36" s="40">
        <f t="shared" si="9"/>
        <v>-2568479.3035738319</v>
      </c>
      <c r="AA36" s="40"/>
      <c r="AB36" s="40">
        <f t="shared" si="10"/>
        <v>-47992367.321946606</v>
      </c>
      <c r="AC36" s="17"/>
      <c r="AD36" s="40"/>
      <c r="AE36" s="40"/>
      <c r="AF36" s="40">
        <f>BA36/100*AF25</f>
        <v>5953539185.2592278</v>
      </c>
      <c r="AG36" s="44">
        <f t="shared" si="17"/>
        <v>-4.9637007726938964E-3</v>
      </c>
      <c r="AH36" s="44">
        <f t="shared" si="12"/>
        <v>-8.0611491465066975E-3</v>
      </c>
      <c r="AI36" s="39"/>
      <c r="AJ36" s="44"/>
      <c r="AK36" s="44"/>
      <c r="AL36" s="44"/>
      <c r="AM36" s="44"/>
      <c r="AN36" s="44"/>
      <c r="AO36" s="44"/>
      <c r="AP36" s="44"/>
      <c r="AQ36" s="44"/>
      <c r="AR36" s="44"/>
      <c r="AS36" s="40"/>
      <c r="AU36" s="39">
        <v>11445206</v>
      </c>
      <c r="AW36" s="39">
        <f t="shared" si="13"/>
        <v>-4.9758138273270714E-3</v>
      </c>
      <c r="AX36" s="48">
        <v>6715.7589628156002</v>
      </c>
      <c r="AY36" s="44">
        <f t="shared" si="14"/>
        <v>1.2173628341569951E-5</v>
      </c>
      <c r="AZ36" s="39">
        <f t="shared" si="18"/>
        <v>99.918167463046871</v>
      </c>
      <c r="BA36" s="39">
        <f t="shared" si="19"/>
        <v>103.59341838847558</v>
      </c>
      <c r="BC36" s="44">
        <f t="shared" si="6"/>
        <v>1.4806865971209325E-2</v>
      </c>
    </row>
    <row r="37" spans="1:55">
      <c r="A37" s="39">
        <f t="shared" si="15"/>
        <v>2020</v>
      </c>
      <c r="B37" s="39">
        <f t="shared" si="16"/>
        <v>4</v>
      </c>
      <c r="C37" s="40"/>
      <c r="D37" s="40">
        <v>108578597.89591201</v>
      </c>
      <c r="E37" s="40"/>
      <c r="F37" s="40">
        <v>19735445.4368768</v>
      </c>
      <c r="G37" s="41">
        <v>493320</v>
      </c>
      <c r="H37" s="41">
        <v>2714101.0870686402</v>
      </c>
      <c r="I37" s="41">
        <v>15258</v>
      </c>
      <c r="J37" s="42">
        <v>83945.014162193402</v>
      </c>
      <c r="K37" s="40"/>
      <c r="L37" s="43">
        <v>2507801.7566468902</v>
      </c>
      <c r="M37" s="43"/>
      <c r="N37" s="43">
        <v>847393.84782129899</v>
      </c>
      <c r="O37" s="40"/>
      <c r="P37" s="40">
        <v>17675106.165935699</v>
      </c>
      <c r="Q37" s="43"/>
      <c r="R37" s="43">
        <v>23373491.635485999</v>
      </c>
      <c r="S37" s="43"/>
      <c r="T37" s="40">
        <v>89370571.088535696</v>
      </c>
      <c r="U37" s="40"/>
      <c r="V37" s="43">
        <v>108687.609512155</v>
      </c>
      <c r="W37" s="43"/>
      <c r="X37" s="43">
        <v>272991.93958721001</v>
      </c>
      <c r="Y37" s="40"/>
      <c r="Z37" s="40">
        <f t="shared" si="9"/>
        <v>391538.20365316421</v>
      </c>
      <c r="AA37" s="40"/>
      <c r="AB37" s="40">
        <f t="shared" si="10"/>
        <v>-36883132.973312005</v>
      </c>
      <c r="AC37" s="17"/>
      <c r="AD37" s="40"/>
      <c r="AE37" s="40"/>
      <c r="AF37" s="40">
        <f>BA37/100*AF25</f>
        <v>6118296514.2185841</v>
      </c>
      <c r="AG37" s="44">
        <f t="shared" si="17"/>
        <v>2.7673846401698367E-2</v>
      </c>
      <c r="AH37" s="44">
        <f t="shared" si="12"/>
        <v>-6.0283336852991086E-3</v>
      </c>
      <c r="AI37" s="39"/>
      <c r="AU37" s="39">
        <v>11704534</v>
      </c>
      <c r="AW37" s="39">
        <f t="shared" si="13"/>
        <v>2.265822039376137E-2</v>
      </c>
      <c r="AX37" s="48">
        <v>6748.6963945451998</v>
      </c>
      <c r="AY37" s="44">
        <f t="shared" si="14"/>
        <v>4.9044987933561214E-3</v>
      </c>
      <c r="AZ37" s="39">
        <f t="shared" si="18"/>
        <v>100.40821599480374</v>
      </c>
      <c r="BA37" s="39">
        <f t="shared" si="19"/>
        <v>106.46024673718512</v>
      </c>
      <c r="BC37" s="44">
        <f t="shared" si="6"/>
        <v>1.2656920585554284E-2</v>
      </c>
    </row>
    <row r="38" spans="1:55" s="29" customFormat="1">
      <c r="A38" s="29">
        <f t="shared" si="15"/>
        <v>2021</v>
      </c>
      <c r="B38" s="29">
        <f t="shared" si="16"/>
        <v>1</v>
      </c>
      <c r="C38" s="30"/>
      <c r="D38" s="30">
        <v>109031540.16716801</v>
      </c>
      <c r="E38" s="30"/>
      <c r="F38" s="30">
        <v>19817773.0562573</v>
      </c>
      <c r="G38" s="31">
        <v>534175</v>
      </c>
      <c r="H38" s="31">
        <v>2938873.2428948502</v>
      </c>
      <c r="I38" s="31">
        <v>16521</v>
      </c>
      <c r="J38" s="32">
        <v>90893.667516948306</v>
      </c>
      <c r="K38" s="30"/>
      <c r="L38" s="33">
        <v>3039324.4171656398</v>
      </c>
      <c r="M38" s="33"/>
      <c r="N38" s="33">
        <v>853309.04514769802</v>
      </c>
      <c r="O38" s="30"/>
      <c r="P38" s="30">
        <v>20465723.448544402</v>
      </c>
      <c r="Q38" s="33"/>
      <c r="R38" s="33">
        <v>20618448.4151471</v>
      </c>
      <c r="S38" s="33"/>
      <c r="T38" s="30">
        <v>78836424.551290393</v>
      </c>
      <c r="U38" s="30"/>
      <c r="V38" s="33">
        <v>113986.753882718</v>
      </c>
      <c r="W38" s="33"/>
      <c r="X38" s="33">
        <v>286301.86246034899</v>
      </c>
      <c r="Y38" s="30"/>
      <c r="Z38" s="30">
        <f t="shared" si="9"/>
        <v>-2977971.3495408222</v>
      </c>
      <c r="AA38" s="30"/>
      <c r="AB38" s="30">
        <f t="shared" si="10"/>
        <v>-50660839.064422011</v>
      </c>
      <c r="AC38" s="17"/>
      <c r="AD38" s="30"/>
      <c r="AE38" s="30"/>
      <c r="AF38" s="30">
        <f>BA38/100*AF25</f>
        <v>6084055987.4822493</v>
      </c>
      <c r="AG38" s="34">
        <f t="shared" si="17"/>
        <v>-5.5964150571587538E-3</v>
      </c>
      <c r="AH38" s="34">
        <f t="shared" si="12"/>
        <v>-8.3268199978197219E-3</v>
      </c>
      <c r="AS38" s="34">
        <f>AVERAGE(AG38:AG41)</f>
        <v>4.2806945733932285E-3</v>
      </c>
      <c r="AU38" s="29">
        <v>11635238</v>
      </c>
      <c r="AW38" s="29">
        <f t="shared" si="13"/>
        <v>-5.9204407454410404E-3</v>
      </c>
      <c r="AX38" s="38">
        <v>6750.8961691748</v>
      </c>
      <c r="AY38" s="34">
        <f t="shared" si="14"/>
        <v>3.2595548843746539E-4</v>
      </c>
      <c r="AZ38" s="29">
        <f t="shared" si="18"/>
        <v>100.44094460389145</v>
      </c>
      <c r="BA38" s="29">
        <f t="shared" si="19"/>
        <v>105.8644510093563</v>
      </c>
      <c r="BC38" s="34">
        <f t="shared" si="6"/>
        <v>1.4740664583729832E-2</v>
      </c>
    </row>
    <row r="39" spans="1:55" s="39" customFormat="1">
      <c r="A39" s="39">
        <f t="shared" si="15"/>
        <v>2021</v>
      </c>
      <c r="B39" s="39">
        <f t="shared" si="16"/>
        <v>2</v>
      </c>
      <c r="C39" s="40"/>
      <c r="D39" s="40">
        <v>109552717.674436</v>
      </c>
      <c r="E39" s="40"/>
      <c r="F39" s="40">
        <v>19912503.237498701</v>
      </c>
      <c r="G39" s="41">
        <v>570982</v>
      </c>
      <c r="H39" s="41">
        <v>3141374.4970741598</v>
      </c>
      <c r="I39" s="41">
        <v>17659</v>
      </c>
      <c r="J39" s="42">
        <v>97154.607752665703</v>
      </c>
      <c r="K39" s="40"/>
      <c r="L39" s="43">
        <v>2481311.2925880998</v>
      </c>
      <c r="M39" s="43"/>
      <c r="N39" s="43">
        <v>859005.81844820105</v>
      </c>
      <c r="O39" s="40"/>
      <c r="P39" s="40">
        <v>17601532.658308301</v>
      </c>
      <c r="Q39" s="43"/>
      <c r="R39" s="43">
        <v>23615976.7900756</v>
      </c>
      <c r="S39" s="43"/>
      <c r="T39" s="40">
        <v>90297734.093709707</v>
      </c>
      <c r="U39" s="40"/>
      <c r="V39" s="43">
        <v>110684.600031551</v>
      </c>
      <c r="W39" s="43"/>
      <c r="X39" s="43">
        <v>278007.80402359</v>
      </c>
      <c r="Y39" s="40"/>
      <c r="Z39" s="40">
        <f t="shared" si="9"/>
        <v>473841.04157214984</v>
      </c>
      <c r="AA39" s="40"/>
      <c r="AB39" s="40">
        <f t="shared" si="10"/>
        <v>-36856516.239034593</v>
      </c>
      <c r="AC39" s="17"/>
      <c r="AD39" s="40"/>
      <c r="AE39" s="40"/>
      <c r="AF39" s="40">
        <f>BA39/100*AF25</f>
        <v>6186342122.2547417</v>
      </c>
      <c r="AG39" s="44">
        <f t="shared" si="17"/>
        <v>1.6812161982556185E-2</v>
      </c>
      <c r="AH39" s="44">
        <f t="shared" si="12"/>
        <v>-5.9577235643736856E-3</v>
      </c>
      <c r="AU39" s="39">
        <v>11763092</v>
      </c>
      <c r="AW39" s="39">
        <f t="shared" si="13"/>
        <v>1.0988516092236359E-2</v>
      </c>
      <c r="AX39" s="48">
        <v>6789.7836818475998</v>
      </c>
      <c r="AY39" s="44">
        <f t="shared" si="14"/>
        <v>5.760348211303226E-3</v>
      </c>
      <c r="AZ39" s="39">
        <f t="shared" si="18"/>
        <v>101.01951941948209</v>
      </c>
      <c r="BA39" s="39">
        <f t="shared" si="19"/>
        <v>107.64426130792</v>
      </c>
      <c r="BC39" s="44">
        <f t="shared" ref="BC39:BC70" si="20">T46/AF46</f>
        <v>1.2789200023484271E-2</v>
      </c>
    </row>
    <row r="40" spans="1:55">
      <c r="A40" s="39">
        <f t="shared" si="15"/>
        <v>2021</v>
      </c>
      <c r="B40" s="39">
        <f t="shared" si="16"/>
        <v>3</v>
      </c>
      <c r="C40" s="40"/>
      <c r="D40" s="40">
        <v>110000131.741401</v>
      </c>
      <c r="E40" s="40"/>
      <c r="F40" s="40">
        <v>19993826.040310498</v>
      </c>
      <c r="G40" s="41">
        <v>616843</v>
      </c>
      <c r="H40" s="41">
        <v>3393688.1878915899</v>
      </c>
      <c r="I40" s="41">
        <v>19078</v>
      </c>
      <c r="J40" s="42">
        <v>104961.527079979</v>
      </c>
      <c r="K40" s="40"/>
      <c r="L40" s="43">
        <v>2415217.1803003298</v>
      </c>
      <c r="M40" s="43"/>
      <c r="N40" s="43">
        <v>865413.71954319999</v>
      </c>
      <c r="O40" s="40"/>
      <c r="P40" s="40">
        <v>17293824.376637001</v>
      </c>
      <c r="Q40" s="43"/>
      <c r="R40" s="43">
        <v>20773652.805091899</v>
      </c>
      <c r="S40" s="43"/>
      <c r="T40" s="40">
        <v>79429861.9880725</v>
      </c>
      <c r="U40" s="40"/>
      <c r="V40" s="43">
        <v>112010.52435591799</v>
      </c>
      <c r="W40" s="43"/>
      <c r="X40" s="43">
        <v>281338.14365181001</v>
      </c>
      <c r="Y40" s="40"/>
      <c r="Z40" s="40">
        <f t="shared" si="9"/>
        <v>-2388793.6107062101</v>
      </c>
      <c r="AA40" s="40"/>
      <c r="AB40" s="40">
        <f t="shared" si="10"/>
        <v>-47864094.129965499</v>
      </c>
      <c r="AC40" s="17"/>
      <c r="AD40" s="40"/>
      <c r="AE40" s="40"/>
      <c r="AF40" s="40">
        <f>BA40/100*AF25</f>
        <v>6169071327.3935404</v>
      </c>
      <c r="AG40" s="44">
        <f t="shared" si="17"/>
        <v>-2.7917620008552943E-3</v>
      </c>
      <c r="AH40" s="44">
        <f t="shared" si="12"/>
        <v>-7.7587195202990606E-3</v>
      </c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40"/>
      <c r="AU40" s="39">
        <v>11738431</v>
      </c>
      <c r="AW40" s="39">
        <f t="shared" si="13"/>
        <v>-2.0964725941104599E-3</v>
      </c>
      <c r="AX40" s="48">
        <v>6785.0528992234003</v>
      </c>
      <c r="AY40" s="44">
        <f t="shared" si="14"/>
        <v>-6.9675012428557608E-4</v>
      </c>
      <c r="AZ40" s="39">
        <f t="shared" si="18"/>
        <v>100.9491340567713</v>
      </c>
      <c r="BA40" s="39">
        <f t="shared" si="19"/>
        <v>107.34374414959039</v>
      </c>
      <c r="BC40" s="44">
        <f t="shared" si="20"/>
        <v>1.4771081516143834E-2</v>
      </c>
    </row>
    <row r="41" spans="1:55">
      <c r="A41" s="39">
        <f t="shared" si="15"/>
        <v>2021</v>
      </c>
      <c r="B41" s="39">
        <f t="shared" si="16"/>
        <v>4</v>
      </c>
      <c r="C41" s="40"/>
      <c r="D41" s="40">
        <v>110597928.83193401</v>
      </c>
      <c r="E41" s="40"/>
      <c r="F41" s="40">
        <v>20102482.737773601</v>
      </c>
      <c r="G41" s="41">
        <v>655655</v>
      </c>
      <c r="H41" s="41">
        <v>3607220.3605002598</v>
      </c>
      <c r="I41" s="41">
        <v>20278</v>
      </c>
      <c r="J41" s="42">
        <v>111563.573022739</v>
      </c>
      <c r="K41" s="40"/>
      <c r="L41" s="43">
        <v>2473927.04147929</v>
      </c>
      <c r="M41" s="43"/>
      <c r="N41" s="43">
        <v>872237.77829449996</v>
      </c>
      <c r="O41" s="40"/>
      <c r="P41" s="40">
        <v>17636014.083216399</v>
      </c>
      <c r="Q41" s="43"/>
      <c r="R41" s="43">
        <v>23895181.677336901</v>
      </c>
      <c r="S41" s="43"/>
      <c r="T41" s="40">
        <v>91365298.179315507</v>
      </c>
      <c r="U41" s="40"/>
      <c r="V41" s="43">
        <v>112319.57057783099</v>
      </c>
      <c r="W41" s="43"/>
      <c r="X41" s="43">
        <v>282114.37866075698</v>
      </c>
      <c r="Y41" s="40"/>
      <c r="Z41" s="40">
        <f t="shared" si="9"/>
        <v>558853.69036734104</v>
      </c>
      <c r="AA41" s="40"/>
      <c r="AB41" s="40">
        <f t="shared" si="10"/>
        <v>-36868644.735834897</v>
      </c>
      <c r="AC41" s="17"/>
      <c r="AD41" s="40"/>
      <c r="AE41" s="40"/>
      <c r="AF41" s="40">
        <f>BA41/100*AF25</f>
        <v>6222734804.1493492</v>
      </c>
      <c r="AG41" s="44">
        <f t="shared" si="17"/>
        <v>8.698793369030778E-3</v>
      </c>
      <c r="AH41" s="44">
        <f t="shared" si="12"/>
        <v>-5.9248298210058236E-3</v>
      </c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U41" s="39">
        <v>11794957</v>
      </c>
      <c r="AW41" s="39">
        <f t="shared" si="13"/>
        <v>4.8154646902980472E-3</v>
      </c>
      <c r="AX41" s="48">
        <v>6811.2752170879003</v>
      </c>
      <c r="AY41" s="44">
        <f t="shared" si="14"/>
        <v>3.8647182643927898E-3</v>
      </c>
      <c r="AZ41" s="39">
        <f t="shared" si="18"/>
        <v>101.33927401893513</v>
      </c>
      <c r="BA41" s="39">
        <f t="shared" si="19"/>
        <v>108.27750519940579</v>
      </c>
      <c r="BC41" s="44">
        <f t="shared" si="20"/>
        <v>1.3042644429667146E-2</v>
      </c>
    </row>
    <row r="42" spans="1:55" s="29" customFormat="1">
      <c r="A42" s="29">
        <f t="shared" si="15"/>
        <v>2022</v>
      </c>
      <c r="B42" s="29">
        <f t="shared" si="16"/>
        <v>1</v>
      </c>
      <c r="C42" s="30"/>
      <c r="D42" s="30">
        <v>110911216.864464</v>
      </c>
      <c r="E42" s="30"/>
      <c r="F42" s="30">
        <v>20159426.546146799</v>
      </c>
      <c r="G42" s="31">
        <v>693229</v>
      </c>
      <c r="H42" s="31">
        <v>3813941.4223779798</v>
      </c>
      <c r="I42" s="31">
        <v>21440</v>
      </c>
      <c r="J42" s="32">
        <v>117956.55417731201</v>
      </c>
      <c r="K42" s="30"/>
      <c r="L42" s="33">
        <v>3000540.7119327402</v>
      </c>
      <c r="M42" s="33"/>
      <c r="N42" s="33">
        <v>876713.51276070299</v>
      </c>
      <c r="O42" s="30"/>
      <c r="P42" s="30">
        <v>20393239.093093298</v>
      </c>
      <c r="Q42" s="33"/>
      <c r="R42" s="33">
        <v>20874155.338088602</v>
      </c>
      <c r="S42" s="33"/>
      <c r="T42" s="30">
        <v>79814142.133710995</v>
      </c>
      <c r="U42" s="30"/>
      <c r="V42" s="33">
        <v>109822.010590408</v>
      </c>
      <c r="W42" s="33"/>
      <c r="X42" s="33">
        <v>275841.22803887603</v>
      </c>
      <c r="Y42" s="30"/>
      <c r="Z42" s="30">
        <f t="shared" si="9"/>
        <v>-3052703.4221612327</v>
      </c>
      <c r="AA42" s="30"/>
      <c r="AB42" s="30">
        <f t="shared" si="10"/>
        <v>-51490313.823846303</v>
      </c>
      <c r="AC42" s="17"/>
      <c r="AD42" s="30"/>
      <c r="AE42" s="30"/>
      <c r="AF42" s="30">
        <f>BA42/100*AF25</f>
        <v>6193906839.1733608</v>
      </c>
      <c r="AG42" s="34">
        <f t="shared" si="17"/>
        <v>-4.6326841627198643E-3</v>
      </c>
      <c r="AH42" s="34">
        <f t="shared" si="12"/>
        <v>-8.3130591338887814E-3</v>
      </c>
      <c r="AS42" s="34">
        <f>AVERAGE(AG42:AG45)</f>
        <v>3.130098509493035E-3</v>
      </c>
      <c r="AU42" s="29">
        <v>11776443</v>
      </c>
      <c r="AW42" s="29">
        <f t="shared" si="13"/>
        <v>-1.5696538783481788E-3</v>
      </c>
      <c r="AX42" s="38">
        <v>6790.3792754268998</v>
      </c>
      <c r="AY42" s="34">
        <f t="shared" si="14"/>
        <v>-3.0678457403361804E-3</v>
      </c>
      <c r="AZ42" s="29">
        <f t="shared" si="18"/>
        <v>101.02838075880739</v>
      </c>
      <c r="BA42" s="29">
        <f t="shared" si="19"/>
        <v>107.77588971588969</v>
      </c>
      <c r="BC42" s="34">
        <f t="shared" si="20"/>
        <v>1.4832267808888314E-2</v>
      </c>
    </row>
    <row r="43" spans="1:55" s="39" customFormat="1">
      <c r="A43" s="39">
        <f t="shared" si="15"/>
        <v>2022</v>
      </c>
      <c r="B43" s="39">
        <f t="shared" si="16"/>
        <v>2</v>
      </c>
      <c r="C43" s="40"/>
      <c r="D43" s="40">
        <v>110840891.950858</v>
      </c>
      <c r="E43" s="40"/>
      <c r="F43" s="40">
        <v>20146644.160647102</v>
      </c>
      <c r="G43" s="41">
        <v>714924</v>
      </c>
      <c r="H43" s="41">
        <v>3933300.9113181201</v>
      </c>
      <c r="I43" s="41">
        <v>22111</v>
      </c>
      <c r="J43" s="42">
        <v>121648.19820030501</v>
      </c>
      <c r="K43" s="40"/>
      <c r="L43" s="43">
        <v>2466671.39549729</v>
      </c>
      <c r="M43" s="43"/>
      <c r="N43" s="43">
        <v>877740.510409098</v>
      </c>
      <c r="O43" s="40"/>
      <c r="P43" s="40">
        <v>17628638.910250001</v>
      </c>
      <c r="Q43" s="43"/>
      <c r="R43" s="43">
        <v>24122079.270382401</v>
      </c>
      <c r="S43" s="43"/>
      <c r="T43" s="40">
        <v>92232860.791924998</v>
      </c>
      <c r="U43" s="40"/>
      <c r="V43" s="43">
        <v>115249.031669718</v>
      </c>
      <c r="W43" s="43"/>
      <c r="X43" s="43">
        <v>289472.34033650899</v>
      </c>
      <c r="Y43" s="40"/>
      <c r="Z43" s="40">
        <f t="shared" si="9"/>
        <v>746272.23549862951</v>
      </c>
      <c r="AA43" s="40"/>
      <c r="AB43" s="40">
        <f t="shared" si="10"/>
        <v>-36236670.069182992</v>
      </c>
      <c r="AC43" s="17"/>
      <c r="AD43" s="40"/>
      <c r="AE43" s="40"/>
      <c r="AF43" s="40">
        <f>BA43/100*AF25</f>
        <v>6229060286.7118435</v>
      </c>
      <c r="AG43" s="44">
        <f t="shared" si="17"/>
        <v>5.6754885811576474E-3</v>
      </c>
      <c r="AH43" s="44">
        <f t="shared" si="12"/>
        <v>-5.8173574184993762E-3</v>
      </c>
      <c r="AU43" s="39">
        <v>11768503</v>
      </c>
      <c r="AW43" s="39">
        <f t="shared" si="13"/>
        <v>-6.7422735370943501E-4</v>
      </c>
      <c r="AX43" s="48">
        <v>6833.5253451763001</v>
      </c>
      <c r="AY43" s="44">
        <f t="shared" si="14"/>
        <v>6.3539999754561307E-3</v>
      </c>
      <c r="AZ43" s="39">
        <f t="shared" si="18"/>
        <v>101.67031508766921</v>
      </c>
      <c r="BA43" s="39">
        <f t="shared" si="19"/>
        <v>108.38757054729633</v>
      </c>
      <c r="BC43" s="44">
        <f t="shared" si="20"/>
        <v>1.2993564923768474E-2</v>
      </c>
    </row>
    <row r="44" spans="1:55">
      <c r="A44" s="39">
        <f t="shared" si="15"/>
        <v>2022</v>
      </c>
      <c r="B44" s="39">
        <f t="shared" si="16"/>
        <v>3</v>
      </c>
      <c r="C44" s="40"/>
      <c r="D44" s="40">
        <v>111266799.79354</v>
      </c>
      <c r="E44" s="40"/>
      <c r="F44" s="40">
        <v>20224057.952621501</v>
      </c>
      <c r="G44" s="41">
        <v>749222</v>
      </c>
      <c r="H44" s="41">
        <v>4121998.3877721098</v>
      </c>
      <c r="I44" s="41">
        <v>23171</v>
      </c>
      <c r="J44" s="42">
        <v>127480.005449743</v>
      </c>
      <c r="K44" s="40"/>
      <c r="L44" s="43">
        <v>2399523.1644030502</v>
      </c>
      <c r="M44" s="43"/>
      <c r="N44" s="43">
        <v>883121.08304299798</v>
      </c>
      <c r="O44" s="40"/>
      <c r="P44" s="40">
        <v>17309808.742998801</v>
      </c>
      <c r="Q44" s="43"/>
      <c r="R44" s="43">
        <v>21182290.244137701</v>
      </c>
      <c r="S44" s="43"/>
      <c r="T44" s="40">
        <v>80992322.653566003</v>
      </c>
      <c r="U44" s="40"/>
      <c r="V44" s="43">
        <v>112427.088394109</v>
      </c>
      <c r="W44" s="43"/>
      <c r="X44" s="43">
        <v>282384.43241700099</v>
      </c>
      <c r="Y44" s="40"/>
      <c r="Z44" s="40">
        <f t="shared" si="9"/>
        <v>-2211984.8675357401</v>
      </c>
      <c r="AA44" s="40"/>
      <c r="AB44" s="40">
        <f t="shared" si="10"/>
        <v>-47584285.882972799</v>
      </c>
      <c r="AC44" s="17"/>
      <c r="AD44" s="40"/>
      <c r="AE44" s="40"/>
      <c r="AF44" s="40">
        <f>BA44/100*AF25</f>
        <v>6399054343.9140263</v>
      </c>
      <c r="AG44" s="44">
        <f t="shared" si="17"/>
        <v>2.7290481931090467E-2</v>
      </c>
      <c r="AH44" s="44">
        <f t="shared" si="12"/>
        <v>-7.4361434245716279E-3</v>
      </c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40"/>
      <c r="AU44" s="39">
        <v>12039927</v>
      </c>
      <c r="AW44" s="39">
        <f t="shared" si="13"/>
        <v>2.3063596109037826E-2</v>
      </c>
      <c r="AX44" s="48">
        <v>6861.7587135671001</v>
      </c>
      <c r="AY44" s="44">
        <f t="shared" si="14"/>
        <v>4.1315963524931687E-3</v>
      </c>
      <c r="AZ44" s="39">
        <f t="shared" si="18"/>
        <v>102.09037579064227</v>
      </c>
      <c r="BA44" s="39">
        <f t="shared" si="19"/>
        <v>111.34551958287211</v>
      </c>
      <c r="BC44" s="44">
        <f t="shared" si="20"/>
        <v>1.4641519673805614E-2</v>
      </c>
    </row>
    <row r="45" spans="1:55">
      <c r="A45" s="39">
        <f t="shared" si="15"/>
        <v>2022</v>
      </c>
      <c r="B45" s="39">
        <f t="shared" si="16"/>
        <v>4</v>
      </c>
      <c r="C45" s="40"/>
      <c r="D45" s="40">
        <v>111598278.190538</v>
      </c>
      <c r="E45" s="40"/>
      <c r="F45" s="40">
        <v>20284308.075060301</v>
      </c>
      <c r="G45" s="41">
        <v>800623</v>
      </c>
      <c r="H45" s="41">
        <v>4404791.52402528</v>
      </c>
      <c r="I45" s="41">
        <v>24762</v>
      </c>
      <c r="J45" s="42">
        <v>136233.21802885301</v>
      </c>
      <c r="K45" s="40"/>
      <c r="L45" s="43">
        <v>2365655.7042168099</v>
      </c>
      <c r="M45" s="43"/>
      <c r="N45" s="43">
        <v>887419.80783769896</v>
      </c>
      <c r="O45" s="40"/>
      <c r="P45" s="40">
        <v>17157720.646584898</v>
      </c>
      <c r="Q45" s="43"/>
      <c r="R45" s="43">
        <v>24279491.9708611</v>
      </c>
      <c r="S45" s="43"/>
      <c r="T45" s="40">
        <v>92834741.895431593</v>
      </c>
      <c r="U45" s="40"/>
      <c r="V45" s="43">
        <v>112718.381607444</v>
      </c>
      <c r="W45" s="43"/>
      <c r="X45" s="43">
        <v>283116.07698673499</v>
      </c>
      <c r="Y45" s="40"/>
      <c r="Z45" s="40">
        <f t="shared" si="9"/>
        <v>854826.76535373181</v>
      </c>
      <c r="AA45" s="40"/>
      <c r="AB45" s="40">
        <f t="shared" si="10"/>
        <v>-35921256.941691309</v>
      </c>
      <c r="AC45" s="17"/>
      <c r="AD45" s="40"/>
      <c r="AE45" s="40"/>
      <c r="AF45" s="40">
        <f>BA45/100*AF25</f>
        <v>6297866786.6779184</v>
      </c>
      <c r="AG45" s="44">
        <f t="shared" si="17"/>
        <v>-1.5812892311556109E-2</v>
      </c>
      <c r="AH45" s="44">
        <f t="shared" si="12"/>
        <v>-5.7037181252669088E-3</v>
      </c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U45" s="39">
        <v>11809832</v>
      </c>
      <c r="AW45" s="39">
        <f t="shared" si="13"/>
        <v>-1.9110996270990679E-2</v>
      </c>
      <c r="AX45" s="48">
        <v>6884.8304306481004</v>
      </c>
      <c r="AY45" s="44">
        <f t="shared" si="14"/>
        <v>3.3623620479954815E-3</v>
      </c>
      <c r="AZ45" s="39">
        <f t="shared" si="18"/>
        <v>102.43364059566632</v>
      </c>
      <c r="BA45" s="39">
        <f t="shared" si="19"/>
        <v>109.5848248723339</v>
      </c>
      <c r="BC45" s="44">
        <f t="shared" si="20"/>
        <v>1.2873447642254843E-2</v>
      </c>
    </row>
    <row r="46" spans="1:55" s="29" customFormat="1">
      <c r="A46" s="29">
        <f t="shared" si="15"/>
        <v>2023</v>
      </c>
      <c r="B46" s="29">
        <f t="shared" si="16"/>
        <v>1</v>
      </c>
      <c r="C46" s="30"/>
      <c r="D46" s="30">
        <v>112001003.249246</v>
      </c>
      <c r="E46" s="30"/>
      <c r="F46" s="30">
        <v>20357508.121627498</v>
      </c>
      <c r="G46" s="31">
        <v>839507</v>
      </c>
      <c r="H46" s="31">
        <v>4618719.8193905205</v>
      </c>
      <c r="I46" s="31">
        <v>25964</v>
      </c>
      <c r="J46" s="32">
        <v>142846.26738151701</v>
      </c>
      <c r="K46" s="30"/>
      <c r="L46" s="33">
        <v>2957682.1452538101</v>
      </c>
      <c r="M46" s="33"/>
      <c r="N46" s="33">
        <v>892614.32231430302</v>
      </c>
      <c r="O46" s="30"/>
      <c r="P46" s="30">
        <v>20258327.349521901</v>
      </c>
      <c r="Q46" s="33"/>
      <c r="R46" s="33">
        <v>21382444.681742899</v>
      </c>
      <c r="S46" s="33"/>
      <c r="T46" s="30">
        <v>81757630.493474707</v>
      </c>
      <c r="U46" s="30"/>
      <c r="V46" s="33">
        <v>112479.311966564</v>
      </c>
      <c r="W46" s="33"/>
      <c r="X46" s="33">
        <v>282515.60297453398</v>
      </c>
      <c r="Y46" s="30"/>
      <c r="Z46" s="30">
        <f t="shared" ref="Z46:Z77" si="21">R46+V46-N46-L46-F46</f>
        <v>-2712880.5954861492</v>
      </c>
      <c r="AA46" s="30"/>
      <c r="AB46" s="30">
        <f t="shared" ref="AB46:AB77" si="22">T46-P46-D46</f>
        <v>-50501700.105293199</v>
      </c>
      <c r="AC46" s="17"/>
      <c r="AD46" s="30"/>
      <c r="AE46" s="30"/>
      <c r="AF46" s="30">
        <f>BA46/100*AF25</f>
        <v>6392708718.5552349</v>
      </c>
      <c r="AG46" s="34">
        <f t="shared" si="17"/>
        <v>1.5059374084878818E-2</v>
      </c>
      <c r="AH46" s="34">
        <f t="shared" ref="AH46:AH77" si="23">AB46/AF46</f>
        <v>-7.899890692455433E-3</v>
      </c>
      <c r="AS46" s="34">
        <f>AVERAGE(AG46:AG49)</f>
        <v>3.6943645523052344E-3</v>
      </c>
      <c r="AU46" s="29">
        <v>11950790</v>
      </c>
      <c r="AW46" s="29">
        <f t="shared" si="13"/>
        <v>1.1935648195503544E-2</v>
      </c>
      <c r="AX46" s="38">
        <v>6906.0830894496003</v>
      </c>
      <c r="AY46" s="34">
        <f t="shared" si="14"/>
        <v>3.0868819523706425E-3</v>
      </c>
      <c r="AZ46" s="29">
        <f t="shared" si="18"/>
        <v>102.7498411521367</v>
      </c>
      <c r="BA46" s="29">
        <f t="shared" si="19"/>
        <v>111.23510374411229</v>
      </c>
      <c r="BC46" s="34">
        <f t="shared" si="20"/>
        <v>1.4773850046989634E-2</v>
      </c>
    </row>
    <row r="47" spans="1:55" s="39" customFormat="1">
      <c r="A47" s="39">
        <f t="shared" si="15"/>
        <v>2023</v>
      </c>
      <c r="B47" s="39">
        <f t="shared" si="16"/>
        <v>2</v>
      </c>
      <c r="C47" s="40"/>
      <c r="D47" s="40">
        <v>112304611.117184</v>
      </c>
      <c r="E47" s="40"/>
      <c r="F47" s="40">
        <v>20412692.445500001</v>
      </c>
      <c r="G47" s="41">
        <v>871757</v>
      </c>
      <c r="H47" s="41">
        <v>4796149.8041021898</v>
      </c>
      <c r="I47" s="41">
        <v>26962</v>
      </c>
      <c r="J47" s="42">
        <v>148336.96892391299</v>
      </c>
      <c r="K47" s="40"/>
      <c r="L47" s="43">
        <v>2429176.2279087398</v>
      </c>
      <c r="M47" s="43"/>
      <c r="N47" s="43">
        <v>896330.53313769796</v>
      </c>
      <c r="O47" s="40"/>
      <c r="P47" s="40">
        <v>17536353.1274978</v>
      </c>
      <c r="Q47" s="43"/>
      <c r="R47" s="43">
        <v>24601886.007667702</v>
      </c>
      <c r="S47" s="43"/>
      <c r="T47" s="40">
        <v>94067443.437600896</v>
      </c>
      <c r="U47" s="40"/>
      <c r="V47" s="43">
        <v>115682.270855291</v>
      </c>
      <c r="W47" s="43"/>
      <c r="X47" s="43">
        <v>290560.51226434502</v>
      </c>
      <c r="Y47" s="40"/>
      <c r="Z47" s="40">
        <f t="shared" si="21"/>
        <v>979369.07197655737</v>
      </c>
      <c r="AA47" s="40"/>
      <c r="AB47" s="40">
        <f t="shared" si="22"/>
        <v>-35773520.80708091</v>
      </c>
      <c r="AC47" s="17"/>
      <c r="AD47" s="40"/>
      <c r="AE47" s="40"/>
      <c r="AF47" s="40">
        <f>BA47/100*AF25</f>
        <v>6368351791.6268539</v>
      </c>
      <c r="AG47" s="44">
        <f t="shared" si="17"/>
        <v>-3.8101105494895253E-3</v>
      </c>
      <c r="AH47" s="44">
        <f t="shared" si="23"/>
        <v>-5.6173908065374374E-3</v>
      </c>
      <c r="AU47" s="39">
        <v>11881600</v>
      </c>
      <c r="AW47" s="39">
        <f t="shared" ref="AW47:AW78" si="24">(AU47-AU46)/AU46</f>
        <v>-5.7895754171899934E-3</v>
      </c>
      <c r="AX47" s="48">
        <v>6919.8330447014996</v>
      </c>
      <c r="AY47" s="44">
        <f t="shared" ref="AY47:AY78" si="25">(AX47-AX46)/AX46</f>
        <v>1.9909918652593534E-3</v>
      </c>
      <c r="AZ47" s="39">
        <f t="shared" si="18"/>
        <v>102.9544152500273</v>
      </c>
      <c r="BA47" s="39">
        <f t="shared" si="19"/>
        <v>110.8112857018633</v>
      </c>
      <c r="BC47" s="44">
        <f t="shared" si="20"/>
        <v>1.4060133727049109E-2</v>
      </c>
    </row>
    <row r="48" spans="1:55">
      <c r="A48" s="39">
        <f t="shared" si="15"/>
        <v>2023</v>
      </c>
      <c r="B48" s="39">
        <f t="shared" si="16"/>
        <v>3</v>
      </c>
      <c r="C48" s="40"/>
      <c r="D48" s="40">
        <v>112823171.88846301</v>
      </c>
      <c r="E48" s="40"/>
      <c r="F48" s="40">
        <v>20506947.004000399</v>
      </c>
      <c r="G48" s="41">
        <v>902072</v>
      </c>
      <c r="H48" s="41">
        <v>4962933.9897311702</v>
      </c>
      <c r="I48" s="41">
        <v>27899</v>
      </c>
      <c r="J48" s="42">
        <v>153492.06646421799</v>
      </c>
      <c r="K48" s="40"/>
      <c r="L48" s="43">
        <v>2386290.6998278801</v>
      </c>
      <c r="M48" s="43"/>
      <c r="N48" s="43">
        <v>902486.33872770099</v>
      </c>
      <c r="O48" s="40"/>
      <c r="P48" s="40">
        <v>17347687.344516899</v>
      </c>
      <c r="Q48" s="43"/>
      <c r="R48" s="43">
        <v>21649681.1802679</v>
      </c>
      <c r="S48" s="43"/>
      <c r="T48" s="40">
        <v>82779432.407426596</v>
      </c>
      <c r="U48" s="40"/>
      <c r="V48" s="43">
        <v>110712.15832386899</v>
      </c>
      <c r="W48" s="43"/>
      <c r="X48" s="43">
        <v>278077.02250861702</v>
      </c>
      <c r="Y48" s="40"/>
      <c r="Z48" s="40">
        <f t="shared" si="21"/>
        <v>-2035330.703964211</v>
      </c>
      <c r="AA48" s="40"/>
      <c r="AB48" s="40">
        <f t="shared" si="22"/>
        <v>-47391426.825553313</v>
      </c>
      <c r="AC48" s="17"/>
      <c r="AD48" s="40"/>
      <c r="AE48" s="40"/>
      <c r="AF48" s="40">
        <f>BA48/100*AF25</f>
        <v>6346828885.339716</v>
      </c>
      <c r="AG48" s="44">
        <f t="shared" si="17"/>
        <v>-3.3796666690801263E-3</v>
      </c>
      <c r="AH48" s="44">
        <f t="shared" si="23"/>
        <v>-7.4669457270261147E-3</v>
      </c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40"/>
      <c r="AU48" s="39">
        <v>11843921</v>
      </c>
      <c r="AW48" s="39">
        <f t="shared" si="24"/>
        <v>-3.1712058981955291E-3</v>
      </c>
      <c r="AX48" s="48">
        <v>6918.3859419096998</v>
      </c>
      <c r="AY48" s="44">
        <f t="shared" si="25"/>
        <v>-2.0912394597552472E-4</v>
      </c>
      <c r="AZ48" s="39">
        <f t="shared" si="18"/>
        <v>102.93288501645461</v>
      </c>
      <c r="BA48" s="39">
        <f t="shared" si="19"/>
        <v>110.4367804930188</v>
      </c>
      <c r="BC48" s="44">
        <f t="shared" si="20"/>
        <v>1.6104294975359777E-2</v>
      </c>
    </row>
    <row r="49" spans="1:55">
      <c r="A49" s="39">
        <f t="shared" si="15"/>
        <v>2023</v>
      </c>
      <c r="B49" s="39">
        <f t="shared" si="16"/>
        <v>4</v>
      </c>
      <c r="C49" s="40"/>
      <c r="D49" s="40">
        <v>113267849.142656</v>
      </c>
      <c r="E49" s="40"/>
      <c r="F49" s="40">
        <v>20587772.358694799</v>
      </c>
      <c r="G49" s="41">
        <v>954435</v>
      </c>
      <c r="H49" s="41">
        <v>5251019.7661484499</v>
      </c>
      <c r="I49" s="41">
        <v>29519</v>
      </c>
      <c r="J49" s="42">
        <v>162404.828486944</v>
      </c>
      <c r="K49" s="40"/>
      <c r="L49" s="43">
        <v>2393720.0099738999</v>
      </c>
      <c r="M49" s="43"/>
      <c r="N49" s="43">
        <v>908477.43835690303</v>
      </c>
      <c r="O49" s="40"/>
      <c r="P49" s="40">
        <v>17419199.332681701</v>
      </c>
      <c r="Q49" s="43"/>
      <c r="R49" s="43">
        <v>24790377.524310801</v>
      </c>
      <c r="S49" s="43"/>
      <c r="T49" s="40">
        <v>94788157.088365898</v>
      </c>
      <c r="U49" s="40"/>
      <c r="V49" s="43">
        <v>113379.54902719001</v>
      </c>
      <c r="W49" s="43"/>
      <c r="X49" s="43">
        <v>284776.73892527999</v>
      </c>
      <c r="Y49" s="40"/>
      <c r="Z49" s="40">
        <f t="shared" si="21"/>
        <v>1013787.2663123906</v>
      </c>
      <c r="AA49" s="40"/>
      <c r="AB49" s="40">
        <f t="shared" si="22"/>
        <v>-35898891.386971802</v>
      </c>
      <c r="AC49" s="17"/>
      <c r="AD49" s="40"/>
      <c r="AE49" s="40"/>
      <c r="AF49" s="40">
        <f>BA49/100*AF25</f>
        <v>6390671899.24683</v>
      </c>
      <c r="AG49" s="44">
        <f t="shared" si="17"/>
        <v>6.9078613429117714E-3</v>
      </c>
      <c r="AH49" s="44">
        <f t="shared" si="23"/>
        <v>-5.6173892124242288E-3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U49" s="39">
        <v>11913010</v>
      </c>
      <c r="AW49" s="39">
        <f t="shared" si="24"/>
        <v>5.8332878106836412E-3</v>
      </c>
      <c r="AX49" s="48">
        <v>6925.7771413351002</v>
      </c>
      <c r="AY49" s="44">
        <f t="shared" si="25"/>
        <v>1.0683415882636004E-3</v>
      </c>
      <c r="AZ49" s="39">
        <f t="shared" si="18"/>
        <v>103.04285249831763</v>
      </c>
      <c r="BA49" s="39">
        <f t="shared" si="19"/>
        <v>111.19966245982215</v>
      </c>
      <c r="BC49" s="44">
        <f t="shared" si="20"/>
        <v>1.2959874858165191E-2</v>
      </c>
    </row>
    <row r="50" spans="1:55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30">
        <v>114019495.83670899</v>
      </c>
      <c r="E50" s="30"/>
      <c r="F50" s="30">
        <v>20724393.0427499</v>
      </c>
      <c r="G50" s="31">
        <v>989754</v>
      </c>
      <c r="H50" s="31">
        <v>5445334.4833587296</v>
      </c>
      <c r="I50" s="31">
        <v>30611</v>
      </c>
      <c r="J50" s="32">
        <v>168412.69029485501</v>
      </c>
      <c r="K50" s="30"/>
      <c r="L50" s="33">
        <v>2961247.6650259402</v>
      </c>
      <c r="M50" s="33"/>
      <c r="N50" s="33">
        <v>916299.76838770101</v>
      </c>
      <c r="O50" s="30"/>
      <c r="P50" s="30">
        <v>20407139.184528701</v>
      </c>
      <c r="Q50" s="33"/>
      <c r="R50" s="33">
        <v>21815299.039897099</v>
      </c>
      <c r="S50" s="33"/>
      <c r="T50" s="30">
        <v>83412686.648100495</v>
      </c>
      <c r="U50" s="30"/>
      <c r="V50" s="33">
        <v>113785.209221372</v>
      </c>
      <c r="W50" s="33"/>
      <c r="X50" s="33">
        <v>285795.64037798601</v>
      </c>
      <c r="Y50" s="30"/>
      <c r="Z50" s="30">
        <f t="shared" si="21"/>
        <v>-2672856.2270450704</v>
      </c>
      <c r="AA50" s="30"/>
      <c r="AB50" s="30">
        <f t="shared" si="22"/>
        <v>-51013948.373137198</v>
      </c>
      <c r="AC50" s="17"/>
      <c r="AD50" s="30"/>
      <c r="AE50" s="30"/>
      <c r="AF50" s="30">
        <f>BA50/100*AF25</f>
        <v>6419538220.455409</v>
      </c>
      <c r="AG50" s="34">
        <f t="shared" si="17"/>
        <v>4.5169462090490194E-3</v>
      </c>
      <c r="AH50" s="34">
        <f t="shared" si="23"/>
        <v>-7.946669467686138E-3</v>
      </c>
      <c r="AS50" s="34">
        <f>AVERAGE(AG50:AG53)</f>
        <v>3.6858688434501111E-3</v>
      </c>
      <c r="AU50" s="29">
        <v>11964696</v>
      </c>
      <c r="AW50" s="29">
        <f t="shared" si="24"/>
        <v>4.3386180318827905E-3</v>
      </c>
      <c r="AX50" s="38">
        <v>6927.0068672371999</v>
      </c>
      <c r="AY50" s="34">
        <f t="shared" si="25"/>
        <v>1.7755782159959698E-4</v>
      </c>
      <c r="AZ50" s="29">
        <f t="shared" si="18"/>
        <v>103.06114856273865</v>
      </c>
      <c r="BA50" s="29">
        <f t="shared" si="19"/>
        <v>111.70194535361756</v>
      </c>
      <c r="BC50" s="34">
        <f t="shared" si="20"/>
        <v>1.4797971737531815E-2</v>
      </c>
    </row>
    <row r="51" spans="1:55" s="39" customFormat="1">
      <c r="A51" s="39">
        <f t="shared" si="26"/>
        <v>2024</v>
      </c>
      <c r="B51" s="39">
        <f t="shared" si="27"/>
        <v>2</v>
      </c>
      <c r="C51" s="40"/>
      <c r="D51" s="40">
        <v>114328476.806328</v>
      </c>
      <c r="E51" s="40"/>
      <c r="F51" s="40">
        <v>20780553.991455398</v>
      </c>
      <c r="G51" s="41">
        <v>1044821</v>
      </c>
      <c r="H51" s="41">
        <v>5748296.8699670397</v>
      </c>
      <c r="I51" s="41">
        <v>32314</v>
      </c>
      <c r="J51" s="42">
        <v>177782.09382862199</v>
      </c>
      <c r="K51" s="40"/>
      <c r="L51" s="43">
        <v>2395705.1484039398</v>
      </c>
      <c r="M51" s="43"/>
      <c r="N51" s="43">
        <v>920676.45449220005</v>
      </c>
      <c r="O51" s="40"/>
      <c r="P51" s="40">
        <v>17496615.612916902</v>
      </c>
      <c r="Q51" s="43"/>
      <c r="R51" s="43">
        <v>24764966.2011653</v>
      </c>
      <c r="S51" s="43"/>
      <c r="T51" s="40">
        <v>94690994.691876501</v>
      </c>
      <c r="U51" s="40"/>
      <c r="V51" s="43">
        <v>112874.77871634399</v>
      </c>
      <c r="W51" s="43"/>
      <c r="X51" s="43">
        <v>283508.90143375401</v>
      </c>
      <c r="Y51" s="40"/>
      <c r="Z51" s="40">
        <f t="shared" si="21"/>
        <v>780905.38553010672</v>
      </c>
      <c r="AA51" s="40"/>
      <c r="AB51" s="40">
        <f t="shared" si="22"/>
        <v>-37134097.7273684</v>
      </c>
      <c r="AC51" s="17"/>
      <c r="AD51" s="40"/>
      <c r="AE51" s="40"/>
      <c r="AF51" s="40">
        <f>BA51/100*AF25</f>
        <v>6467292794.8376331</v>
      </c>
      <c r="AG51" s="44">
        <f t="shared" si="17"/>
        <v>7.4389422949547174E-3</v>
      </c>
      <c r="AH51" s="44">
        <f t="shared" si="23"/>
        <v>-5.7418302998450653E-3</v>
      </c>
      <c r="AU51" s="39">
        <v>12089693</v>
      </c>
      <c r="AW51" s="39">
        <f t="shared" si="24"/>
        <v>1.0447152188404954E-2</v>
      </c>
      <c r="AX51" s="48">
        <v>6906.3844224661998</v>
      </c>
      <c r="AY51" s="44">
        <f t="shared" si="25"/>
        <v>-2.9771075972998525E-3</v>
      </c>
      <c r="AZ51" s="39">
        <f t="shared" si="18"/>
        <v>102.75432443436607</v>
      </c>
      <c r="BA51" s="39">
        <f t="shared" si="19"/>
        <v>112.53288967933732</v>
      </c>
      <c r="BC51" s="44">
        <f t="shared" si="20"/>
        <v>1.295793068957175E-2</v>
      </c>
    </row>
    <row r="52" spans="1:55">
      <c r="A52" s="39">
        <f t="shared" si="26"/>
        <v>2024</v>
      </c>
      <c r="B52" s="39">
        <f t="shared" si="27"/>
        <v>3</v>
      </c>
      <c r="C52" s="40"/>
      <c r="D52" s="40">
        <v>114705439.435909</v>
      </c>
      <c r="E52" s="40"/>
      <c r="F52" s="40">
        <v>20849071.411573298</v>
      </c>
      <c r="G52" s="41">
        <v>1081958</v>
      </c>
      <c r="H52" s="41">
        <v>5952613.6867805999</v>
      </c>
      <c r="I52" s="41">
        <v>33463</v>
      </c>
      <c r="J52" s="42">
        <v>184103.55281881499</v>
      </c>
      <c r="K52" s="40"/>
      <c r="L52" s="43">
        <v>2375634.6998262899</v>
      </c>
      <c r="M52" s="43"/>
      <c r="N52" s="43">
        <v>924956.19547960197</v>
      </c>
      <c r="O52" s="40"/>
      <c r="P52" s="40">
        <v>17416015.832021501</v>
      </c>
      <c r="Q52" s="43"/>
      <c r="R52" s="43">
        <v>21700131.217613399</v>
      </c>
      <c r="S52" s="43"/>
      <c r="T52" s="40">
        <v>82972332.497807696</v>
      </c>
      <c r="U52" s="40"/>
      <c r="V52" s="43">
        <v>116902.070177409</v>
      </c>
      <c r="W52" s="43"/>
      <c r="X52" s="43">
        <v>293624.29648360302</v>
      </c>
      <c r="Y52" s="40"/>
      <c r="Z52" s="40">
        <f t="shared" si="21"/>
        <v>-2332629.01908838</v>
      </c>
      <c r="AA52" s="40"/>
      <c r="AB52" s="40">
        <f t="shared" si="22"/>
        <v>-49149122.770122811</v>
      </c>
      <c r="AC52" s="17"/>
      <c r="AD52" s="40"/>
      <c r="AE52" s="40"/>
      <c r="AF52" s="40">
        <f>BA52/100*AF25</f>
        <v>6445230120.4430666</v>
      </c>
      <c r="AG52" s="44">
        <f t="shared" si="17"/>
        <v>-3.4114234648812492E-3</v>
      </c>
      <c r="AH52" s="44">
        <f t="shared" si="23"/>
        <v>-7.6256583320789386E-3</v>
      </c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40"/>
      <c r="AU52" s="39">
        <v>12060369</v>
      </c>
      <c r="AW52" s="39">
        <f t="shared" si="24"/>
        <v>-2.4255371910601865E-3</v>
      </c>
      <c r="AX52" s="48">
        <v>6899.5589574430996</v>
      </c>
      <c r="AY52" s="44">
        <f t="shared" si="25"/>
        <v>-9.8828339194342819E-4</v>
      </c>
      <c r="AZ52" s="39">
        <f t="shared" si="18"/>
        <v>102.65277404207721</v>
      </c>
      <c r="BA52" s="39">
        <f t="shared" si="19"/>
        <v>112.14899233891433</v>
      </c>
      <c r="BC52" s="44">
        <f t="shared" si="20"/>
        <v>1.4785996141697575E-2</v>
      </c>
    </row>
    <row r="53" spans="1:55">
      <c r="A53" s="39">
        <f t="shared" si="26"/>
        <v>2024</v>
      </c>
      <c r="B53" s="39">
        <f t="shared" si="27"/>
        <v>4</v>
      </c>
      <c r="C53" s="40"/>
      <c r="D53" s="40">
        <v>114960095.80035099</v>
      </c>
      <c r="E53" s="40"/>
      <c r="F53" s="40">
        <v>20895358.220235299</v>
      </c>
      <c r="G53" s="41">
        <v>1193613</v>
      </c>
      <c r="H53" s="41">
        <v>6566906.5532296598</v>
      </c>
      <c r="I53" s="41">
        <v>36915</v>
      </c>
      <c r="J53" s="42">
        <v>203095.43831415399</v>
      </c>
      <c r="K53" s="40"/>
      <c r="L53" s="43">
        <v>2339477.8393246899</v>
      </c>
      <c r="M53" s="43"/>
      <c r="N53" s="43">
        <v>929387.87768280099</v>
      </c>
      <c r="O53" s="40"/>
      <c r="P53" s="40">
        <v>17252779.5189206</v>
      </c>
      <c r="Q53" s="43"/>
      <c r="R53" s="43">
        <v>25057922.484846398</v>
      </c>
      <c r="S53" s="43"/>
      <c r="T53" s="40">
        <v>95811138.433550596</v>
      </c>
      <c r="U53" s="40"/>
      <c r="V53" s="43">
        <v>120285.64439693499</v>
      </c>
      <c r="W53" s="43"/>
      <c r="X53" s="43">
        <v>302122.85941153602</v>
      </c>
      <c r="Y53" s="40"/>
      <c r="Z53" s="40">
        <f t="shared" si="21"/>
        <v>1013984.1920005418</v>
      </c>
      <c r="AA53" s="40"/>
      <c r="AB53" s="40">
        <f t="shared" si="22"/>
        <v>-36401736.885720998</v>
      </c>
      <c r="AC53" s="17"/>
      <c r="AD53" s="40"/>
      <c r="AE53" s="40"/>
      <c r="AF53" s="40">
        <f>BA53/100*AF25</f>
        <v>6485184168.5690708</v>
      </c>
      <c r="AG53" s="44">
        <f t="shared" si="17"/>
        <v>6.1990103346779559E-3</v>
      </c>
      <c r="AH53" s="44">
        <f t="shared" si="23"/>
        <v>-5.6130613934057159E-3</v>
      </c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U53" s="39">
        <v>12080616</v>
      </c>
      <c r="AW53" s="39">
        <f t="shared" si="24"/>
        <v>1.6788043549911284E-3</v>
      </c>
      <c r="AX53" s="48">
        <v>6930.6941152611998</v>
      </c>
      <c r="AY53" s="44">
        <f t="shared" si="25"/>
        <v>4.5126301565279392E-3</v>
      </c>
      <c r="AZ53" s="39">
        <f t="shared" si="18"/>
        <v>103.11600804587074</v>
      </c>
      <c r="BA53" s="39">
        <f t="shared" si="19"/>
        <v>112.844205101447</v>
      </c>
      <c r="BC53" s="44">
        <f t="shared" si="20"/>
        <v>1.288043009695789E-2</v>
      </c>
    </row>
    <row r="54" spans="1:55" s="29" customFormat="1">
      <c r="A54" s="29">
        <f t="shared" si="26"/>
        <v>2025</v>
      </c>
      <c r="B54" s="29">
        <f t="shared" si="27"/>
        <v>1</v>
      </c>
      <c r="C54" s="30"/>
      <c r="D54" s="30">
        <v>115534462.50139301</v>
      </c>
      <c r="E54" s="30"/>
      <c r="F54" s="30">
        <v>20999756.167057499</v>
      </c>
      <c r="G54" s="31">
        <v>1308787</v>
      </c>
      <c r="H54" s="31">
        <v>7200559.9194058599</v>
      </c>
      <c r="I54" s="31">
        <v>40478</v>
      </c>
      <c r="J54" s="32">
        <v>222698.013059199</v>
      </c>
      <c r="K54" s="30"/>
      <c r="L54" s="33">
        <v>2841483.2976846201</v>
      </c>
      <c r="M54" s="33"/>
      <c r="N54" s="33">
        <v>936335.30917039898</v>
      </c>
      <c r="O54" s="30"/>
      <c r="P54" s="30">
        <v>19895910.947004899</v>
      </c>
      <c r="Q54" s="33"/>
      <c r="R54" s="33">
        <v>21932771.8054065</v>
      </c>
      <c r="S54" s="33"/>
      <c r="T54" s="30">
        <v>83861853.948589906</v>
      </c>
      <c r="U54" s="30"/>
      <c r="V54" s="33">
        <v>116503.17813581599</v>
      </c>
      <c r="W54" s="33"/>
      <c r="X54" s="33">
        <v>292622.39467888803</v>
      </c>
      <c r="Y54" s="30"/>
      <c r="Z54" s="30">
        <f t="shared" si="21"/>
        <v>-2728299.7903702036</v>
      </c>
      <c r="AA54" s="30"/>
      <c r="AB54" s="30">
        <f t="shared" si="22"/>
        <v>-51568519.499807999</v>
      </c>
      <c r="AC54" s="17"/>
      <c r="AD54" s="30"/>
      <c r="AE54" s="30"/>
      <c r="AF54" s="30">
        <f>BA54/100*AF25</f>
        <v>5964513252.6197195</v>
      </c>
      <c r="AG54" s="34">
        <f t="shared" si="17"/>
        <v>-8.0286218928495787E-2</v>
      </c>
      <c r="AH54" s="34">
        <f t="shared" si="23"/>
        <v>-8.6458889964169654E-3</v>
      </c>
      <c r="AS54" s="34">
        <f>AVERAGE(AG54:AG57)</f>
        <v>6.8287088661972287E-3</v>
      </c>
      <c r="AU54" s="29">
        <v>11079853</v>
      </c>
      <c r="AW54" s="29">
        <f t="shared" si="24"/>
        <v>-8.2840394893770319E-2</v>
      </c>
      <c r="AX54" s="38">
        <v>6949.9952404234</v>
      </c>
      <c r="AY54" s="34">
        <f t="shared" si="25"/>
        <v>2.7848762102629229E-3</v>
      </c>
      <c r="AZ54" s="29">
        <f t="shared" si="18"/>
        <v>103.40317336357496</v>
      </c>
      <c r="BA54" s="29">
        <f t="shared" si="19"/>
        <v>103.78437054586013</v>
      </c>
      <c r="BC54" s="34">
        <f t="shared" si="20"/>
        <v>1.4790038548614005E-2</v>
      </c>
    </row>
    <row r="55" spans="1:55" s="39" customFormat="1">
      <c r="A55" s="39">
        <f t="shared" si="26"/>
        <v>2025</v>
      </c>
      <c r="B55" s="39">
        <f t="shared" si="27"/>
        <v>2</v>
      </c>
      <c r="C55" s="40"/>
      <c r="D55" s="40">
        <v>116002559.284701</v>
      </c>
      <c r="E55" s="40"/>
      <c r="F55" s="40">
        <v>21084838.298390701</v>
      </c>
      <c r="G55" s="41">
        <v>1418796</v>
      </c>
      <c r="H55" s="41">
        <v>7805796.9795034304</v>
      </c>
      <c r="I55" s="41">
        <v>43880</v>
      </c>
      <c r="J55" s="42">
        <v>241414.81330692401</v>
      </c>
      <c r="K55" s="40"/>
      <c r="L55" s="43">
        <v>2338456.3796421601</v>
      </c>
      <c r="M55" s="43"/>
      <c r="N55" s="43">
        <v>941904.57352479897</v>
      </c>
      <c r="O55" s="40"/>
      <c r="P55" s="40">
        <v>17316342.327272501</v>
      </c>
      <c r="Q55" s="43"/>
      <c r="R55" s="43">
        <v>25161998.8623643</v>
      </c>
      <c r="S55" s="43"/>
      <c r="T55" s="40">
        <v>96209083.4834667</v>
      </c>
      <c r="U55" s="40"/>
      <c r="V55" s="43">
        <v>120925.446432557</v>
      </c>
      <c r="W55" s="43"/>
      <c r="X55" s="43">
        <v>303729.85766497301</v>
      </c>
      <c r="Y55" s="40"/>
      <c r="Z55" s="40">
        <f t="shared" si="21"/>
        <v>917725.05723919719</v>
      </c>
      <c r="AA55" s="40"/>
      <c r="AB55" s="40">
        <f t="shared" si="22"/>
        <v>-37109818.128506809</v>
      </c>
      <c r="AC55" s="17"/>
      <c r="AD55" s="40"/>
      <c r="AE55" s="40"/>
      <c r="AF55" s="40">
        <f>BA55/100*AF25</f>
        <v>5974125761.5232763</v>
      </c>
      <c r="AG55" s="44">
        <f t="shared" si="17"/>
        <v>1.6116166561177209E-3</v>
      </c>
      <c r="AH55" s="44">
        <f t="shared" si="23"/>
        <v>-6.2117571021880506E-3</v>
      </c>
      <c r="AU55" s="39">
        <v>11069835</v>
      </c>
      <c r="AW55" s="39">
        <f t="shared" si="24"/>
        <v>-9.0416362022131521E-4</v>
      </c>
      <c r="AX55" s="48">
        <v>6967.4957246711001</v>
      </c>
      <c r="AY55" s="44">
        <f t="shared" si="25"/>
        <v>2.5180570118827836E-3</v>
      </c>
      <c r="AZ55" s="39">
        <f t="shared" si="18"/>
        <v>103.66354844931405</v>
      </c>
      <c r="BA55" s="39">
        <f t="shared" si="19"/>
        <v>103.95163116607654</v>
      </c>
      <c r="BC55" s="44">
        <f t="shared" si="20"/>
        <v>1.2895636243053205E-2</v>
      </c>
    </row>
    <row r="56" spans="1:55">
      <c r="A56" s="39">
        <f t="shared" si="26"/>
        <v>2025</v>
      </c>
      <c r="B56" s="39">
        <f t="shared" si="27"/>
        <v>3</v>
      </c>
      <c r="C56" s="40"/>
      <c r="D56" s="40">
        <v>115952203.455163</v>
      </c>
      <c r="E56" s="40"/>
      <c r="F56" s="40">
        <v>21075685.530299</v>
      </c>
      <c r="G56" s="41">
        <v>1538285</v>
      </c>
      <c r="H56" s="41">
        <v>8463190.2025488093</v>
      </c>
      <c r="I56" s="41">
        <v>47576</v>
      </c>
      <c r="J56" s="42">
        <v>261749.114810625</v>
      </c>
      <c r="K56" s="40"/>
      <c r="L56" s="43">
        <v>2388736.4993138602</v>
      </c>
      <c r="M56" s="43"/>
      <c r="N56" s="43">
        <v>942602.46619399998</v>
      </c>
      <c r="O56" s="40"/>
      <c r="P56" s="40">
        <v>17581085.706824899</v>
      </c>
      <c r="Q56" s="43"/>
      <c r="R56" s="43">
        <v>22281367.1530114</v>
      </c>
      <c r="S56" s="43"/>
      <c r="T56" s="40">
        <v>85194738.473508507</v>
      </c>
      <c r="U56" s="40"/>
      <c r="V56" s="43">
        <v>121657.31119433</v>
      </c>
      <c r="W56" s="43"/>
      <c r="X56" s="43">
        <v>305568.09094408102</v>
      </c>
      <c r="Y56" s="40"/>
      <c r="Z56" s="40">
        <f t="shared" si="21"/>
        <v>-2004000.031601131</v>
      </c>
      <c r="AA56" s="40"/>
      <c r="AB56" s="40">
        <f t="shared" si="22"/>
        <v>-48338550.688479394</v>
      </c>
      <c r="AC56" s="17"/>
      <c r="AD56" s="40"/>
      <c r="AE56" s="40"/>
      <c r="AF56" s="40">
        <f>BA56/100*AF25</f>
        <v>6573731568.0816727</v>
      </c>
      <c r="AG56" s="44">
        <f t="shared" si="17"/>
        <v>0.10036712156617029</v>
      </c>
      <c r="AH56" s="44">
        <f t="shared" si="23"/>
        <v>-7.353289404633449E-3</v>
      </c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40"/>
      <c r="AU56" s="39">
        <v>12124559</v>
      </c>
      <c r="AW56" s="39">
        <f t="shared" si="24"/>
        <v>9.5279107592841264E-2</v>
      </c>
      <c r="AX56" s="48">
        <v>6999.8625573445997</v>
      </c>
      <c r="AY56" s="44">
        <f t="shared" si="25"/>
        <v>4.6454040235564698E-3</v>
      </c>
      <c r="AZ56" s="39">
        <f t="shared" si="18"/>
        <v>104.14510751437663</v>
      </c>
      <c r="BA56" s="39">
        <f t="shared" si="19"/>
        <v>114.38495716832384</v>
      </c>
      <c r="BC56" s="44">
        <f t="shared" si="20"/>
        <v>1.4763878004825986E-2</v>
      </c>
    </row>
    <row r="57" spans="1:55">
      <c r="A57" s="39">
        <f t="shared" si="26"/>
        <v>2025</v>
      </c>
      <c r="B57" s="39">
        <f t="shared" si="27"/>
        <v>4</v>
      </c>
      <c r="C57" s="40"/>
      <c r="D57" s="40">
        <v>116390134.754429</v>
      </c>
      <c r="E57" s="40"/>
      <c r="F57" s="40">
        <v>21155284.7278319</v>
      </c>
      <c r="G57" s="41">
        <v>1638558</v>
      </c>
      <c r="H57" s="41">
        <v>9014862.6632307805</v>
      </c>
      <c r="I57" s="41">
        <v>50677</v>
      </c>
      <c r="J57" s="42">
        <v>278809.90186770703</v>
      </c>
      <c r="K57" s="40"/>
      <c r="L57" s="43">
        <v>2370154.9503216902</v>
      </c>
      <c r="M57" s="43"/>
      <c r="N57" s="43">
        <v>948710.24373060104</v>
      </c>
      <c r="O57" s="40"/>
      <c r="P57" s="40">
        <v>17518269.150692198</v>
      </c>
      <c r="Q57" s="43"/>
      <c r="R57" s="43">
        <v>25584570.0464692</v>
      </c>
      <c r="S57" s="43"/>
      <c r="T57" s="40">
        <v>97824821.030854702</v>
      </c>
      <c r="U57" s="40"/>
      <c r="V57" s="43">
        <v>120540.400690718</v>
      </c>
      <c r="W57" s="43"/>
      <c r="X57" s="43">
        <v>302762.73377324099</v>
      </c>
      <c r="Y57" s="40"/>
      <c r="Z57" s="40">
        <f t="shared" si="21"/>
        <v>1230960.5252757296</v>
      </c>
      <c r="AA57" s="40"/>
      <c r="AB57" s="40">
        <f t="shared" si="22"/>
        <v>-36083582.87426649</v>
      </c>
      <c r="AC57" s="17"/>
      <c r="AD57" s="40"/>
      <c r="AE57" s="40"/>
      <c r="AF57" s="40">
        <f>BA57/100*AF25</f>
        <v>6610691165.3806896</v>
      </c>
      <c r="AG57" s="44">
        <f t="shared" si="17"/>
        <v>5.62231617099668E-3</v>
      </c>
      <c r="AH57" s="44">
        <f t="shared" si="23"/>
        <v>-5.458367661044493E-3</v>
      </c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U57" s="39">
        <v>12188586</v>
      </c>
      <c r="AW57" s="39">
        <f t="shared" si="24"/>
        <v>5.2807693871587411E-3</v>
      </c>
      <c r="AX57" s="48">
        <v>7002.2407790480001</v>
      </c>
      <c r="AY57" s="44">
        <f t="shared" si="25"/>
        <v>3.3975262855769452E-4</v>
      </c>
      <c r="AZ57" s="39">
        <f t="shared" si="18"/>
        <v>104.18049108840607</v>
      </c>
      <c r="BA57" s="39">
        <f t="shared" si="19"/>
        <v>115.02806556273006</v>
      </c>
      <c r="BC57" s="44">
        <f t="shared" si="20"/>
        <v>1.28829914902621E-2</v>
      </c>
    </row>
    <row r="58" spans="1:55" s="29" customFormat="1">
      <c r="A58" s="29">
        <f t="shared" si="26"/>
        <v>2026</v>
      </c>
      <c r="B58" s="29">
        <f t="shared" si="27"/>
        <v>1</v>
      </c>
      <c r="C58" s="30"/>
      <c r="D58" s="30">
        <v>116485876.123734</v>
      </c>
      <c r="E58" s="30"/>
      <c r="F58" s="30">
        <v>21172686.855015099</v>
      </c>
      <c r="G58" s="31">
        <v>1750809</v>
      </c>
      <c r="H58" s="31">
        <v>9632434.5458314102</v>
      </c>
      <c r="I58" s="31">
        <v>54149</v>
      </c>
      <c r="J58" s="32">
        <v>297911.82146209298</v>
      </c>
      <c r="K58" s="30"/>
      <c r="L58" s="33">
        <v>2862025.8021335602</v>
      </c>
      <c r="M58" s="33"/>
      <c r="N58" s="33">
        <v>951142.020269003</v>
      </c>
      <c r="O58" s="30"/>
      <c r="P58" s="30">
        <v>20083968.256023899</v>
      </c>
      <c r="Q58" s="33"/>
      <c r="R58" s="33">
        <v>22550794.607725799</v>
      </c>
      <c r="S58" s="33"/>
      <c r="T58" s="30">
        <v>86224917.698344499</v>
      </c>
      <c r="U58" s="30"/>
      <c r="V58" s="33">
        <v>125232.085180169</v>
      </c>
      <c r="W58" s="33"/>
      <c r="X58" s="33">
        <v>314546.89256056998</v>
      </c>
      <c r="Y58" s="30"/>
      <c r="Z58" s="30">
        <f t="shared" si="21"/>
        <v>-2309827.9845116921</v>
      </c>
      <c r="AA58" s="30"/>
      <c r="AB58" s="30">
        <f t="shared" si="22"/>
        <v>-50344926.681413397</v>
      </c>
      <c r="AC58" s="17"/>
      <c r="AD58" s="30"/>
      <c r="AE58" s="30"/>
      <c r="AF58" s="30">
        <f>BA58/100*AF25</f>
        <v>6654219702.5128689</v>
      </c>
      <c r="AG58" s="34">
        <f t="shared" ref="AG58:AG89" si="28">(AF58-AF57)/AF57</f>
        <v>6.584566733374631E-3</v>
      </c>
      <c r="AH58" s="34">
        <f t="shared" si="23"/>
        <v>-7.5658648094233151E-3</v>
      </c>
      <c r="AS58" s="34">
        <f>AVERAGE(AG58:AG61)</f>
        <v>3.4799720379181647E-3</v>
      </c>
      <c r="AU58" s="29">
        <v>12267596</v>
      </c>
      <c r="AW58" s="29">
        <f t="shared" si="24"/>
        <v>6.4822941725972147E-3</v>
      </c>
      <c r="AX58" s="38">
        <v>7002.9523038306997</v>
      </c>
      <c r="AY58" s="34">
        <f t="shared" si="25"/>
        <v>1.0161386978131516E-4</v>
      </c>
      <c r="AZ58" s="29">
        <f t="shared" ref="AZ58:AZ89" si="29">AZ57*((1+AY58))</f>
        <v>104.19107727126129</v>
      </c>
      <c r="BA58" s="29">
        <f t="shared" si="19"/>
        <v>115.78547553663884</v>
      </c>
      <c r="BC58" s="34">
        <f t="shared" si="20"/>
        <v>1.4842787101366019E-2</v>
      </c>
    </row>
    <row r="59" spans="1:55" s="39" customFormat="1">
      <c r="A59" s="39">
        <f t="shared" si="26"/>
        <v>2026</v>
      </c>
      <c r="B59" s="39">
        <f t="shared" si="27"/>
        <v>2</v>
      </c>
      <c r="C59" s="40"/>
      <c r="D59" s="40">
        <v>117162507.878547</v>
      </c>
      <c r="E59" s="40"/>
      <c r="F59" s="40">
        <v>21295672.685894702</v>
      </c>
      <c r="G59" s="41">
        <v>1860876</v>
      </c>
      <c r="H59" s="41">
        <v>10237990.7048162</v>
      </c>
      <c r="I59" s="41">
        <v>57553</v>
      </c>
      <c r="J59" s="42">
        <v>316639.62511972198</v>
      </c>
      <c r="K59" s="40"/>
      <c r="L59" s="43">
        <v>2377545.76447294</v>
      </c>
      <c r="M59" s="43"/>
      <c r="N59" s="43">
        <v>957899.16160949704</v>
      </c>
      <c r="O59" s="40"/>
      <c r="P59" s="40">
        <v>17607174.8354581</v>
      </c>
      <c r="Q59" s="43"/>
      <c r="R59" s="43">
        <v>25828203.930466101</v>
      </c>
      <c r="S59" s="43"/>
      <c r="T59" s="40">
        <v>98756376.302479595</v>
      </c>
      <c r="U59" s="40"/>
      <c r="V59" s="43">
        <v>124987.681582183</v>
      </c>
      <c r="W59" s="43"/>
      <c r="X59" s="43">
        <v>313933.02118594199</v>
      </c>
      <c r="Y59" s="40"/>
      <c r="Z59" s="40">
        <f t="shared" si="21"/>
        <v>1322074.0000711456</v>
      </c>
      <c r="AA59" s="40"/>
      <c r="AB59" s="40">
        <f t="shared" si="22"/>
        <v>-36013306.411525503</v>
      </c>
      <c r="AC59" s="17"/>
      <c r="AD59" s="40"/>
      <c r="AE59" s="40"/>
      <c r="AF59" s="40">
        <f>BA59/100*AF25</f>
        <v>6679047888.0201721</v>
      </c>
      <c r="AG59" s="44">
        <f t="shared" si="28"/>
        <v>3.7311941320373352E-3</v>
      </c>
      <c r="AH59" s="44">
        <f t="shared" si="23"/>
        <v>-5.3919820632100154E-3</v>
      </c>
      <c r="AU59" s="39">
        <v>12278304</v>
      </c>
      <c r="AW59" s="39">
        <f t="shared" si="24"/>
        <v>8.7286865332050388E-4</v>
      </c>
      <c r="AX59" s="48">
        <v>7022.9515640995996</v>
      </c>
      <c r="AY59" s="44">
        <f t="shared" si="25"/>
        <v>2.8558327118635451E-3</v>
      </c>
      <c r="AZ59" s="39">
        <f t="shared" si="29"/>
        <v>104.48862955801685</v>
      </c>
      <c r="BA59" s="39">
        <f t="shared" si="19"/>
        <v>116.21749362353631</v>
      </c>
      <c r="BC59" s="44">
        <f t="shared" si="20"/>
        <v>1.2987997640481388E-2</v>
      </c>
    </row>
    <row r="60" spans="1:55">
      <c r="A60" s="39">
        <f t="shared" si="26"/>
        <v>2026</v>
      </c>
      <c r="B60" s="39">
        <f t="shared" si="27"/>
        <v>3</v>
      </c>
      <c r="C60" s="40"/>
      <c r="D60" s="40">
        <v>117626960.264634</v>
      </c>
      <c r="E60" s="40"/>
      <c r="F60" s="40">
        <v>21380092.404893398</v>
      </c>
      <c r="G60" s="41">
        <v>2014938</v>
      </c>
      <c r="H60" s="41">
        <v>11085594.3731775</v>
      </c>
      <c r="I60" s="41">
        <v>62317</v>
      </c>
      <c r="J60" s="42">
        <v>342849.74751247902</v>
      </c>
      <c r="K60" s="40"/>
      <c r="L60" s="43">
        <v>2311946.0178653002</v>
      </c>
      <c r="M60" s="43"/>
      <c r="N60" s="43">
        <v>963306.93599750102</v>
      </c>
      <c r="O60" s="40"/>
      <c r="P60" s="40">
        <v>17296529.417594399</v>
      </c>
      <c r="Q60" s="43"/>
      <c r="R60" s="43">
        <v>22688728.359577999</v>
      </c>
      <c r="S60" s="43"/>
      <c r="T60" s="40">
        <v>86752319.353504196</v>
      </c>
      <c r="U60" s="40"/>
      <c r="V60" s="43">
        <v>121406.995246323</v>
      </c>
      <c r="W60" s="43"/>
      <c r="X60" s="43">
        <v>304939.369450778</v>
      </c>
      <c r="Y60" s="40"/>
      <c r="Z60" s="40">
        <f t="shared" si="21"/>
        <v>-1845210.0039318763</v>
      </c>
      <c r="AA60" s="40"/>
      <c r="AB60" s="40">
        <f t="shared" si="22"/>
        <v>-48171170.328724205</v>
      </c>
      <c r="AC60" s="17"/>
      <c r="AD60" s="40"/>
      <c r="AE60" s="40"/>
      <c r="AF60" s="40">
        <f>BA60/100*AF25</f>
        <v>6735203615.1334286</v>
      </c>
      <c r="AG60" s="44">
        <f t="shared" si="28"/>
        <v>8.4077443454148287E-3</v>
      </c>
      <c r="AH60" s="44">
        <f t="shared" si="23"/>
        <v>-7.1521475936507234E-3</v>
      </c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40"/>
      <c r="AU60" s="39">
        <v>12353695</v>
      </c>
      <c r="AW60" s="39">
        <f t="shared" si="24"/>
        <v>6.140180272454567E-3</v>
      </c>
      <c r="AX60" s="48">
        <v>7038.7793711637996</v>
      </c>
      <c r="AY60" s="44">
        <f t="shared" si="25"/>
        <v>2.2537257903229241E-3</v>
      </c>
      <c r="AZ60" s="39">
        <f t="shared" si="29"/>
        <v>104.72411827724726</v>
      </c>
      <c r="BA60" s="39">
        <f t="shared" si="19"/>
        <v>117.19462059838789</v>
      </c>
      <c r="BC60" s="44">
        <f t="shared" si="20"/>
        <v>1.472792290229233E-2</v>
      </c>
    </row>
    <row r="61" spans="1:55">
      <c r="A61" s="39">
        <f t="shared" si="26"/>
        <v>2026</v>
      </c>
      <c r="B61" s="39">
        <f t="shared" si="27"/>
        <v>4</v>
      </c>
      <c r="C61" s="40"/>
      <c r="D61" s="40">
        <v>117834321.880851</v>
      </c>
      <c r="E61" s="40"/>
      <c r="F61" s="40">
        <v>21417782.833227001</v>
      </c>
      <c r="G61" s="41">
        <v>2120204</v>
      </c>
      <c r="H61" s="41">
        <v>11664736.8466863</v>
      </c>
      <c r="I61" s="41">
        <v>65573</v>
      </c>
      <c r="J61" s="42">
        <v>360763.29883716803</v>
      </c>
      <c r="K61" s="40"/>
      <c r="L61" s="43">
        <v>2343662.5356457098</v>
      </c>
      <c r="M61" s="43"/>
      <c r="N61" s="43">
        <v>966376.67024070001</v>
      </c>
      <c r="O61" s="40"/>
      <c r="P61" s="40">
        <v>17477995.351218998</v>
      </c>
      <c r="Q61" s="43"/>
      <c r="R61" s="43">
        <v>25927335.3742975</v>
      </c>
      <c r="S61" s="43"/>
      <c r="T61" s="40">
        <v>99135413.969859794</v>
      </c>
      <c r="U61" s="40"/>
      <c r="V61" s="43">
        <v>123216.978572009</v>
      </c>
      <c r="W61" s="43"/>
      <c r="X61" s="43">
        <v>309485.52573222801</v>
      </c>
      <c r="Y61" s="40"/>
      <c r="Z61" s="40">
        <f t="shared" si="21"/>
        <v>1322730.3137560971</v>
      </c>
      <c r="AA61" s="40"/>
      <c r="AB61" s="40">
        <f t="shared" si="22"/>
        <v>-36176903.262210205</v>
      </c>
      <c r="AC61" s="17"/>
      <c r="AD61" s="40"/>
      <c r="AE61" s="40"/>
      <c r="AF61" s="40">
        <f>BA61/100*AF25</f>
        <v>6702850276.150897</v>
      </c>
      <c r="AG61" s="44">
        <f t="shared" si="28"/>
        <v>-4.8036170591541361E-3</v>
      </c>
      <c r="AH61" s="44">
        <f t="shared" si="23"/>
        <v>-5.3972417362401154E-3</v>
      </c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U61" s="39">
        <v>12320483</v>
      </c>
      <c r="AW61" s="39">
        <f t="shared" si="24"/>
        <v>-2.6884264181688149E-3</v>
      </c>
      <c r="AX61" s="48">
        <v>7023.8508767552003</v>
      </c>
      <c r="AY61" s="44">
        <f t="shared" si="25"/>
        <v>-2.1208925044245378E-3</v>
      </c>
      <c r="AZ61" s="39">
        <f t="shared" si="29"/>
        <v>104.50200967976058</v>
      </c>
      <c r="BA61" s="39">
        <f t="shared" si="19"/>
        <v>116.63166251964036</v>
      </c>
      <c r="BC61" s="44">
        <f t="shared" si="20"/>
        <v>1.3097677951162902E-2</v>
      </c>
    </row>
    <row r="62" spans="1:55" s="29" customFormat="1">
      <c r="A62" s="29">
        <f t="shared" si="26"/>
        <v>2027</v>
      </c>
      <c r="B62" s="29">
        <f t="shared" si="27"/>
        <v>1</v>
      </c>
      <c r="C62" s="30"/>
      <c r="D62" s="30">
        <v>118035587.472718</v>
      </c>
      <c r="E62" s="30"/>
      <c r="F62" s="30">
        <v>21454365.236974999</v>
      </c>
      <c r="G62" s="31">
        <v>2261029</v>
      </c>
      <c r="H62" s="31">
        <v>12439514.446593899</v>
      </c>
      <c r="I62" s="31">
        <v>69929</v>
      </c>
      <c r="J62" s="32">
        <v>384728.72560938698</v>
      </c>
      <c r="K62" s="30"/>
      <c r="L62" s="33">
        <v>2868539.33335701</v>
      </c>
      <c r="M62" s="33"/>
      <c r="N62" s="33">
        <v>969919.4899396</v>
      </c>
      <c r="O62" s="30"/>
      <c r="P62" s="30">
        <v>20221075.098384801</v>
      </c>
      <c r="Q62" s="33"/>
      <c r="R62" s="33">
        <v>22850625.7555856</v>
      </c>
      <c r="S62" s="33"/>
      <c r="T62" s="30">
        <v>87371348.079061896</v>
      </c>
      <c r="U62" s="30"/>
      <c r="V62" s="33">
        <v>126504.985472108</v>
      </c>
      <c r="W62" s="33"/>
      <c r="X62" s="33">
        <v>317744.05110658403</v>
      </c>
      <c r="Y62" s="30"/>
      <c r="Z62" s="30">
        <f t="shared" si="21"/>
        <v>-2315693.3192139007</v>
      </c>
      <c r="AA62" s="30"/>
      <c r="AB62" s="30">
        <f t="shared" si="22"/>
        <v>-50885314.492040902</v>
      </c>
      <c r="AC62" s="17"/>
      <c r="AD62" s="30"/>
      <c r="AE62" s="30"/>
      <c r="AF62" s="30">
        <f>BA62/100*AF25</f>
        <v>6775264626.9103842</v>
      </c>
      <c r="AG62" s="34">
        <f t="shared" si="28"/>
        <v>1.080351608287318E-2</v>
      </c>
      <c r="AH62" s="34">
        <f t="shared" si="23"/>
        <v>-7.510454173248333E-3</v>
      </c>
      <c r="AS62" s="34">
        <f>AVERAGE(AG62:AG65)</f>
        <v>2.2810723301122226E-3</v>
      </c>
      <c r="AU62" s="29">
        <v>12398427</v>
      </c>
      <c r="AW62" s="29">
        <f t="shared" si="24"/>
        <v>6.3263753539532499E-3</v>
      </c>
      <c r="AX62" s="38">
        <v>7055.0999522086004</v>
      </c>
      <c r="AY62" s="34">
        <f t="shared" si="25"/>
        <v>4.4489947183839144E-3</v>
      </c>
      <c r="AZ62" s="29">
        <f t="shared" si="29"/>
        <v>104.96693856888633</v>
      </c>
      <c r="BA62" s="29">
        <f t="shared" si="19"/>
        <v>117.89169456144356</v>
      </c>
      <c r="BC62" s="34">
        <f t="shared" si="20"/>
        <v>1.4836299624482517E-2</v>
      </c>
    </row>
    <row r="63" spans="1:55" s="39" customFormat="1">
      <c r="A63" s="39">
        <f t="shared" si="26"/>
        <v>2027</v>
      </c>
      <c r="B63" s="39">
        <f t="shared" si="27"/>
        <v>2</v>
      </c>
      <c r="C63" s="40"/>
      <c r="D63" s="40">
        <v>118094994.44530199</v>
      </c>
      <c r="E63" s="40"/>
      <c r="F63" s="40">
        <v>21465163.157455798</v>
      </c>
      <c r="G63" s="41">
        <v>2367621</v>
      </c>
      <c r="H63" s="41">
        <v>13025952.180869499</v>
      </c>
      <c r="I63" s="41">
        <v>73226</v>
      </c>
      <c r="J63" s="42">
        <v>402867.84683712001</v>
      </c>
      <c r="K63" s="40"/>
      <c r="L63" s="43">
        <v>2316602.5974676898</v>
      </c>
      <c r="M63" s="43"/>
      <c r="N63" s="43">
        <v>971469.84945720097</v>
      </c>
      <c r="O63" s="40"/>
      <c r="P63" s="40">
        <v>17365602.372694101</v>
      </c>
      <c r="Q63" s="43"/>
      <c r="R63" s="43">
        <v>26053254.498206899</v>
      </c>
      <c r="S63" s="43"/>
      <c r="T63" s="40">
        <v>99616876.653751895</v>
      </c>
      <c r="U63" s="40"/>
      <c r="V63" s="43">
        <v>122194.29217690301</v>
      </c>
      <c r="W63" s="43"/>
      <c r="X63" s="43">
        <v>306916.83235639101</v>
      </c>
      <c r="Y63" s="40"/>
      <c r="Z63" s="40">
        <f t="shared" si="21"/>
        <v>1422213.1860031113</v>
      </c>
      <c r="AA63" s="40"/>
      <c r="AB63" s="40">
        <f t="shared" si="22"/>
        <v>-35843720.164244205</v>
      </c>
      <c r="AC63" s="17"/>
      <c r="AD63" s="40"/>
      <c r="AE63" s="40"/>
      <c r="AF63" s="40">
        <f>BA63/100*AF25</f>
        <v>6747338105.9630356</v>
      </c>
      <c r="AG63" s="44">
        <f t="shared" si="28"/>
        <v>-4.1218347157140458E-3</v>
      </c>
      <c r="AH63" s="44">
        <f t="shared" si="23"/>
        <v>-5.3122756858096252E-3</v>
      </c>
      <c r="AU63" s="39">
        <v>12311656</v>
      </c>
      <c r="AW63" s="39">
        <f t="shared" si="24"/>
        <v>-6.9985490901386116E-3</v>
      </c>
      <c r="AX63" s="48">
        <v>7075.5384998330001</v>
      </c>
      <c r="AY63" s="44">
        <f t="shared" si="25"/>
        <v>2.896989094818054E-3</v>
      </c>
      <c r="AZ63" s="39">
        <f t="shared" si="29"/>
        <v>105.27102664523683</v>
      </c>
      <c r="BA63" s="39">
        <f t="shared" si="19"/>
        <v>117.40576448210582</v>
      </c>
      <c r="BC63" s="44">
        <f t="shared" si="20"/>
        <v>1.295736606384388E-2</v>
      </c>
    </row>
    <row r="64" spans="1:55">
      <c r="A64" s="39">
        <f t="shared" si="26"/>
        <v>2027</v>
      </c>
      <c r="B64" s="39">
        <f t="shared" si="27"/>
        <v>3</v>
      </c>
      <c r="C64" s="40"/>
      <c r="D64" s="40">
        <v>118401692.55338299</v>
      </c>
      <c r="E64" s="40"/>
      <c r="F64" s="40">
        <v>21520909.169054002</v>
      </c>
      <c r="G64" s="41">
        <v>2504763</v>
      </c>
      <c r="H64" s="41">
        <v>13780467.0014378</v>
      </c>
      <c r="I64" s="41">
        <v>77467</v>
      </c>
      <c r="J64" s="42">
        <v>426200.57753982401</v>
      </c>
      <c r="K64" s="40"/>
      <c r="L64" s="43">
        <v>2298996.5327228699</v>
      </c>
      <c r="M64" s="43"/>
      <c r="N64" s="43">
        <v>975312.90407339903</v>
      </c>
      <c r="O64" s="40"/>
      <c r="P64" s="40">
        <v>17295387.771651398</v>
      </c>
      <c r="Q64" s="43"/>
      <c r="R64" s="43">
        <v>22952107.973299898</v>
      </c>
      <c r="S64" s="43"/>
      <c r="T64" s="40">
        <v>87759374.134128794</v>
      </c>
      <c r="U64" s="40"/>
      <c r="V64" s="43">
        <v>122631.351069136</v>
      </c>
      <c r="W64" s="43"/>
      <c r="X64" s="43">
        <v>308014.59828610602</v>
      </c>
      <c r="Y64" s="40"/>
      <c r="Z64" s="40">
        <f t="shared" si="21"/>
        <v>-1720479.2814812362</v>
      </c>
      <c r="AA64" s="40"/>
      <c r="AB64" s="40">
        <f t="shared" si="22"/>
        <v>-47937706.190905601</v>
      </c>
      <c r="AC64" s="17"/>
      <c r="AD64" s="40"/>
      <c r="AE64" s="40"/>
      <c r="AF64" s="40">
        <f>BA64/100*AF25</f>
        <v>6812033851.0247173</v>
      </c>
      <c r="AG64" s="44">
        <f t="shared" si="28"/>
        <v>9.5883360290639884E-3</v>
      </c>
      <c r="AH64" s="44">
        <f t="shared" si="23"/>
        <v>-7.0372090390734702E-3</v>
      </c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40"/>
      <c r="AU64" s="39">
        <v>12349182</v>
      </c>
      <c r="AW64" s="39">
        <f t="shared" si="24"/>
        <v>3.0480058897032212E-3</v>
      </c>
      <c r="AX64" s="48">
        <v>7121.6742355414999</v>
      </c>
      <c r="AY64" s="44">
        <f t="shared" si="25"/>
        <v>6.5204557518256405E-3</v>
      </c>
      <c r="AZ64" s="39">
        <f t="shared" si="29"/>
        <v>105.95744171642636</v>
      </c>
      <c r="BA64" s="39">
        <f t="shared" si="19"/>
        <v>118.53149040370941</v>
      </c>
      <c r="BC64" s="44">
        <f t="shared" si="20"/>
        <v>1.4821221140100144E-2</v>
      </c>
    </row>
    <row r="65" spans="1:55">
      <c r="A65" s="39">
        <f t="shared" si="26"/>
        <v>2027</v>
      </c>
      <c r="B65" s="39">
        <f t="shared" si="27"/>
        <v>4</v>
      </c>
      <c r="C65" s="40"/>
      <c r="D65" s="40">
        <v>118490383.39082301</v>
      </c>
      <c r="E65" s="40"/>
      <c r="F65" s="40">
        <v>21537029.7786122</v>
      </c>
      <c r="G65" s="41">
        <v>2641855</v>
      </c>
      <c r="H65" s="41">
        <v>14534706.7367585</v>
      </c>
      <c r="I65" s="41">
        <v>81707</v>
      </c>
      <c r="J65" s="42">
        <v>449527.80653757602</v>
      </c>
      <c r="K65" s="40"/>
      <c r="L65" s="43">
        <v>2283622.5746672801</v>
      </c>
      <c r="M65" s="43"/>
      <c r="N65" s="43">
        <v>977421.48062520102</v>
      </c>
      <c r="O65" s="40"/>
      <c r="P65" s="40">
        <v>17227212.9962736</v>
      </c>
      <c r="Q65" s="43"/>
      <c r="R65" s="43">
        <v>26254685.8009018</v>
      </c>
      <c r="S65" s="43"/>
      <c r="T65" s="40">
        <v>100387066.697999</v>
      </c>
      <c r="U65" s="40"/>
      <c r="V65" s="43">
        <v>124194.74334548099</v>
      </c>
      <c r="W65" s="43"/>
      <c r="X65" s="43">
        <v>311941.38894578401</v>
      </c>
      <c r="Y65" s="40"/>
      <c r="Z65" s="40">
        <f t="shared" si="21"/>
        <v>1580806.7103426009</v>
      </c>
      <c r="AA65" s="40"/>
      <c r="AB65" s="40">
        <f t="shared" si="22"/>
        <v>-35330529.689097613</v>
      </c>
      <c r="AC65" s="17"/>
      <c r="AD65" s="40"/>
      <c r="AE65" s="40"/>
      <c r="AF65" s="40">
        <f>BA65/100*AF25</f>
        <v>6763356909.4823256</v>
      </c>
      <c r="AG65" s="44">
        <f t="shared" si="28"/>
        <v>-7.1457280757742311E-3</v>
      </c>
      <c r="AH65" s="44">
        <f t="shared" si="23"/>
        <v>-5.2238156527808985E-3</v>
      </c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U65" s="39">
        <v>12304396</v>
      </c>
      <c r="AW65" s="39">
        <f t="shared" si="24"/>
        <v>-3.6266369707726388E-3</v>
      </c>
      <c r="AX65" s="48">
        <v>7096.5211941365997</v>
      </c>
      <c r="AY65" s="44">
        <f t="shared" si="25"/>
        <v>-3.5319000242065588E-3</v>
      </c>
      <c r="AZ65" s="39">
        <f t="shared" si="29"/>
        <v>105.58321062546325</v>
      </c>
      <c r="BA65" s="39">
        <f t="shared" si="19"/>
        <v>117.68449660486826</v>
      </c>
      <c r="BC65" s="44">
        <f t="shared" si="20"/>
        <v>1.2712328281889323E-2</v>
      </c>
    </row>
    <row r="66" spans="1:55" s="29" customFormat="1">
      <c r="A66" s="29">
        <f t="shared" si="26"/>
        <v>2028</v>
      </c>
      <c r="B66" s="29">
        <f t="shared" si="27"/>
        <v>1</v>
      </c>
      <c r="C66" s="30"/>
      <c r="D66" s="30">
        <v>118928337.32339799</v>
      </c>
      <c r="E66" s="30"/>
      <c r="F66" s="30">
        <v>21616633.090016901</v>
      </c>
      <c r="G66" s="31">
        <v>2755357</v>
      </c>
      <c r="H66" s="31">
        <v>15159161.252254499</v>
      </c>
      <c r="I66" s="31">
        <v>85217</v>
      </c>
      <c r="J66" s="32">
        <v>468838.79092014901</v>
      </c>
      <c r="K66" s="30"/>
      <c r="L66" s="33">
        <v>2851009.2979847901</v>
      </c>
      <c r="M66" s="33"/>
      <c r="N66" s="33">
        <v>982581.78765089798</v>
      </c>
      <c r="O66" s="30"/>
      <c r="P66" s="30">
        <v>20199775.887529802</v>
      </c>
      <c r="Q66" s="33"/>
      <c r="R66" s="33">
        <v>23288004.165642299</v>
      </c>
      <c r="S66" s="33"/>
      <c r="T66" s="30">
        <v>89043702.338243902</v>
      </c>
      <c r="U66" s="30"/>
      <c r="V66" s="33">
        <v>124979.262822164</v>
      </c>
      <c r="W66" s="33"/>
      <c r="X66" s="33">
        <v>313911.87568797002</v>
      </c>
      <c r="Y66" s="30"/>
      <c r="Z66" s="30">
        <f t="shared" si="21"/>
        <v>-2037240.7471881285</v>
      </c>
      <c r="AA66" s="30"/>
      <c r="AB66" s="30">
        <f t="shared" si="22"/>
        <v>-50084410.872683898</v>
      </c>
      <c r="AC66" s="17"/>
      <c r="AD66" s="30"/>
      <c r="AE66" s="30"/>
      <c r="AF66" s="30">
        <f>BA66/100*AF25</f>
        <v>6855845281.3934746</v>
      </c>
      <c r="AG66" s="34">
        <f t="shared" si="28"/>
        <v>1.3674921070848556E-2</v>
      </c>
      <c r="AH66" s="34">
        <f t="shared" si="23"/>
        <v>-7.3053589771944309E-3</v>
      </c>
      <c r="AS66" s="34">
        <f>AVERAGE(AG66:AG69)</f>
        <v>6.9663208536922608E-3</v>
      </c>
      <c r="AU66" s="29">
        <v>12421408</v>
      </c>
      <c r="AW66" s="29">
        <f t="shared" si="24"/>
        <v>9.5097719546737604E-3</v>
      </c>
      <c r="AX66" s="38">
        <v>7125.8008205462002</v>
      </c>
      <c r="AY66" s="34">
        <f t="shared" si="25"/>
        <v>4.1259126279778284E-3</v>
      </c>
      <c r="AZ66" s="29">
        <f t="shared" si="29"/>
        <v>106.01883772748529</v>
      </c>
      <c r="BA66" s="29">
        <f t="shared" si="19"/>
        <v>119.29382280720237</v>
      </c>
      <c r="BC66" s="34">
        <f t="shared" si="20"/>
        <v>1.4783558637610996E-2</v>
      </c>
    </row>
    <row r="67" spans="1:55" s="39" customFormat="1">
      <c r="A67" s="39">
        <f t="shared" si="26"/>
        <v>2028</v>
      </c>
      <c r="B67" s="39">
        <f t="shared" si="27"/>
        <v>2</v>
      </c>
      <c r="C67" s="40"/>
      <c r="D67" s="40">
        <v>119361645.683879</v>
      </c>
      <c r="E67" s="40"/>
      <c r="F67" s="40">
        <v>21695392.013702799</v>
      </c>
      <c r="G67" s="41">
        <v>2902204</v>
      </c>
      <c r="H67" s="41">
        <v>15967070.1193849</v>
      </c>
      <c r="I67" s="41">
        <v>89759</v>
      </c>
      <c r="J67" s="42">
        <v>493827.53481349599</v>
      </c>
      <c r="K67" s="40"/>
      <c r="L67" s="43">
        <v>2276951.0120802401</v>
      </c>
      <c r="M67" s="43"/>
      <c r="N67" s="43">
        <v>987819.51801190095</v>
      </c>
      <c r="O67" s="40"/>
      <c r="P67" s="40">
        <v>17249801.160078801</v>
      </c>
      <c r="Q67" s="43"/>
      <c r="R67" s="43">
        <v>26753640.507731698</v>
      </c>
      <c r="S67" s="43"/>
      <c r="T67" s="40">
        <v>102294863.264816</v>
      </c>
      <c r="U67" s="40"/>
      <c r="V67" s="43">
        <v>128272.16728249</v>
      </c>
      <c r="W67" s="43"/>
      <c r="X67" s="43">
        <v>322182.70232161001</v>
      </c>
      <c r="Y67" s="40"/>
      <c r="Z67" s="40">
        <f t="shared" si="21"/>
        <v>1921750.1312192455</v>
      </c>
      <c r="AA67" s="40"/>
      <c r="AB67" s="40">
        <f t="shared" si="22"/>
        <v>-34316583.579141811</v>
      </c>
      <c r="AC67" s="17"/>
      <c r="AD67" s="40"/>
      <c r="AE67" s="40"/>
      <c r="AF67" s="40">
        <f>BA67/100*AF25</f>
        <v>6945640871.6597977</v>
      </c>
      <c r="AG67" s="44">
        <f t="shared" si="28"/>
        <v>1.3097668716361671E-2</v>
      </c>
      <c r="AH67" s="44">
        <f t="shared" si="23"/>
        <v>-4.9407368179894377E-3</v>
      </c>
      <c r="AU67" s="39">
        <v>12520705</v>
      </c>
      <c r="AW67" s="39">
        <f t="shared" si="24"/>
        <v>7.9940212896959829E-3</v>
      </c>
      <c r="AX67" s="48">
        <v>7161.8799780139998</v>
      </c>
      <c r="AY67" s="44">
        <f t="shared" si="25"/>
        <v>5.0631723193512064E-3</v>
      </c>
      <c r="AZ67" s="39">
        <f t="shared" si="29"/>
        <v>106.55562937199689</v>
      </c>
      <c r="BA67" s="39">
        <f t="shared" si="19"/>
        <v>120.85629377823946</v>
      </c>
      <c r="BC67" s="44">
        <f t="shared" si="20"/>
        <v>1.3125717634258662E-2</v>
      </c>
    </row>
    <row r="68" spans="1:55">
      <c r="A68" s="39">
        <f t="shared" si="26"/>
        <v>2028</v>
      </c>
      <c r="B68" s="39">
        <f t="shared" si="27"/>
        <v>3</v>
      </c>
      <c r="C68" s="40"/>
      <c r="D68" s="40">
        <v>119548885.45666</v>
      </c>
      <c r="E68" s="40"/>
      <c r="F68" s="40">
        <v>21729425.058805201</v>
      </c>
      <c r="G68" s="41">
        <v>3018006</v>
      </c>
      <c r="H68" s="41">
        <v>16604178.5562711</v>
      </c>
      <c r="I68" s="41">
        <v>93341</v>
      </c>
      <c r="J68" s="42">
        <v>513534.64195263397</v>
      </c>
      <c r="K68" s="40"/>
      <c r="L68" s="43">
        <v>2386241.9202829301</v>
      </c>
      <c r="M68" s="43"/>
      <c r="N68" s="43">
        <v>990588.07484170003</v>
      </c>
      <c r="O68" s="40"/>
      <c r="P68" s="40">
        <v>17832143.985110901</v>
      </c>
      <c r="Q68" s="43"/>
      <c r="R68" s="43">
        <v>23510262.9888651</v>
      </c>
      <c r="S68" s="43"/>
      <c r="T68" s="40">
        <v>89893528.212386295</v>
      </c>
      <c r="U68" s="40"/>
      <c r="V68" s="43">
        <v>122852.51348677601</v>
      </c>
      <c r="W68" s="43"/>
      <c r="X68" s="43">
        <v>308570.09451632301</v>
      </c>
      <c r="Y68" s="40"/>
      <c r="Z68" s="40">
        <f t="shared" si="21"/>
        <v>-1473139.5515779555</v>
      </c>
      <c r="AA68" s="40"/>
      <c r="AB68" s="40">
        <f t="shared" si="22"/>
        <v>-47487501.229384601</v>
      </c>
      <c r="AC68" s="17"/>
      <c r="AD68" s="40"/>
      <c r="AE68" s="40"/>
      <c r="AF68" s="40">
        <f>BA68/100*AF25</f>
        <v>6863317952.0500374</v>
      </c>
      <c r="AG68" s="44">
        <f t="shared" si="28"/>
        <v>-1.1852458416855578E-2</v>
      </c>
      <c r="AH68" s="44">
        <f t="shared" si="23"/>
        <v>-6.9190297697340874E-3</v>
      </c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40"/>
      <c r="AU68" s="39">
        <v>12408127</v>
      </c>
      <c r="AW68" s="39">
        <f t="shared" si="24"/>
        <v>-8.9913467332710106E-3</v>
      </c>
      <c r="AX68" s="48">
        <v>7141.2031267938</v>
      </c>
      <c r="AY68" s="44">
        <f t="shared" si="25"/>
        <v>-2.8870703340009717E-3</v>
      </c>
      <c r="AZ68" s="39">
        <f t="shared" si="29"/>
        <v>106.2479957755162</v>
      </c>
      <c r="BA68" s="39">
        <f t="shared" si="19"/>
        <v>119.42384958181759</v>
      </c>
      <c r="BC68" s="44">
        <f t="shared" si="20"/>
        <v>1.4819228458161296E-2</v>
      </c>
    </row>
    <row r="69" spans="1:55">
      <c r="A69" s="39">
        <f t="shared" si="26"/>
        <v>2028</v>
      </c>
      <c r="B69" s="39">
        <f t="shared" si="27"/>
        <v>4</v>
      </c>
      <c r="C69" s="40"/>
      <c r="D69" s="40">
        <v>120104361.28874999</v>
      </c>
      <c r="E69" s="40"/>
      <c r="F69" s="40">
        <v>21830389.366579998</v>
      </c>
      <c r="G69" s="41">
        <v>3130694</v>
      </c>
      <c r="H69" s="41">
        <v>17224154.683935899</v>
      </c>
      <c r="I69" s="41">
        <v>96825</v>
      </c>
      <c r="J69" s="42">
        <v>532702.58200644795</v>
      </c>
      <c r="K69" s="40"/>
      <c r="L69" s="43">
        <v>2326001.3091262002</v>
      </c>
      <c r="M69" s="43"/>
      <c r="N69" s="43">
        <v>996830.59403769998</v>
      </c>
      <c r="O69" s="40"/>
      <c r="P69" s="40">
        <v>17553899.6662222</v>
      </c>
      <c r="Q69" s="43"/>
      <c r="R69" s="43">
        <v>26975823.118423499</v>
      </c>
      <c r="S69" s="43"/>
      <c r="T69" s="40">
        <v>103144397.733741</v>
      </c>
      <c r="U69" s="40"/>
      <c r="V69" s="43">
        <v>125791.886102119</v>
      </c>
      <c r="W69" s="43"/>
      <c r="X69" s="43">
        <v>315952.95108142501</v>
      </c>
      <c r="Y69" s="40"/>
      <c r="Z69" s="40">
        <f t="shared" si="21"/>
        <v>1948393.734781716</v>
      </c>
      <c r="AA69" s="40"/>
      <c r="AB69" s="40">
        <f t="shared" si="22"/>
        <v>-34513863.221231192</v>
      </c>
      <c r="AC69" s="17"/>
      <c r="AD69" s="40"/>
      <c r="AE69" s="40"/>
      <c r="AF69" s="40">
        <f>BA69/100*AF25</f>
        <v>6952164646.4684839</v>
      </c>
      <c r="AG69" s="44">
        <f t="shared" si="28"/>
        <v>1.2945152044414392E-2</v>
      </c>
      <c r="AH69" s="44">
        <f t="shared" si="23"/>
        <v>-4.964477249364818E-3</v>
      </c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U69" s="39">
        <v>12512521</v>
      </c>
      <c r="AW69" s="39">
        <f t="shared" si="24"/>
        <v>8.4133568265379616E-3</v>
      </c>
      <c r="AX69" s="48">
        <v>7173.2955916156998</v>
      </c>
      <c r="AY69" s="44">
        <f t="shared" si="25"/>
        <v>4.4939857125039315E-3</v>
      </c>
      <c r="AZ69" s="39">
        <f t="shared" si="29"/>
        <v>106.72547275051355</v>
      </c>
      <c r="BA69" s="39">
        <f t="shared" si="19"/>
        <v>120.9698094723835</v>
      </c>
      <c r="BC69" s="44">
        <f t="shared" si="20"/>
        <v>1.2892686843180802E-2</v>
      </c>
    </row>
    <row r="70" spans="1:55" s="29" customFormat="1">
      <c r="A70" s="29">
        <f t="shared" si="26"/>
        <v>2029</v>
      </c>
      <c r="B70" s="29">
        <f t="shared" si="27"/>
        <v>1</v>
      </c>
      <c r="C70" s="30"/>
      <c r="D70" s="30">
        <v>120544417.83919799</v>
      </c>
      <c r="E70" s="30"/>
      <c r="F70" s="30">
        <v>21910374.8536723</v>
      </c>
      <c r="G70" s="31">
        <v>3273546</v>
      </c>
      <c r="H70" s="31">
        <v>18010084.239781901</v>
      </c>
      <c r="I70" s="31">
        <v>101244</v>
      </c>
      <c r="J70" s="32">
        <v>557014.61619066098</v>
      </c>
      <c r="K70" s="30"/>
      <c r="L70" s="33">
        <v>2840733.4640013999</v>
      </c>
      <c r="M70" s="33"/>
      <c r="N70" s="33">
        <v>1002615.5512578</v>
      </c>
      <c r="O70" s="30"/>
      <c r="P70" s="30">
        <v>20256674.392590001</v>
      </c>
      <c r="Q70" s="33"/>
      <c r="R70" s="33">
        <v>23733592.8780322</v>
      </c>
      <c r="S70" s="33"/>
      <c r="T70" s="30">
        <v>90747449.399997994</v>
      </c>
      <c r="U70" s="30"/>
      <c r="V70" s="33">
        <v>131295.67942428499</v>
      </c>
      <c r="W70" s="33"/>
      <c r="X70" s="33">
        <v>329776.89311906003</v>
      </c>
      <c r="Y70" s="30"/>
      <c r="Z70" s="30">
        <f t="shared" si="21"/>
        <v>-1888835.3114750125</v>
      </c>
      <c r="AA70" s="30"/>
      <c r="AB70" s="30">
        <f t="shared" si="22"/>
        <v>-50053642.83179</v>
      </c>
      <c r="AC70" s="17"/>
      <c r="AD70" s="30"/>
      <c r="AE70" s="30"/>
      <c r="AF70" s="30">
        <f>BA70/100*AF25</f>
        <v>7003541379.6959</v>
      </c>
      <c r="AG70" s="34">
        <f t="shared" si="28"/>
        <v>7.3900340167452824E-3</v>
      </c>
      <c r="AH70" s="34">
        <f t="shared" si="23"/>
        <v>-7.146904704083204E-3</v>
      </c>
      <c r="AS70" s="34">
        <f>AVERAGE(AG70:AG73)</f>
        <v>1.1036636689261995E-3</v>
      </c>
      <c r="AU70" s="29">
        <v>12534541</v>
      </c>
      <c r="AW70" s="29">
        <f t="shared" si="24"/>
        <v>1.7598372062672262E-3</v>
      </c>
      <c r="AX70" s="38">
        <v>7213.6117077749996</v>
      </c>
      <c r="AY70" s="34">
        <f t="shared" si="25"/>
        <v>5.6203059868914522E-3</v>
      </c>
      <c r="AZ70" s="29">
        <f t="shared" si="29"/>
        <v>107.32530256396709</v>
      </c>
      <c r="BA70" s="29">
        <f t="shared" si="19"/>
        <v>121.86378047938361</v>
      </c>
      <c r="BC70" s="34">
        <f t="shared" si="20"/>
        <v>1.4709596434582856E-2</v>
      </c>
    </row>
    <row r="71" spans="1:55" s="39" customFormat="1">
      <c r="A71" s="39">
        <f t="shared" si="26"/>
        <v>2029</v>
      </c>
      <c r="B71" s="39">
        <f t="shared" si="27"/>
        <v>2</v>
      </c>
      <c r="C71" s="40"/>
      <c r="D71" s="40">
        <v>120878563.661268</v>
      </c>
      <c r="E71" s="40"/>
      <c r="F71" s="40">
        <v>21971109.812192701</v>
      </c>
      <c r="G71" s="41">
        <v>3392083</v>
      </c>
      <c r="H71" s="41">
        <v>18662239.839712601</v>
      </c>
      <c r="I71" s="41">
        <v>104910</v>
      </c>
      <c r="J71" s="42">
        <v>577183.86654579302</v>
      </c>
      <c r="K71" s="40"/>
      <c r="L71" s="43">
        <v>2263433.5122788199</v>
      </c>
      <c r="M71" s="43"/>
      <c r="N71" s="43">
        <v>1006123.7074284001</v>
      </c>
      <c r="O71" s="40"/>
      <c r="P71" s="40">
        <v>17280363.0389103</v>
      </c>
      <c r="Q71" s="43"/>
      <c r="R71" s="43">
        <v>27140823.866386302</v>
      </c>
      <c r="S71" s="43"/>
      <c r="T71" s="40">
        <v>103775292.394472</v>
      </c>
      <c r="U71" s="40"/>
      <c r="V71" s="43">
        <v>133912.08799666</v>
      </c>
      <c r="W71" s="43"/>
      <c r="X71" s="43">
        <v>336348.55712134403</v>
      </c>
      <c r="Y71" s="40"/>
      <c r="Z71" s="40">
        <f t="shared" si="21"/>
        <v>2034068.9224830419</v>
      </c>
      <c r="AA71" s="40"/>
      <c r="AB71" s="40">
        <f t="shared" si="22"/>
        <v>-34383634.305706292</v>
      </c>
      <c r="AC71" s="17"/>
      <c r="AD71" s="40"/>
      <c r="AE71" s="40"/>
      <c r="AF71" s="40">
        <f>BA71/100*AF25</f>
        <v>7001804467.629097</v>
      </c>
      <c r="AG71" s="44">
        <f t="shared" si="28"/>
        <v>-2.480048267921274E-4</v>
      </c>
      <c r="AH71" s="44">
        <f t="shared" si="23"/>
        <v>-4.9106818770317711E-3</v>
      </c>
      <c r="AU71" s="39">
        <v>12497349</v>
      </c>
      <c r="AW71" s="39">
        <f t="shared" si="24"/>
        <v>-2.9671609036182496E-3</v>
      </c>
      <c r="AX71" s="48">
        <v>7233.2850177623004</v>
      </c>
      <c r="AY71" s="44">
        <f t="shared" si="25"/>
        <v>2.7272482612415222E-3</v>
      </c>
      <c r="AZ71" s="39">
        <f t="shared" si="29"/>
        <v>107.61800530877188</v>
      </c>
      <c r="BA71" s="39">
        <f t="shared" si="19"/>
        <v>121.8335576736136</v>
      </c>
      <c r="BC71" s="44">
        <f t="shared" ref="BC71:BC102" si="30">T78/AF78</f>
        <v>1.2918428154253418E-2</v>
      </c>
    </row>
    <row r="72" spans="1:55">
      <c r="A72" s="39">
        <f t="shared" si="26"/>
        <v>2029</v>
      </c>
      <c r="B72" s="39">
        <f t="shared" si="27"/>
        <v>3</v>
      </c>
      <c r="C72" s="40"/>
      <c r="D72" s="40">
        <v>121103941.35601699</v>
      </c>
      <c r="E72" s="40"/>
      <c r="F72" s="40">
        <v>22012074.876059901</v>
      </c>
      <c r="G72" s="41">
        <v>3475262</v>
      </c>
      <c r="H72" s="41">
        <v>19119866.15594</v>
      </c>
      <c r="I72" s="41">
        <v>107482</v>
      </c>
      <c r="J72" s="42">
        <v>591334.25168310897</v>
      </c>
      <c r="K72" s="40"/>
      <c r="L72" s="43">
        <v>2288703.8757964498</v>
      </c>
      <c r="M72" s="43"/>
      <c r="N72" s="43">
        <v>1009507.4196801001</v>
      </c>
      <c r="O72" s="40"/>
      <c r="P72" s="40">
        <v>17430107.261785898</v>
      </c>
      <c r="Q72" s="43"/>
      <c r="R72" s="43">
        <v>23633982.5861031</v>
      </c>
      <c r="S72" s="43"/>
      <c r="T72" s="40">
        <v>90366580.815413803</v>
      </c>
      <c r="U72" s="40"/>
      <c r="V72" s="43">
        <v>132974.73943068099</v>
      </c>
      <c r="W72" s="43"/>
      <c r="X72" s="43">
        <v>333994.20776869502</v>
      </c>
      <c r="Y72" s="40"/>
      <c r="Z72" s="40">
        <f t="shared" si="21"/>
        <v>-1543328.8460026681</v>
      </c>
      <c r="AA72" s="40"/>
      <c r="AB72" s="40">
        <f t="shared" si="22"/>
        <v>-48167467.802389085</v>
      </c>
      <c r="AC72" s="17"/>
      <c r="AD72" s="40"/>
      <c r="AE72" s="40"/>
      <c r="AF72" s="40">
        <f>BA72/100*AF25</f>
        <v>7108578288.0666294</v>
      </c>
      <c r="AG72" s="44">
        <f t="shared" si="28"/>
        <v>1.5249471894162654E-2</v>
      </c>
      <c r="AH72" s="44">
        <f t="shared" si="23"/>
        <v>-6.7759636105083308E-3</v>
      </c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40"/>
      <c r="AU72" s="39">
        <v>12732727</v>
      </c>
      <c r="AW72" s="39">
        <f t="shared" si="24"/>
        <v>1.8834234364424007E-2</v>
      </c>
      <c r="AX72" s="48">
        <v>7207.8347454865998</v>
      </c>
      <c r="AY72" s="44">
        <f t="shared" si="25"/>
        <v>-3.5184943235617113E-3</v>
      </c>
      <c r="AZ72" s="39">
        <f t="shared" si="29"/>
        <v>107.23935196797994</v>
      </c>
      <c r="BA72" s="39">
        <f t="shared" si="19"/>
        <v>123.6914550871232</v>
      </c>
      <c r="BC72" s="44">
        <f t="shared" si="30"/>
        <v>1.4894844289629354E-2</v>
      </c>
    </row>
    <row r="73" spans="1:55">
      <c r="A73" s="39">
        <f t="shared" si="26"/>
        <v>2029</v>
      </c>
      <c r="B73" s="39">
        <f t="shared" si="27"/>
        <v>4</v>
      </c>
      <c r="C73" s="40"/>
      <c r="D73" s="40">
        <v>121424034.56596</v>
      </c>
      <c r="E73" s="40"/>
      <c r="F73" s="40">
        <v>22070255.6059824</v>
      </c>
      <c r="G73" s="41">
        <v>3580674</v>
      </c>
      <c r="H73" s="41">
        <v>19699811.878371902</v>
      </c>
      <c r="I73" s="41">
        <v>110742</v>
      </c>
      <c r="J73" s="42">
        <v>609269.80982760701</v>
      </c>
      <c r="K73" s="40"/>
      <c r="L73" s="43">
        <v>2193813.01816796</v>
      </c>
      <c r="M73" s="43"/>
      <c r="N73" s="43">
        <v>1013063.6810434</v>
      </c>
      <c r="O73" s="40"/>
      <c r="P73" s="40">
        <v>16957283.651213601</v>
      </c>
      <c r="Q73" s="43"/>
      <c r="R73" s="43">
        <v>26990599.276137501</v>
      </c>
      <c r="S73" s="43"/>
      <c r="T73" s="40">
        <v>103200895.65343501</v>
      </c>
      <c r="U73" s="40"/>
      <c r="V73" s="43">
        <v>129467.529324292</v>
      </c>
      <c r="W73" s="43"/>
      <c r="X73" s="43">
        <v>325185.10713817697</v>
      </c>
      <c r="Y73" s="40"/>
      <c r="Z73" s="40">
        <f t="shared" si="21"/>
        <v>1842934.5002680309</v>
      </c>
      <c r="AA73" s="40"/>
      <c r="AB73" s="40">
        <f t="shared" si="22"/>
        <v>-35180422.563738599</v>
      </c>
      <c r="AC73" s="17"/>
      <c r="AD73" s="40"/>
      <c r="AE73" s="40"/>
      <c r="AF73" s="40">
        <f>BA73/100*AF25</f>
        <v>6980788467.9998903</v>
      </c>
      <c r="AG73" s="44">
        <f t="shared" si="28"/>
        <v>-1.7976846408411011E-2</v>
      </c>
      <c r="AH73" s="44">
        <f t="shared" si="23"/>
        <v>-5.0396058733202615E-3</v>
      </c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U73" s="39">
        <v>12520629</v>
      </c>
      <c r="AW73" s="39">
        <f t="shared" si="24"/>
        <v>-1.6657704198008799E-2</v>
      </c>
      <c r="AX73" s="48">
        <v>7198.1655193188999</v>
      </c>
      <c r="AY73" s="44">
        <f t="shared" si="25"/>
        <v>-1.3414883261238146E-3</v>
      </c>
      <c r="AZ73" s="39">
        <f t="shared" si="29"/>
        <v>107.09549162921381</v>
      </c>
      <c r="BA73" s="39">
        <f t="shared" si="19"/>
        <v>121.46787279698913</v>
      </c>
      <c r="BC73" s="44">
        <f t="shared" si="30"/>
        <v>1.2934024771305281E-2</v>
      </c>
    </row>
    <row r="74" spans="1:55" s="29" customFormat="1">
      <c r="A74" s="29">
        <f t="shared" si="26"/>
        <v>2030</v>
      </c>
      <c r="B74" s="29">
        <f t="shared" si="27"/>
        <v>1</v>
      </c>
      <c r="C74" s="30"/>
      <c r="D74" s="30">
        <v>122024678.765273</v>
      </c>
      <c r="E74" s="30"/>
      <c r="F74" s="30">
        <v>22179429.799168099</v>
      </c>
      <c r="G74" s="31">
        <v>3710693</v>
      </c>
      <c r="H74" s="31">
        <v>20415138.054564901</v>
      </c>
      <c r="I74" s="31">
        <v>114764</v>
      </c>
      <c r="J74" s="32">
        <v>631397.667145757</v>
      </c>
      <c r="K74" s="30"/>
      <c r="L74" s="33">
        <v>2724050.8647395</v>
      </c>
      <c r="M74" s="33"/>
      <c r="N74" s="33">
        <v>1019472.9574441999</v>
      </c>
      <c r="O74" s="30"/>
      <c r="P74" s="30">
        <v>19743952.305433001</v>
      </c>
      <c r="Q74" s="33"/>
      <c r="R74" s="33">
        <v>23937491.423567299</v>
      </c>
      <c r="S74" s="33"/>
      <c r="T74" s="30">
        <v>91527073.161084801</v>
      </c>
      <c r="U74" s="30"/>
      <c r="V74" s="33">
        <v>132920.161114338</v>
      </c>
      <c r="W74" s="33"/>
      <c r="X74" s="33">
        <v>333857.12277340598</v>
      </c>
      <c r="Y74" s="30"/>
      <c r="Z74" s="30">
        <f t="shared" si="21"/>
        <v>-1852542.0366701595</v>
      </c>
      <c r="AA74" s="30"/>
      <c r="AB74" s="30">
        <f t="shared" si="22"/>
        <v>-50241557.909621209</v>
      </c>
      <c r="AC74" s="17"/>
      <c r="AD74" s="30"/>
      <c r="AE74" s="30"/>
      <c r="AF74" s="30">
        <f>BA74/100*AF25</f>
        <v>6973110020.4529305</v>
      </c>
      <c r="AG74" s="34">
        <f t="shared" si="28"/>
        <v>-1.0999398681335315E-3</v>
      </c>
      <c r="AH74" s="34">
        <f t="shared" si="23"/>
        <v>-7.2050430528497276E-3</v>
      </c>
      <c r="AS74" s="34">
        <f>AVERAGE(AG74:AG77)</f>
        <v>6.3138776418104154E-3</v>
      </c>
      <c r="AU74" s="29">
        <v>12488762</v>
      </c>
      <c r="AW74" s="29">
        <f t="shared" si="24"/>
        <v>-2.5451596720899566E-3</v>
      </c>
      <c r="AX74" s="38">
        <v>7208.5949953613999</v>
      </c>
      <c r="AY74" s="34">
        <f t="shared" si="25"/>
        <v>1.4489075049064556E-3</v>
      </c>
      <c r="AZ74" s="29">
        <f t="shared" si="29"/>
        <v>107.25066309077702</v>
      </c>
      <c r="BA74" s="29">
        <f t="shared" si="19"/>
        <v>121.33426544100234</v>
      </c>
      <c r="BC74" s="34">
        <f t="shared" si="30"/>
        <v>1.4837941150876208E-2</v>
      </c>
    </row>
    <row r="75" spans="1:55" s="39" customFormat="1">
      <c r="A75" s="39">
        <f t="shared" si="26"/>
        <v>2030</v>
      </c>
      <c r="B75" s="39">
        <f t="shared" si="27"/>
        <v>2</v>
      </c>
      <c r="C75" s="40"/>
      <c r="D75" s="40">
        <v>123242905.039895</v>
      </c>
      <c r="E75" s="40"/>
      <c r="F75" s="40">
        <v>22400856.844999202</v>
      </c>
      <c r="G75" s="41">
        <v>3838601</v>
      </c>
      <c r="H75" s="41">
        <v>21118850.131603699</v>
      </c>
      <c r="I75" s="41">
        <v>118719</v>
      </c>
      <c r="J75" s="42">
        <v>653156.91023210401</v>
      </c>
      <c r="K75" s="40"/>
      <c r="L75" s="43">
        <v>2208415.3895296501</v>
      </c>
      <c r="M75" s="43"/>
      <c r="N75" s="43">
        <v>1032639.978882</v>
      </c>
      <c r="O75" s="40"/>
      <c r="P75" s="40">
        <v>17140758.440392502</v>
      </c>
      <c r="Q75" s="43"/>
      <c r="R75" s="43">
        <v>27468865.300262101</v>
      </c>
      <c r="S75" s="43"/>
      <c r="T75" s="40">
        <v>105029587.248805</v>
      </c>
      <c r="U75" s="40"/>
      <c r="V75" s="43">
        <v>126382.71231724499</v>
      </c>
      <c r="W75" s="43"/>
      <c r="X75" s="43">
        <v>317436.93619389698</v>
      </c>
      <c r="Y75" s="40"/>
      <c r="Z75" s="40">
        <f t="shared" si="21"/>
        <v>1953335.7991684936</v>
      </c>
      <c r="AA75" s="40"/>
      <c r="AB75" s="40">
        <f t="shared" si="22"/>
        <v>-35354076.231482506</v>
      </c>
      <c r="AC75" s="17"/>
      <c r="AD75" s="40"/>
      <c r="AE75" s="40"/>
      <c r="AF75" s="40">
        <f>BA75/100*AF25</f>
        <v>7087385658.7967472</v>
      </c>
      <c r="AG75" s="44">
        <f t="shared" si="28"/>
        <v>1.6388044647027398E-2</v>
      </c>
      <c r="AH75" s="44">
        <f t="shared" si="23"/>
        <v>-4.9883099260446765E-3</v>
      </c>
      <c r="AU75" s="39">
        <v>12624379</v>
      </c>
      <c r="AW75" s="39">
        <f t="shared" si="24"/>
        <v>1.08591227857493E-2</v>
      </c>
      <c r="AX75" s="48">
        <v>7248.0226045707996</v>
      </c>
      <c r="AY75" s="44">
        <f t="shared" si="25"/>
        <v>5.4695275896024936E-3</v>
      </c>
      <c r="AZ75" s="39">
        <f t="shared" si="29"/>
        <v>107.83727355155519</v>
      </c>
      <c r="BA75" s="39">
        <f t="shared" si="19"/>
        <v>123.32269680026376</v>
      </c>
      <c r="BC75" s="44">
        <f t="shared" si="30"/>
        <v>1.293270167988496E-2</v>
      </c>
    </row>
    <row r="76" spans="1:55">
      <c r="A76" s="39">
        <f t="shared" si="26"/>
        <v>2030</v>
      </c>
      <c r="B76" s="39">
        <f t="shared" si="27"/>
        <v>3</v>
      </c>
      <c r="C76" s="40"/>
      <c r="D76" s="40">
        <v>123269882.125626</v>
      </c>
      <c r="E76" s="40"/>
      <c r="F76" s="40">
        <v>22405760.249664601</v>
      </c>
      <c r="G76" s="41">
        <v>3947552</v>
      </c>
      <c r="H76" s="41">
        <v>21718266.387861799</v>
      </c>
      <c r="I76" s="41">
        <v>122090</v>
      </c>
      <c r="J76" s="42">
        <v>671703.15762630699</v>
      </c>
      <c r="K76" s="40"/>
      <c r="L76" s="43">
        <v>2220724.9288552501</v>
      </c>
      <c r="M76" s="43"/>
      <c r="N76" s="43">
        <v>1034054.6558538</v>
      </c>
      <c r="O76" s="40"/>
      <c r="P76" s="40">
        <v>17212415.833771799</v>
      </c>
      <c r="Q76" s="43"/>
      <c r="R76" s="43">
        <v>24007524.586900599</v>
      </c>
      <c r="S76" s="43"/>
      <c r="T76" s="40">
        <v>91794851.030983299</v>
      </c>
      <c r="U76" s="40"/>
      <c r="V76" s="43">
        <v>129057.614898403</v>
      </c>
      <c r="W76" s="43"/>
      <c r="X76" s="43">
        <v>324155.52028195199</v>
      </c>
      <c r="Y76" s="40"/>
      <c r="Z76" s="40">
        <f t="shared" si="21"/>
        <v>-1523957.6325746514</v>
      </c>
      <c r="AA76" s="40"/>
      <c r="AB76" s="40">
        <f t="shared" si="22"/>
        <v>-48687446.928414494</v>
      </c>
      <c r="AC76" s="17"/>
      <c r="AD76" s="40"/>
      <c r="AE76" s="40"/>
      <c r="AF76" s="40">
        <f>BA76/100*AF25</f>
        <v>7119916286.4593601</v>
      </c>
      <c r="AG76" s="44">
        <f t="shared" si="28"/>
        <v>4.5899333306684718E-3</v>
      </c>
      <c r="AH76" s="44">
        <f t="shared" si="23"/>
        <v>-6.8382049689275368E-3</v>
      </c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40"/>
      <c r="AU76" s="39">
        <v>12662980</v>
      </c>
      <c r="AW76" s="39">
        <f t="shared" si="24"/>
        <v>3.0576553508097309E-3</v>
      </c>
      <c r="AX76" s="48">
        <v>7259.0947352456997</v>
      </c>
      <c r="AY76" s="44">
        <f t="shared" si="25"/>
        <v>1.5276070838848824E-3</v>
      </c>
      <c r="AZ76" s="39">
        <f t="shared" si="29"/>
        <v>108.00200653453936</v>
      </c>
      <c r="BA76" s="39">
        <f t="shared" si="19"/>
        <v>123.88873975673521</v>
      </c>
      <c r="BC76" s="44">
        <f t="shared" si="30"/>
        <v>1.4821946969046648E-2</v>
      </c>
    </row>
    <row r="77" spans="1:55">
      <c r="A77" s="39">
        <f t="shared" si="26"/>
        <v>2030</v>
      </c>
      <c r="B77" s="39">
        <f t="shared" si="27"/>
        <v>4</v>
      </c>
      <c r="C77" s="40"/>
      <c r="D77" s="40">
        <v>123704871.579032</v>
      </c>
      <c r="E77" s="40"/>
      <c r="F77" s="40">
        <v>22484824.731889199</v>
      </c>
      <c r="G77" s="41">
        <v>4027827</v>
      </c>
      <c r="H77" s="41">
        <v>22159915.7529076</v>
      </c>
      <c r="I77" s="41">
        <v>124572</v>
      </c>
      <c r="J77" s="42">
        <v>685358.38931791601</v>
      </c>
      <c r="K77" s="40"/>
      <c r="L77" s="43">
        <v>2245822.4353691</v>
      </c>
      <c r="M77" s="43"/>
      <c r="N77" s="43">
        <v>1039275.7265401999</v>
      </c>
      <c r="O77" s="40"/>
      <c r="P77" s="40">
        <v>17371371.704832401</v>
      </c>
      <c r="Q77" s="43"/>
      <c r="R77" s="43">
        <v>27538092.5927944</v>
      </c>
      <c r="S77" s="43"/>
      <c r="T77" s="40">
        <v>105294283.80184899</v>
      </c>
      <c r="U77" s="40"/>
      <c r="V77" s="43">
        <v>128761.55275885999</v>
      </c>
      <c r="W77" s="43"/>
      <c r="X77" s="43">
        <v>323411.89754450298</v>
      </c>
      <c r="Y77" s="40"/>
      <c r="Z77" s="40">
        <f t="shared" si="21"/>
        <v>1896931.2517547607</v>
      </c>
      <c r="AA77" s="40"/>
      <c r="AB77" s="40">
        <f t="shared" si="22"/>
        <v>-35781959.482015416</v>
      </c>
      <c r="AC77" s="17"/>
      <c r="AD77" s="40"/>
      <c r="AE77" s="40"/>
      <c r="AF77" s="40">
        <f>BA77/100*AF25</f>
        <v>7158203440.1907778</v>
      </c>
      <c r="AG77" s="44">
        <f t="shared" si="28"/>
        <v>5.3774724576793236E-3</v>
      </c>
      <c r="AH77" s="44">
        <f t="shared" si="23"/>
        <v>-4.9987346379557172E-3</v>
      </c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U77" s="39">
        <v>12738749</v>
      </c>
      <c r="AW77" s="39">
        <f t="shared" si="24"/>
        <v>5.9835046726757837E-3</v>
      </c>
      <c r="AX77" s="48">
        <v>7254.7216563226002</v>
      </c>
      <c r="AY77" s="44">
        <f t="shared" si="25"/>
        <v>-6.0242758671635378E-4</v>
      </c>
      <c r="AZ77" s="39">
        <f t="shared" si="29"/>
        <v>107.93694314638223</v>
      </c>
      <c r="BA77" s="39">
        <f t="shared" si="19"/>
        <v>124.55494804259365</v>
      </c>
      <c r="BC77" s="44">
        <f t="shared" si="30"/>
        <v>1.2955493580886841E-2</v>
      </c>
    </row>
    <row r="78" spans="1:55" s="29" customFormat="1">
      <c r="A78" s="29">
        <f t="shared" si="26"/>
        <v>2031</v>
      </c>
      <c r="B78" s="29">
        <f t="shared" si="27"/>
        <v>1</v>
      </c>
      <c r="C78" s="30"/>
      <c r="D78" s="30">
        <v>124373870.56186201</v>
      </c>
      <c r="E78" s="30"/>
      <c r="F78" s="30">
        <v>22606423.216109902</v>
      </c>
      <c r="G78" s="31">
        <v>4121836</v>
      </c>
      <c r="H78" s="31">
        <v>22677125.533768401</v>
      </c>
      <c r="I78" s="31">
        <v>127479</v>
      </c>
      <c r="J78" s="32">
        <v>701351.84561425203</v>
      </c>
      <c r="K78" s="30"/>
      <c r="L78" s="33">
        <v>2795483.5263659498</v>
      </c>
      <c r="M78" s="33"/>
      <c r="N78" s="33">
        <v>1046576.4089188999</v>
      </c>
      <c r="O78" s="30"/>
      <c r="P78" s="30">
        <v>20263731.919392001</v>
      </c>
      <c r="Q78" s="33"/>
      <c r="R78" s="33">
        <v>24135831.384392399</v>
      </c>
      <c r="S78" s="33"/>
      <c r="T78" s="30">
        <v>92285443.1917613</v>
      </c>
      <c r="U78" s="30"/>
      <c r="V78" s="33">
        <v>127029.800620029</v>
      </c>
      <c r="W78" s="33"/>
      <c r="X78" s="33">
        <v>319062.23544975597</v>
      </c>
      <c r="Y78" s="30"/>
      <c r="Z78" s="30">
        <f t="shared" ref="Z78:Z109" si="31">R78+V78-N78-L78-F78</f>
        <v>-2185621.966382321</v>
      </c>
      <c r="AA78" s="30"/>
      <c r="AB78" s="30">
        <f t="shared" ref="AB78:AB109" si="32">T78-P78-D78</f>
        <v>-52352159.289492711</v>
      </c>
      <c r="AC78" s="17"/>
      <c r="AD78" s="30"/>
      <c r="AE78" s="30"/>
      <c r="AF78" s="30">
        <f>BA78/100*AF25</f>
        <v>7143705262.7316837</v>
      </c>
      <c r="AG78" s="34">
        <f t="shared" si="28"/>
        <v>-2.0253933239298447E-3</v>
      </c>
      <c r="AH78" s="34">
        <f t="shared" ref="AH78:AH109" si="33">AB78/AF78</f>
        <v>-7.3284321460756561E-3</v>
      </c>
      <c r="AS78" s="34">
        <f>AVERAGE(AG78:AG81)</f>
        <v>1.9477644769393793E-3</v>
      </c>
      <c r="AU78" s="29">
        <v>12705645</v>
      </c>
      <c r="AW78" s="29">
        <f t="shared" si="24"/>
        <v>-2.5986853183150088E-3</v>
      </c>
      <c r="AX78" s="38">
        <v>7258.8915664538999</v>
      </c>
      <c r="AY78" s="34">
        <f t="shared" si="25"/>
        <v>5.7478568149690347E-4</v>
      </c>
      <c r="AZ78" s="29">
        <f t="shared" si="29"/>
        <v>107.99898375580732</v>
      </c>
      <c r="BA78" s="29">
        <f t="shared" si="19"/>
        <v>124.30267528236575</v>
      </c>
      <c r="BC78" s="34">
        <f t="shared" si="30"/>
        <v>1.4804488636315139E-2</v>
      </c>
    </row>
    <row r="79" spans="1:55" s="39" customFormat="1">
      <c r="A79" s="39">
        <f t="shared" si="26"/>
        <v>2031</v>
      </c>
      <c r="B79" s="39">
        <f t="shared" si="27"/>
        <v>2</v>
      </c>
      <c r="C79" s="40"/>
      <c r="D79" s="40">
        <v>124406351.98368201</v>
      </c>
      <c r="E79" s="40"/>
      <c r="F79" s="40">
        <v>22612327.099015601</v>
      </c>
      <c r="G79" s="41">
        <v>4272479</v>
      </c>
      <c r="H79" s="41">
        <v>23505918.872897699</v>
      </c>
      <c r="I79" s="41">
        <v>132139</v>
      </c>
      <c r="J79" s="42">
        <v>726989.79069197003</v>
      </c>
      <c r="K79" s="40"/>
      <c r="L79" s="43">
        <v>2326605.5243426999</v>
      </c>
      <c r="M79" s="43"/>
      <c r="N79" s="43">
        <v>1047562.4960631999</v>
      </c>
      <c r="O79" s="40"/>
      <c r="P79" s="40">
        <v>17836146.8984663</v>
      </c>
      <c r="Q79" s="43"/>
      <c r="R79" s="43">
        <v>27641682.754591901</v>
      </c>
      <c r="S79" s="43"/>
      <c r="T79" s="40">
        <v>105690369.763817</v>
      </c>
      <c r="U79" s="40"/>
      <c r="V79" s="43">
        <v>125323.38553414</v>
      </c>
      <c r="W79" s="43"/>
      <c r="X79" s="43">
        <v>314776.212727123</v>
      </c>
      <c r="Y79" s="40"/>
      <c r="Z79" s="40">
        <f t="shared" si="31"/>
        <v>1780511.0207045414</v>
      </c>
      <c r="AA79" s="40"/>
      <c r="AB79" s="40">
        <f t="shared" si="32"/>
        <v>-36552129.118331313</v>
      </c>
      <c r="AC79" s="17"/>
      <c r="AD79" s="40"/>
      <c r="AE79" s="40"/>
      <c r="AF79" s="40">
        <f>BA79/100*AF25</f>
        <v>7095768690.7411785</v>
      </c>
      <c r="AG79" s="44">
        <f t="shared" si="28"/>
        <v>-6.7103233164710297E-3</v>
      </c>
      <c r="AH79" s="44">
        <f t="shared" si="33"/>
        <v>-5.1512571380780614E-3</v>
      </c>
      <c r="AU79" s="39">
        <v>12624060</v>
      </c>
      <c r="AW79" s="39">
        <f t="shared" ref="AW79:AW110" si="34">(AU79-AU78)/AU78</f>
        <v>-6.4211616175329942E-3</v>
      </c>
      <c r="AX79" s="48">
        <v>7256.7790079566003</v>
      </c>
      <c r="AY79" s="44">
        <f t="shared" ref="AY79:AY110" si="35">(AX79-AX78)/AX78</f>
        <v>-2.9103045250911645E-4</v>
      </c>
      <c r="AZ79" s="39">
        <f t="shared" si="29"/>
        <v>107.96755276269434</v>
      </c>
      <c r="BA79" s="39">
        <f t="shared" si="19"/>
        <v>123.46856414211878</v>
      </c>
      <c r="BC79" s="44">
        <f t="shared" si="30"/>
        <v>1.2965474328484015E-2</v>
      </c>
    </row>
    <row r="80" spans="1:55">
      <c r="A80" s="39">
        <f t="shared" si="26"/>
        <v>2031</v>
      </c>
      <c r="B80" s="39">
        <f t="shared" si="27"/>
        <v>3</v>
      </c>
      <c r="C80" s="40"/>
      <c r="D80" s="40">
        <v>124638168.69786599</v>
      </c>
      <c r="E80" s="40"/>
      <c r="F80" s="40">
        <v>22654462.530885302</v>
      </c>
      <c r="G80" s="41">
        <v>4376362</v>
      </c>
      <c r="H80" s="41">
        <v>24077452.488457501</v>
      </c>
      <c r="I80" s="41">
        <v>135351</v>
      </c>
      <c r="J80" s="42">
        <v>744661.26699875703</v>
      </c>
      <c r="K80" s="40"/>
      <c r="L80" s="43">
        <v>2245819.2895527598</v>
      </c>
      <c r="M80" s="43"/>
      <c r="N80" s="43">
        <v>1049953.1185566001</v>
      </c>
      <c r="O80" s="40"/>
      <c r="P80" s="40">
        <v>17430099.2417107</v>
      </c>
      <c r="Q80" s="43"/>
      <c r="R80" s="43">
        <v>24322373.759521302</v>
      </c>
      <c r="S80" s="43"/>
      <c r="T80" s="40">
        <v>92998704.131011605</v>
      </c>
      <c r="U80" s="40"/>
      <c r="V80" s="43">
        <v>129704.300375087</v>
      </c>
      <c r="W80" s="43"/>
      <c r="X80" s="43">
        <v>325779.80775478599</v>
      </c>
      <c r="Y80" s="40"/>
      <c r="Z80" s="40">
        <f t="shared" si="31"/>
        <v>-1498156.8790982738</v>
      </c>
      <c r="AA80" s="40"/>
      <c r="AB80" s="40">
        <f t="shared" si="32"/>
        <v>-49069563.80856508</v>
      </c>
      <c r="AC80" s="17"/>
      <c r="AD80" s="40"/>
      <c r="AE80" s="40"/>
      <c r="AF80" s="40">
        <f>BA80/100*AF25</f>
        <v>7190237051.1407585</v>
      </c>
      <c r="AG80" s="44">
        <f t="shared" si="28"/>
        <v>1.3313337076904129E-2</v>
      </c>
      <c r="AH80" s="44">
        <f t="shared" si="33"/>
        <v>-6.8244709401868754E-3</v>
      </c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40"/>
      <c r="AU80" s="39">
        <v>12742857</v>
      </c>
      <c r="AW80" s="39">
        <f t="shared" si="34"/>
        <v>9.4103640191824187E-3</v>
      </c>
      <c r="AX80" s="48">
        <v>7284.8379758090005</v>
      </c>
      <c r="AY80" s="44">
        <f t="shared" si="35"/>
        <v>3.8665870659193718E-3</v>
      </c>
      <c r="AZ80" s="39">
        <f t="shared" si="29"/>
        <v>108.38501870574554</v>
      </c>
      <c r="BA80" s="39">
        <f t="shared" si="19"/>
        <v>125.11234275494415</v>
      </c>
      <c r="BC80" s="44">
        <f t="shared" si="30"/>
        <v>1.4906843024148225E-2</v>
      </c>
    </row>
    <row r="81" spans="1:55">
      <c r="A81" s="39">
        <f t="shared" si="26"/>
        <v>2031</v>
      </c>
      <c r="B81" s="39">
        <f t="shared" si="27"/>
        <v>4</v>
      </c>
      <c r="C81" s="40"/>
      <c r="D81" s="40">
        <v>125361561.582789</v>
      </c>
      <c r="E81" s="40"/>
      <c r="F81" s="40">
        <v>22785947.750684299</v>
      </c>
      <c r="G81" s="41">
        <v>4462047</v>
      </c>
      <c r="H81" s="41">
        <v>24548866.0772954</v>
      </c>
      <c r="I81" s="41">
        <v>138001</v>
      </c>
      <c r="J81" s="42">
        <v>759240.78512235195</v>
      </c>
      <c r="K81" s="40"/>
      <c r="L81" s="43">
        <v>2267137.9053985002</v>
      </c>
      <c r="M81" s="43"/>
      <c r="N81" s="43">
        <v>1057385.7251486001</v>
      </c>
      <c r="O81" s="40"/>
      <c r="P81" s="40">
        <v>17581613.6491744</v>
      </c>
      <c r="Q81" s="43"/>
      <c r="R81" s="43">
        <v>27992343.221754901</v>
      </c>
      <c r="S81" s="43"/>
      <c r="T81" s="40">
        <v>107031150.452354</v>
      </c>
      <c r="U81" s="40"/>
      <c r="V81" s="43">
        <v>126635.56315495</v>
      </c>
      <c r="W81" s="43"/>
      <c r="X81" s="43">
        <v>318072.02459929202</v>
      </c>
      <c r="Y81" s="40"/>
      <c r="Z81" s="40">
        <f t="shared" si="31"/>
        <v>2008507.4036784545</v>
      </c>
      <c r="AA81" s="40"/>
      <c r="AB81" s="40">
        <f t="shared" si="32"/>
        <v>-35912024.779609412</v>
      </c>
      <c r="AC81" s="17"/>
      <c r="AD81" s="40"/>
      <c r="AE81" s="40"/>
      <c r="AF81" s="40">
        <f>BA81/100*AF25</f>
        <v>7213342428.308095</v>
      </c>
      <c r="AG81" s="44">
        <f t="shared" si="28"/>
        <v>3.2134374712542626E-3</v>
      </c>
      <c r="AH81" s="44">
        <f t="shared" si="33"/>
        <v>-4.9785553835176317E-3</v>
      </c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U81" s="39">
        <v>12718821</v>
      </c>
      <c r="AW81" s="39">
        <f t="shared" si="34"/>
        <v>-1.8862332050026145E-3</v>
      </c>
      <c r="AX81" s="48">
        <v>7322.0584569229004</v>
      </c>
      <c r="AY81" s="44">
        <f t="shared" si="35"/>
        <v>5.1093080227040356E-3</v>
      </c>
      <c r="AZ81" s="39">
        <f t="shared" si="29"/>
        <v>108.93879115135974</v>
      </c>
      <c r="BA81" s="39">
        <f t="shared" si="19"/>
        <v>125.51438344526932</v>
      </c>
      <c r="BC81" s="44">
        <f t="shared" si="30"/>
        <v>1.2959236500185356E-2</v>
      </c>
    </row>
    <row r="82" spans="1:55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30">
        <v>125570796.899184</v>
      </c>
      <c r="E82" s="30"/>
      <c r="F82" s="30">
        <v>22823978.7462047</v>
      </c>
      <c r="G82" s="31">
        <v>4614384</v>
      </c>
      <c r="H82" s="31">
        <v>25386979.304613899</v>
      </c>
      <c r="I82" s="31">
        <v>142713</v>
      </c>
      <c r="J82" s="32">
        <v>785164.81885758997</v>
      </c>
      <c r="K82" s="30"/>
      <c r="L82" s="33">
        <v>2648437.61318349</v>
      </c>
      <c r="M82" s="33"/>
      <c r="N82" s="33">
        <v>1060410.8243449</v>
      </c>
      <c r="O82" s="30"/>
      <c r="P82" s="30">
        <v>19576822.8487227</v>
      </c>
      <c r="Q82" s="33"/>
      <c r="R82" s="33">
        <v>24563700.8128388</v>
      </c>
      <c r="S82" s="33"/>
      <c r="T82" s="30">
        <v>93921439.035596907</v>
      </c>
      <c r="U82" s="30"/>
      <c r="V82" s="33">
        <v>124926.763210135</v>
      </c>
      <c r="W82" s="33"/>
      <c r="X82" s="33">
        <v>313780.01179861202</v>
      </c>
      <c r="Y82" s="30"/>
      <c r="Z82" s="30">
        <f t="shared" si="31"/>
        <v>-1844199.6076841541</v>
      </c>
      <c r="AA82" s="30"/>
      <c r="AB82" s="30">
        <f t="shared" si="32"/>
        <v>-51226180.712309793</v>
      </c>
      <c r="AC82" s="17"/>
      <c r="AD82" s="30"/>
      <c r="AE82" s="30"/>
      <c r="AF82" s="30">
        <f>BA82/100*AF25</f>
        <v>7262321621.6050816</v>
      </c>
      <c r="AG82" s="34">
        <f t="shared" si="28"/>
        <v>6.790082930871584E-3</v>
      </c>
      <c r="AH82" s="34">
        <f t="shared" si="33"/>
        <v>-7.0536921085833214E-3</v>
      </c>
      <c r="AS82" s="34">
        <f>AVERAGE(AG82:AG85)</f>
        <v>4.0603566760687359E-3</v>
      </c>
      <c r="AU82" s="29">
        <v>12802716</v>
      </c>
      <c r="AW82" s="29">
        <f t="shared" si="34"/>
        <v>6.5961302545259502E-3</v>
      </c>
      <c r="AX82" s="38">
        <v>7323.4692837594002</v>
      </c>
      <c r="AY82" s="34">
        <f t="shared" si="35"/>
        <v>1.9268172260574078E-4</v>
      </c>
      <c r="AZ82" s="29">
        <f t="shared" si="29"/>
        <v>108.95978166529736</v>
      </c>
      <c r="BA82" s="29">
        <f t="shared" si="19"/>
        <v>126.3666365178799</v>
      </c>
      <c r="BC82" s="34">
        <f t="shared" si="30"/>
        <v>1.4739636809873632E-2</v>
      </c>
    </row>
    <row r="83" spans="1:55" s="39" customFormat="1">
      <c r="A83" s="39">
        <f t="shared" si="36"/>
        <v>2032</v>
      </c>
      <c r="B83" s="39">
        <f t="shared" si="37"/>
        <v>2</v>
      </c>
      <c r="C83" s="40"/>
      <c r="D83" s="40">
        <v>126034613.31525899</v>
      </c>
      <c r="E83" s="40"/>
      <c r="F83" s="40">
        <v>22908282.870125499</v>
      </c>
      <c r="G83" s="41">
        <v>4769887</v>
      </c>
      <c r="H83" s="41">
        <v>26242510.929811399</v>
      </c>
      <c r="I83" s="41">
        <v>147522</v>
      </c>
      <c r="J83" s="42">
        <v>811622.517973201</v>
      </c>
      <c r="K83" s="40"/>
      <c r="L83" s="43">
        <v>2219327.26184715</v>
      </c>
      <c r="M83" s="43"/>
      <c r="N83" s="43">
        <v>1066284.3027053</v>
      </c>
      <c r="O83" s="40"/>
      <c r="P83" s="40">
        <v>17382481.340716299</v>
      </c>
      <c r="Q83" s="43"/>
      <c r="R83" s="43">
        <v>28268961.299045499</v>
      </c>
      <c r="S83" s="43"/>
      <c r="T83" s="40">
        <v>108088823.645834</v>
      </c>
      <c r="U83" s="40"/>
      <c r="V83" s="43">
        <v>125013.059272363</v>
      </c>
      <c r="W83" s="43"/>
      <c r="X83" s="43">
        <v>313996.76262708299</v>
      </c>
      <c r="Y83" s="40"/>
      <c r="Z83" s="40">
        <f t="shared" si="31"/>
        <v>2200079.9236399159</v>
      </c>
      <c r="AA83" s="40"/>
      <c r="AB83" s="40">
        <f t="shared" si="32"/>
        <v>-35328271.010141298</v>
      </c>
      <c r="AC83" s="17"/>
      <c r="AD83" s="40"/>
      <c r="AE83" s="40"/>
      <c r="AF83" s="40">
        <f>BA83/100*AF25</f>
        <v>7292484845.0450439</v>
      </c>
      <c r="AG83" s="44">
        <f t="shared" si="28"/>
        <v>4.1533857919798193E-3</v>
      </c>
      <c r="AH83" s="44">
        <f t="shared" si="33"/>
        <v>-4.8444764385277353E-3</v>
      </c>
      <c r="AU83" s="39">
        <v>12824552</v>
      </c>
      <c r="AW83" s="39">
        <f t="shared" si="34"/>
        <v>1.7055755981777616E-3</v>
      </c>
      <c r="AX83" s="48">
        <v>7341.3652236478001</v>
      </c>
      <c r="AY83" s="44">
        <f t="shared" si="35"/>
        <v>2.4436423769928412E-3</v>
      </c>
      <c r="AZ83" s="39">
        <f t="shared" si="29"/>
        <v>109.22604040516258</v>
      </c>
      <c r="BA83" s="39">
        <f t="shared" si="19"/>
        <v>126.89148591057352</v>
      </c>
      <c r="BC83" s="44">
        <f t="shared" si="30"/>
        <v>1.3061771045309103E-2</v>
      </c>
    </row>
    <row r="84" spans="1:55">
      <c r="A84" s="39">
        <f t="shared" si="36"/>
        <v>2032</v>
      </c>
      <c r="B84" s="39">
        <f t="shared" si="37"/>
        <v>3</v>
      </c>
      <c r="C84" s="40"/>
      <c r="D84" s="40">
        <v>125937302.582132</v>
      </c>
      <c r="E84" s="40"/>
      <c r="F84" s="40">
        <v>22890595.492490701</v>
      </c>
      <c r="G84" s="41">
        <v>4881296</v>
      </c>
      <c r="H84" s="41">
        <v>26855450.376842201</v>
      </c>
      <c r="I84" s="41">
        <v>150968</v>
      </c>
      <c r="J84" s="42">
        <v>830581.393238827</v>
      </c>
      <c r="K84" s="40"/>
      <c r="L84" s="43">
        <v>2251915.04072404</v>
      </c>
      <c r="M84" s="43"/>
      <c r="N84" s="43">
        <v>1065812.4446855001</v>
      </c>
      <c r="O84" s="40"/>
      <c r="P84" s="40">
        <v>17548983.45662</v>
      </c>
      <c r="Q84" s="43"/>
      <c r="R84" s="43">
        <v>24817089.032582</v>
      </c>
      <c r="S84" s="43"/>
      <c r="T84" s="40">
        <v>94890290.855372697</v>
      </c>
      <c r="U84" s="40"/>
      <c r="V84" s="43">
        <v>130106.198375312</v>
      </c>
      <c r="W84" s="43"/>
      <c r="X84" s="43">
        <v>326789.259660943</v>
      </c>
      <c r="Y84" s="40"/>
      <c r="Z84" s="40">
        <f t="shared" si="31"/>
        <v>-1261127.7469429299</v>
      </c>
      <c r="AA84" s="40"/>
      <c r="AB84" s="40">
        <f t="shared" si="32"/>
        <v>-48595995.183379307</v>
      </c>
      <c r="AC84" s="17"/>
      <c r="AD84" s="40"/>
      <c r="AE84" s="40"/>
      <c r="AF84" s="40">
        <f>BA84/100*AF25</f>
        <v>7324328499.1753426</v>
      </c>
      <c r="AG84" s="44">
        <f t="shared" si="28"/>
        <v>4.366639740353403E-3</v>
      </c>
      <c r="AH84" s="44">
        <f t="shared" si="33"/>
        <v>-6.6348737892969719E-3</v>
      </c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40"/>
      <c r="AU84" s="39">
        <v>12871342</v>
      </c>
      <c r="AW84" s="39">
        <f t="shared" si="34"/>
        <v>3.6484705274694978E-3</v>
      </c>
      <c r="AX84" s="48">
        <v>7346.6184000725998</v>
      </c>
      <c r="AY84" s="44">
        <f t="shared" si="35"/>
        <v>7.1555851871778447E-4</v>
      </c>
      <c r="AZ84" s="39">
        <f t="shared" si="29"/>
        <v>109.3041980288403</v>
      </c>
      <c r="BA84" s="39">
        <f t="shared" si="19"/>
        <v>127.44557531566313</v>
      </c>
      <c r="BC84" s="44">
        <f t="shared" si="30"/>
        <v>1.4984285955369174E-2</v>
      </c>
    </row>
    <row r="85" spans="1:55">
      <c r="A85" s="39">
        <f t="shared" si="36"/>
        <v>2032</v>
      </c>
      <c r="B85" s="39">
        <f t="shared" si="37"/>
        <v>4</v>
      </c>
      <c r="C85" s="40"/>
      <c r="D85" s="40">
        <v>126455161.23055799</v>
      </c>
      <c r="E85" s="40"/>
      <c r="F85" s="40">
        <v>22984722.431851398</v>
      </c>
      <c r="G85" s="41">
        <v>5029966</v>
      </c>
      <c r="H85" s="41">
        <v>27673388.8521006</v>
      </c>
      <c r="I85" s="41">
        <v>155566</v>
      </c>
      <c r="J85" s="42">
        <v>855878.23260950204</v>
      </c>
      <c r="K85" s="40"/>
      <c r="L85" s="43">
        <v>2247126.7789101801</v>
      </c>
      <c r="M85" s="43"/>
      <c r="N85" s="43">
        <v>1071698.0464685999</v>
      </c>
      <c r="O85" s="40"/>
      <c r="P85" s="40">
        <v>17556517.987782702</v>
      </c>
      <c r="Q85" s="43"/>
      <c r="R85" s="43">
        <v>28385370.3150267</v>
      </c>
      <c r="S85" s="43"/>
      <c r="T85" s="40">
        <v>108533923.607805</v>
      </c>
      <c r="U85" s="40"/>
      <c r="V85" s="43">
        <v>129529.58132012701</v>
      </c>
      <c r="W85" s="43"/>
      <c r="X85" s="43">
        <v>325340.96386162803</v>
      </c>
      <c r="Y85" s="40"/>
      <c r="Z85" s="40">
        <f t="shared" si="31"/>
        <v>2211352.6391166486</v>
      </c>
      <c r="AA85" s="40"/>
      <c r="AB85" s="40">
        <f t="shared" si="32"/>
        <v>-35477755.610535696</v>
      </c>
      <c r="AC85" s="17"/>
      <c r="AD85" s="40"/>
      <c r="AE85" s="40"/>
      <c r="AF85" s="40">
        <f>BA85/100*AF25</f>
        <v>7331149779.9102144</v>
      </c>
      <c r="AG85" s="44">
        <f t="shared" si="28"/>
        <v>9.3131824107013813E-4</v>
      </c>
      <c r="AH85" s="44">
        <f t="shared" si="33"/>
        <v>-4.8393167068768025E-3</v>
      </c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U85" s="39">
        <v>12838591</v>
      </c>
      <c r="AW85" s="39">
        <f t="shared" si="34"/>
        <v>-2.5444899218745021E-3</v>
      </c>
      <c r="AX85" s="48">
        <v>7372.2189766867996</v>
      </c>
      <c r="AY85" s="44">
        <f t="shared" si="35"/>
        <v>3.4846748830654924E-3</v>
      </c>
      <c r="AZ85" s="39">
        <f t="shared" si="29"/>
        <v>109.68508762232501</v>
      </c>
      <c r="BA85" s="39">
        <f t="shared" si="19"/>
        <v>127.56426770469828</v>
      </c>
      <c r="BC85" s="44">
        <f t="shared" si="30"/>
        <v>1.3035285882978304E-2</v>
      </c>
    </row>
    <row r="86" spans="1:55" s="29" customFormat="1">
      <c r="A86" s="29">
        <f t="shared" si="36"/>
        <v>2033</v>
      </c>
      <c r="B86" s="29">
        <f t="shared" si="37"/>
        <v>1</v>
      </c>
      <c r="C86" s="30"/>
      <c r="D86" s="30">
        <v>126448326.48415799</v>
      </c>
      <c r="E86" s="30"/>
      <c r="F86" s="30">
        <v>22983480.135788798</v>
      </c>
      <c r="G86" s="31">
        <v>5133577</v>
      </c>
      <c r="H86" s="31">
        <v>28243426.003913399</v>
      </c>
      <c r="I86" s="31">
        <v>158770</v>
      </c>
      <c r="J86" s="32">
        <v>873505.69527667097</v>
      </c>
      <c r="K86" s="30"/>
      <c r="L86" s="33">
        <v>2736798.22403658</v>
      </c>
      <c r="M86" s="33"/>
      <c r="N86" s="33">
        <v>1072401.1351431999</v>
      </c>
      <c r="O86" s="30"/>
      <c r="P86" s="30">
        <v>20101293.630786698</v>
      </c>
      <c r="Q86" s="33"/>
      <c r="R86" s="33">
        <v>24891652.334786799</v>
      </c>
      <c r="S86" s="33"/>
      <c r="T86" s="30">
        <v>95175390.103880897</v>
      </c>
      <c r="U86" s="30"/>
      <c r="V86" s="33">
        <v>130077.634326906</v>
      </c>
      <c r="W86" s="33"/>
      <c r="X86" s="33">
        <v>326717.51500658999</v>
      </c>
      <c r="Y86" s="30"/>
      <c r="Z86" s="30">
        <f t="shared" si="31"/>
        <v>-1770949.5258548781</v>
      </c>
      <c r="AA86" s="30"/>
      <c r="AB86" s="30">
        <f t="shared" si="32"/>
        <v>-51374230.011063799</v>
      </c>
      <c r="AC86" s="17"/>
      <c r="AD86" s="30"/>
      <c r="AE86" s="30"/>
      <c r="AF86" s="30">
        <f>BA86/100*AF25</f>
        <v>7340679383.7683878</v>
      </c>
      <c r="AG86" s="34">
        <f t="shared" si="28"/>
        <v>1.2998784834934965E-3</v>
      </c>
      <c r="AH86" s="34">
        <f t="shared" si="33"/>
        <v>-6.9985661170084354E-3</v>
      </c>
      <c r="AS86" s="34">
        <f>AVERAGE(AG86:AG89)</f>
        <v>4.5206515315106121E-3</v>
      </c>
      <c r="AU86" s="29">
        <v>12842009</v>
      </c>
      <c r="AW86" s="29">
        <f t="shared" si="34"/>
        <v>2.6622859159544844E-4</v>
      </c>
      <c r="AX86" s="38">
        <v>7379.8372418351</v>
      </c>
      <c r="AY86" s="34">
        <f t="shared" si="35"/>
        <v>1.0333747779863465E-3</v>
      </c>
      <c r="AZ86" s="29">
        <f t="shared" si="29"/>
        <v>109.79843342539513</v>
      </c>
      <c r="BA86" s="29">
        <f t="shared" si="19"/>
        <v>127.73008575155022</v>
      </c>
      <c r="BC86" s="34">
        <f t="shared" si="30"/>
        <v>1.5052603482279171E-2</v>
      </c>
    </row>
    <row r="87" spans="1:55" s="39" customFormat="1">
      <c r="A87" s="39">
        <f t="shared" si="36"/>
        <v>2033</v>
      </c>
      <c r="B87" s="39">
        <f t="shared" si="37"/>
        <v>2</v>
      </c>
      <c r="C87" s="40"/>
      <c r="D87" s="40">
        <v>126257135.14315701</v>
      </c>
      <c r="E87" s="40"/>
      <c r="F87" s="40">
        <v>22948728.846386898</v>
      </c>
      <c r="G87" s="41">
        <v>5268309</v>
      </c>
      <c r="H87" s="41">
        <v>28984681.715546701</v>
      </c>
      <c r="I87" s="41">
        <v>162938</v>
      </c>
      <c r="J87" s="42">
        <v>896436.80151785701</v>
      </c>
      <c r="K87" s="40"/>
      <c r="L87" s="43">
        <v>2178631.8859960502</v>
      </c>
      <c r="M87" s="43"/>
      <c r="N87" s="43">
        <v>1071427.7314831</v>
      </c>
      <c r="O87" s="40"/>
      <c r="P87" s="40">
        <v>17199610.469545901</v>
      </c>
      <c r="Q87" s="43"/>
      <c r="R87" s="43">
        <v>28851234.621095002</v>
      </c>
      <c r="S87" s="43"/>
      <c r="T87" s="40">
        <v>110315196.159309</v>
      </c>
      <c r="U87" s="40"/>
      <c r="V87" s="43">
        <v>124349.08880811599</v>
      </c>
      <c r="W87" s="43"/>
      <c r="X87" s="43">
        <v>312329.06024889101</v>
      </c>
      <c r="Y87" s="40"/>
      <c r="Z87" s="40">
        <f t="shared" si="31"/>
        <v>2776795.2460370697</v>
      </c>
      <c r="AA87" s="40"/>
      <c r="AB87" s="40">
        <f t="shared" si="32"/>
        <v>-33141549.453393906</v>
      </c>
      <c r="AC87" s="17"/>
      <c r="AD87" s="40"/>
      <c r="AE87" s="40"/>
      <c r="AF87" s="40">
        <f>BA87/100*AF25</f>
        <v>7400305750.8960657</v>
      </c>
      <c r="AG87" s="44">
        <f t="shared" si="28"/>
        <v>8.1227314272195213E-3</v>
      </c>
      <c r="AH87" s="44">
        <f t="shared" si="33"/>
        <v>-4.4784027267226034E-3</v>
      </c>
      <c r="AU87" s="39">
        <v>12862211</v>
      </c>
      <c r="AW87" s="39">
        <f t="shared" si="34"/>
        <v>1.5731183493174626E-3</v>
      </c>
      <c r="AX87" s="48">
        <v>7428.0964029751003</v>
      </c>
      <c r="AY87" s="44">
        <f t="shared" si="35"/>
        <v>6.5393259442670269E-3</v>
      </c>
      <c r="AZ87" s="39">
        <f t="shared" si="29"/>
        <v>110.5164411697337</v>
      </c>
      <c r="BA87" s="39">
        <f t="shared" si="19"/>
        <v>128.76760293328579</v>
      </c>
      <c r="BC87" s="44">
        <f t="shared" si="30"/>
        <v>1.2922530838844025E-2</v>
      </c>
    </row>
    <row r="88" spans="1:55">
      <c r="A88" s="39">
        <f t="shared" si="36"/>
        <v>2033</v>
      </c>
      <c r="B88" s="39">
        <f t="shared" si="37"/>
        <v>3</v>
      </c>
      <c r="C88" s="40"/>
      <c r="D88" s="40">
        <v>125879392.73481899</v>
      </c>
      <c r="E88" s="40"/>
      <c r="F88" s="40">
        <v>22880069.6922496</v>
      </c>
      <c r="G88" s="41">
        <v>5393249</v>
      </c>
      <c r="H88" s="41">
        <v>29672064.732287001</v>
      </c>
      <c r="I88" s="41">
        <v>166801</v>
      </c>
      <c r="J88" s="42">
        <v>917689.88774859195</v>
      </c>
      <c r="K88" s="40"/>
      <c r="L88" s="43">
        <v>2183638.7712649</v>
      </c>
      <c r="M88" s="43"/>
      <c r="N88" s="43">
        <v>1068658.5823931999</v>
      </c>
      <c r="O88" s="40"/>
      <c r="P88" s="40">
        <v>17210356.179746099</v>
      </c>
      <c r="Q88" s="43"/>
      <c r="R88" s="43">
        <v>25170755.789360099</v>
      </c>
      <c r="S88" s="43"/>
      <c r="T88" s="40">
        <v>96242566.352812797</v>
      </c>
      <c r="U88" s="40"/>
      <c r="V88" s="43">
        <v>129560.162344756</v>
      </c>
      <c r="W88" s="43"/>
      <c r="X88" s="43">
        <v>325417.77457874198</v>
      </c>
      <c r="Y88" s="40"/>
      <c r="Z88" s="40">
        <f t="shared" si="31"/>
        <v>-832051.09420284256</v>
      </c>
      <c r="AA88" s="40"/>
      <c r="AB88" s="40">
        <f t="shared" si="32"/>
        <v>-46847182.56175229</v>
      </c>
      <c r="AC88" s="17"/>
      <c r="AD88" s="40"/>
      <c r="AE88" s="40"/>
      <c r="AF88" s="40">
        <f>BA88/100*AF25</f>
        <v>7426561460.7339125</v>
      </c>
      <c r="AG88" s="44">
        <f t="shared" si="28"/>
        <v>3.5479223050571369E-3</v>
      </c>
      <c r="AH88" s="44">
        <f t="shared" si="33"/>
        <v>-6.308058286387995E-3</v>
      </c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40"/>
      <c r="AU88" s="39">
        <v>12888213</v>
      </c>
      <c r="AW88" s="39">
        <f t="shared" si="34"/>
        <v>2.0215808930517465E-3</v>
      </c>
      <c r="AX88" s="48">
        <v>7439.4113400667002</v>
      </c>
      <c r="AY88" s="44">
        <f t="shared" si="35"/>
        <v>1.5232620146216737E-3</v>
      </c>
      <c r="AZ88" s="39">
        <f t="shared" si="29"/>
        <v>110.68478666655872</v>
      </c>
      <c r="BA88" s="39">
        <f t="shared" si="19"/>
        <v>129.22446038390154</v>
      </c>
      <c r="BC88" s="44">
        <f t="shared" si="30"/>
        <v>1.4778855467917828E-2</v>
      </c>
    </row>
    <row r="89" spans="1:55">
      <c r="A89" s="39">
        <f t="shared" si="36"/>
        <v>2033</v>
      </c>
      <c r="B89" s="39">
        <f t="shared" si="37"/>
        <v>4</v>
      </c>
      <c r="C89" s="40"/>
      <c r="D89" s="40">
        <v>126666973.717031</v>
      </c>
      <c r="E89" s="40"/>
      <c r="F89" s="40">
        <v>23023221.858539999</v>
      </c>
      <c r="G89" s="41">
        <v>5498816</v>
      </c>
      <c r="H89" s="41">
        <v>30252863.2189865</v>
      </c>
      <c r="I89" s="41">
        <v>170066</v>
      </c>
      <c r="J89" s="42">
        <v>935652.95441785199</v>
      </c>
      <c r="K89" s="40"/>
      <c r="L89" s="43">
        <v>2121878.20063429</v>
      </c>
      <c r="M89" s="43"/>
      <c r="N89" s="43">
        <v>1076551.9285432999</v>
      </c>
      <c r="O89" s="40"/>
      <c r="P89" s="40">
        <v>16933307.1467507</v>
      </c>
      <c r="Q89" s="43"/>
      <c r="R89" s="43">
        <v>28775184.236155599</v>
      </c>
      <c r="S89" s="43"/>
      <c r="T89" s="40">
        <v>110024410.921076</v>
      </c>
      <c r="U89" s="40"/>
      <c r="V89" s="43">
        <v>128266.81084473799</v>
      </c>
      <c r="W89" s="43"/>
      <c r="X89" s="43">
        <v>322169.24849428103</v>
      </c>
      <c r="Y89" s="40"/>
      <c r="Z89" s="40">
        <f t="shared" si="31"/>
        <v>2681799.0592827499</v>
      </c>
      <c r="AA89" s="40"/>
      <c r="AB89" s="40">
        <f t="shared" si="32"/>
        <v>-33575869.942705706</v>
      </c>
      <c r="AC89" s="17"/>
      <c r="AD89" s="40"/>
      <c r="AE89" s="40"/>
      <c r="AF89" s="40">
        <f>BA89/100*AF25</f>
        <v>7464526591.820364</v>
      </c>
      <c r="AG89" s="44">
        <f t="shared" si="28"/>
        <v>5.1120739102722941E-3</v>
      </c>
      <c r="AH89" s="44">
        <f t="shared" si="33"/>
        <v>-4.4980575164000596E-3</v>
      </c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U89" s="39">
        <v>12956813</v>
      </c>
      <c r="AW89" s="39">
        <f t="shared" si="34"/>
        <v>5.3226929132844094E-3</v>
      </c>
      <c r="AX89" s="48">
        <v>7437.8527545393999</v>
      </c>
      <c r="AY89" s="44">
        <f t="shared" si="35"/>
        <v>-2.095038782041946E-4</v>
      </c>
      <c r="AZ89" s="39">
        <f t="shared" si="29"/>
        <v>110.66159777449387</v>
      </c>
      <c r="BA89" s="39">
        <f t="shared" si="19"/>
        <v>129.8850653763991</v>
      </c>
      <c r="BC89" s="44">
        <f t="shared" si="30"/>
        <v>1.2950666803884554E-2</v>
      </c>
    </row>
    <row r="90" spans="1:55" s="29" customFormat="1">
      <c r="A90" s="29">
        <f t="shared" si="36"/>
        <v>2034</v>
      </c>
      <c r="B90" s="29">
        <f t="shared" si="37"/>
        <v>1</v>
      </c>
      <c r="C90" s="30"/>
      <c r="D90" s="30">
        <v>127102763.77683</v>
      </c>
      <c r="E90" s="30"/>
      <c r="F90" s="30">
        <v>23102431.860453501</v>
      </c>
      <c r="G90" s="31">
        <v>5627180</v>
      </c>
      <c r="H90" s="31">
        <v>30959084.073483501</v>
      </c>
      <c r="I90" s="31">
        <v>174036</v>
      </c>
      <c r="J90" s="32">
        <v>957494.72307848302</v>
      </c>
      <c r="K90" s="30"/>
      <c r="L90" s="33">
        <v>2726223.3494738601</v>
      </c>
      <c r="M90" s="33"/>
      <c r="N90" s="33">
        <v>1081402.7257604999</v>
      </c>
      <c r="O90" s="30"/>
      <c r="P90" s="30">
        <v>20095944.6520877</v>
      </c>
      <c r="Q90" s="33"/>
      <c r="R90" s="33">
        <v>25256787.715866499</v>
      </c>
      <c r="S90" s="33"/>
      <c r="T90" s="30">
        <v>96571516.880343601</v>
      </c>
      <c r="U90" s="30"/>
      <c r="V90" s="33">
        <v>129234.022925372</v>
      </c>
      <c r="W90" s="33"/>
      <c r="X90" s="33">
        <v>324598.60638585303</v>
      </c>
      <c r="Y90" s="30"/>
      <c r="Z90" s="30">
        <f t="shared" si="31"/>
        <v>-1524036.1968959905</v>
      </c>
      <c r="AA90" s="30"/>
      <c r="AB90" s="30">
        <f t="shared" si="32"/>
        <v>-50627191.548574105</v>
      </c>
      <c r="AC90" s="17"/>
      <c r="AD90" s="30"/>
      <c r="AE90" s="30"/>
      <c r="AF90" s="30">
        <f>BA90/100*AF25</f>
        <v>7393447377.4921589</v>
      </c>
      <c r="AG90" s="34">
        <f t="shared" ref="AG90:AG117" si="38">(AF90-AF89)/AF89</f>
        <v>-9.5222668783970562E-3</v>
      </c>
      <c r="AH90" s="34">
        <f t="shared" si="33"/>
        <v>-6.8475758281175102E-3</v>
      </c>
      <c r="AS90" s="34">
        <f>AVERAGE(AG90:AG93)</f>
        <v>-5.6742005511318779E-4</v>
      </c>
      <c r="AU90" s="29">
        <v>12849382</v>
      </c>
      <c r="AW90" s="29">
        <f t="shared" si="34"/>
        <v>-8.2914679713290609E-3</v>
      </c>
      <c r="AX90" s="38">
        <v>7428.6217146263998</v>
      </c>
      <c r="AY90" s="34">
        <f t="shared" si="35"/>
        <v>-1.2410893597438227E-3</v>
      </c>
      <c r="AZ90" s="29">
        <f t="shared" ref="AZ90:AZ117" si="39">AZ89*((1+AY90))</f>
        <v>110.52425684296369</v>
      </c>
      <c r="BA90" s="29">
        <f t="shared" si="19"/>
        <v>128.64826512036697</v>
      </c>
      <c r="BC90" s="34">
        <f t="shared" si="30"/>
        <v>1.5128761545984592E-2</v>
      </c>
    </row>
    <row r="91" spans="1:55" s="39" customFormat="1">
      <c r="A91" s="39">
        <f t="shared" si="36"/>
        <v>2034</v>
      </c>
      <c r="B91" s="39">
        <f t="shared" si="37"/>
        <v>2</v>
      </c>
      <c r="C91" s="40"/>
      <c r="D91" s="40">
        <v>127210302.06933799</v>
      </c>
      <c r="E91" s="40"/>
      <c r="F91" s="40">
        <v>23121978.218071699</v>
      </c>
      <c r="G91" s="41">
        <v>5779848</v>
      </c>
      <c r="H91" s="41">
        <v>31799018.365141299</v>
      </c>
      <c r="I91" s="41">
        <v>178758</v>
      </c>
      <c r="J91" s="42">
        <v>983473.77386324306</v>
      </c>
      <c r="K91" s="40"/>
      <c r="L91" s="43">
        <v>2226875.7200283301</v>
      </c>
      <c r="M91" s="43"/>
      <c r="N91" s="43">
        <v>1083178.0105713001</v>
      </c>
      <c r="O91" s="40"/>
      <c r="P91" s="40">
        <v>17514594.522331402</v>
      </c>
      <c r="Q91" s="43"/>
      <c r="R91" s="43">
        <v>28989659.819694001</v>
      </c>
      <c r="S91" s="43"/>
      <c r="T91" s="40">
        <v>110844476.903699</v>
      </c>
      <c r="U91" s="40"/>
      <c r="V91" s="43">
        <v>130294.940842775</v>
      </c>
      <c r="W91" s="43"/>
      <c r="X91" s="43">
        <v>327263.326323246</v>
      </c>
      <c r="Y91" s="40"/>
      <c r="Z91" s="40">
        <f t="shared" si="31"/>
        <v>2687922.8118654452</v>
      </c>
      <c r="AA91" s="40"/>
      <c r="AB91" s="40">
        <f t="shared" si="32"/>
        <v>-33880419.6879704</v>
      </c>
      <c r="AC91" s="17"/>
      <c r="AD91" s="40"/>
      <c r="AE91" s="40"/>
      <c r="AF91" s="40">
        <f>BA91/100*AF25</f>
        <v>7397381312.2527313</v>
      </c>
      <c r="AG91" s="44">
        <f t="shared" si="38"/>
        <v>5.3208396025763223E-4</v>
      </c>
      <c r="AH91" s="44">
        <f t="shared" si="33"/>
        <v>-4.5800558681289294E-3</v>
      </c>
      <c r="AU91" s="39">
        <v>12851683</v>
      </c>
      <c r="AW91" s="39">
        <f t="shared" si="34"/>
        <v>1.7907476017134521E-4</v>
      </c>
      <c r="AX91" s="48">
        <v>7431.2436169190996</v>
      </c>
      <c r="AY91" s="44">
        <f t="shared" si="35"/>
        <v>3.5294599636665923E-4</v>
      </c>
      <c r="AZ91" s="39">
        <f t="shared" si="39"/>
        <v>110.56326593691783</v>
      </c>
      <c r="BA91" s="39">
        <f t="shared" ref="BA91:BA117" si="40">BA90*(1+AW91)*(1+AY91)</f>
        <v>128.71671679875249</v>
      </c>
      <c r="BC91" s="44">
        <f t="shared" si="30"/>
        <v>1.2945418499764848E-2</v>
      </c>
    </row>
    <row r="92" spans="1:55">
      <c r="A92" s="39">
        <f t="shared" si="36"/>
        <v>2034</v>
      </c>
      <c r="B92" s="39">
        <f t="shared" si="37"/>
        <v>3</v>
      </c>
      <c r="C92" s="40"/>
      <c r="D92" s="40">
        <v>128327262.598012</v>
      </c>
      <c r="E92" s="40"/>
      <c r="F92" s="40">
        <v>23324999.015871301</v>
      </c>
      <c r="G92" s="41">
        <v>5891997</v>
      </c>
      <c r="H92" s="41">
        <v>32416029.073836699</v>
      </c>
      <c r="I92" s="41">
        <v>182226</v>
      </c>
      <c r="J92" s="42">
        <v>1002553.68663782</v>
      </c>
      <c r="K92" s="40"/>
      <c r="L92" s="43">
        <v>2207869.7479217201</v>
      </c>
      <c r="M92" s="43"/>
      <c r="N92" s="43">
        <v>1094605.1125653</v>
      </c>
      <c r="O92" s="40"/>
      <c r="P92" s="40">
        <v>17478840.986350399</v>
      </c>
      <c r="Q92" s="43"/>
      <c r="R92" s="43">
        <v>25525390.757446501</v>
      </c>
      <c r="S92" s="43"/>
      <c r="T92" s="40">
        <v>97598543.890106797</v>
      </c>
      <c r="U92" s="40"/>
      <c r="V92" s="43">
        <v>132439.556625</v>
      </c>
      <c r="W92" s="43"/>
      <c r="X92" s="43">
        <v>332649.982858309</v>
      </c>
      <c r="Y92" s="40"/>
      <c r="Z92" s="40">
        <f t="shared" si="31"/>
        <v>-969643.56228682026</v>
      </c>
      <c r="AA92" s="40"/>
      <c r="AB92" s="40">
        <f t="shared" si="32"/>
        <v>-48207559.694255605</v>
      </c>
      <c r="AC92" s="17"/>
      <c r="AD92" s="40"/>
      <c r="AE92" s="40"/>
      <c r="AF92" s="40">
        <f>BA92/100*AF25</f>
        <v>7487257645.615016</v>
      </c>
      <c r="AG92" s="44">
        <f t="shared" si="38"/>
        <v>1.2149749968061946E-2</v>
      </c>
      <c r="AH92" s="44">
        <f t="shared" si="33"/>
        <v>-6.4386137055786807E-3</v>
      </c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40"/>
      <c r="AU92" s="39">
        <v>12937965</v>
      </c>
      <c r="AW92" s="39">
        <f t="shared" si="34"/>
        <v>6.7136732208536425E-3</v>
      </c>
      <c r="AX92" s="48">
        <v>7471.3710252412002</v>
      </c>
      <c r="AY92" s="44">
        <f t="shared" si="35"/>
        <v>5.3998240927992727E-3</v>
      </c>
      <c r="AZ92" s="39">
        <f t="shared" si="39"/>
        <v>111.16028812410256</v>
      </c>
      <c r="BA92" s="39">
        <f t="shared" si="40"/>
        <v>130.28059272456719</v>
      </c>
      <c r="BC92" s="44">
        <f t="shared" si="30"/>
        <v>1.4852912873092823E-2</v>
      </c>
    </row>
    <row r="93" spans="1:55">
      <c r="A93" s="39">
        <f t="shared" si="36"/>
        <v>2034</v>
      </c>
      <c r="B93" s="39">
        <f t="shared" si="37"/>
        <v>4</v>
      </c>
      <c r="C93" s="40"/>
      <c r="D93" s="40">
        <v>128753449.127949</v>
      </c>
      <c r="E93" s="40"/>
      <c r="F93" s="40">
        <v>23402463.462553199</v>
      </c>
      <c r="G93" s="41">
        <v>5953620</v>
      </c>
      <c r="H93" s="41">
        <v>32755060.638112299</v>
      </c>
      <c r="I93" s="41">
        <v>184133</v>
      </c>
      <c r="J93" s="42">
        <v>1013045.43798186</v>
      </c>
      <c r="K93" s="40"/>
      <c r="L93" s="43">
        <v>2175469.2648740099</v>
      </c>
      <c r="M93" s="43"/>
      <c r="N93" s="43">
        <v>1099177.6961932001</v>
      </c>
      <c r="O93" s="40"/>
      <c r="P93" s="40">
        <v>17335871.731780902</v>
      </c>
      <c r="Q93" s="43"/>
      <c r="R93" s="43">
        <v>29315624.097408399</v>
      </c>
      <c r="S93" s="43"/>
      <c r="T93" s="40">
        <v>112090829.571418</v>
      </c>
      <c r="U93" s="40"/>
      <c r="V93" s="43">
        <v>137300.790791034</v>
      </c>
      <c r="W93" s="43"/>
      <c r="X93" s="43">
        <v>344860.00155068602</v>
      </c>
      <c r="Y93" s="40"/>
      <c r="Z93" s="40">
        <f t="shared" si="31"/>
        <v>2775814.4645790234</v>
      </c>
      <c r="AA93" s="40"/>
      <c r="AB93" s="40">
        <f t="shared" si="32"/>
        <v>-33998491.288311899</v>
      </c>
      <c r="AC93" s="17"/>
      <c r="AD93" s="40"/>
      <c r="AE93" s="40"/>
      <c r="AF93" s="40">
        <f>BA93/100*AF25</f>
        <v>7446607472.4799643</v>
      </c>
      <c r="AG93" s="44">
        <f t="shared" si="38"/>
        <v>-5.4292472703752741E-3</v>
      </c>
      <c r="AH93" s="44">
        <f t="shared" si="33"/>
        <v>-4.5656349436919205E-3</v>
      </c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U93" s="39">
        <v>12822472</v>
      </c>
      <c r="AW93" s="39">
        <f t="shared" si="34"/>
        <v>-8.9266743262947455E-3</v>
      </c>
      <c r="AX93" s="48">
        <v>7497.7369605272997</v>
      </c>
      <c r="AY93" s="44">
        <f t="shared" si="35"/>
        <v>3.5289286527231964E-3</v>
      </c>
      <c r="AZ93" s="39">
        <f t="shared" si="39"/>
        <v>111.55256484990866</v>
      </c>
      <c r="BA93" s="39">
        <f t="shared" si="40"/>
        <v>129.57326717213445</v>
      </c>
      <c r="BC93" s="44">
        <f t="shared" si="30"/>
        <v>1.3008817038398242E-2</v>
      </c>
    </row>
    <row r="94" spans="1:55" s="29" customFormat="1">
      <c r="A94" s="29">
        <f t="shared" si="36"/>
        <v>2035</v>
      </c>
      <c r="B94" s="29">
        <f t="shared" si="37"/>
        <v>1</v>
      </c>
      <c r="C94" s="30"/>
      <c r="D94" s="30">
        <v>128778989.766073</v>
      </c>
      <c r="E94" s="30"/>
      <c r="F94" s="30">
        <v>23407105.775862601</v>
      </c>
      <c r="G94" s="31">
        <v>6097735</v>
      </c>
      <c r="H94" s="31">
        <v>33547938.847313002</v>
      </c>
      <c r="I94" s="31">
        <v>188590</v>
      </c>
      <c r="J94" s="32">
        <v>1037566.53695426</v>
      </c>
      <c r="K94" s="30"/>
      <c r="L94" s="33">
        <v>2691664.6629944602</v>
      </c>
      <c r="M94" s="33"/>
      <c r="N94" s="33">
        <v>1099633.3545534001</v>
      </c>
      <c r="O94" s="30"/>
      <c r="P94" s="30">
        <v>20016919.0043744</v>
      </c>
      <c r="Q94" s="33"/>
      <c r="R94" s="33">
        <v>25382905.382619701</v>
      </c>
      <c r="S94" s="33"/>
      <c r="T94" s="30">
        <v>97053738.710006997</v>
      </c>
      <c r="U94" s="30"/>
      <c r="V94" s="33">
        <v>128870.28192923</v>
      </c>
      <c r="W94" s="33"/>
      <c r="X94" s="33">
        <v>323684.99387298297</v>
      </c>
      <c r="Y94" s="30"/>
      <c r="Z94" s="30">
        <f t="shared" si="31"/>
        <v>-1686628.1288615316</v>
      </c>
      <c r="AA94" s="30"/>
      <c r="AB94" s="30">
        <f t="shared" si="32"/>
        <v>-51742170.060440406</v>
      </c>
      <c r="AC94" s="17"/>
      <c r="AD94" s="30"/>
      <c r="AE94" s="30"/>
      <c r="AF94" s="30">
        <f>BA94/100*AF25</f>
        <v>7510428098.0527239</v>
      </c>
      <c r="AG94" s="34">
        <f t="shared" si="38"/>
        <v>8.570429663255134E-3</v>
      </c>
      <c r="AH94" s="34">
        <f t="shared" si="33"/>
        <v>-6.8893769283079782E-3</v>
      </c>
      <c r="AS94" s="34">
        <f>AVERAGE(AG94:AG97)</f>
        <v>8.6448739971485816E-4</v>
      </c>
      <c r="AU94" s="29">
        <v>12936534</v>
      </c>
      <c r="AW94" s="29">
        <f t="shared" si="34"/>
        <v>8.8954766288434871E-3</v>
      </c>
      <c r="AX94" s="38">
        <v>7495.3213320462</v>
      </c>
      <c r="AY94" s="34">
        <f t="shared" si="35"/>
        <v>-3.2218101192627279E-4</v>
      </c>
      <c r="AZ94" s="29">
        <f t="shared" si="39"/>
        <v>111.51662473168234</v>
      </c>
      <c r="BA94" s="29">
        <f t="shared" si="40"/>
        <v>130.6837657446714</v>
      </c>
      <c r="BC94" s="34">
        <f t="shared" si="30"/>
        <v>1.4908095651907403E-2</v>
      </c>
    </row>
    <row r="95" spans="1:55" s="39" customFormat="1">
      <c r="A95" s="39">
        <f t="shared" si="36"/>
        <v>2035</v>
      </c>
      <c r="B95" s="39">
        <f t="shared" si="37"/>
        <v>2</v>
      </c>
      <c r="C95" s="40"/>
      <c r="D95" s="40">
        <v>129349205.60960101</v>
      </c>
      <c r="E95" s="40"/>
      <c r="F95" s="40">
        <v>23510749.255197</v>
      </c>
      <c r="G95" s="41">
        <v>6212684</v>
      </c>
      <c r="H95" s="41">
        <v>34180354.329875</v>
      </c>
      <c r="I95" s="41">
        <v>192145</v>
      </c>
      <c r="J95" s="42">
        <v>1057125.0980596801</v>
      </c>
      <c r="K95" s="40"/>
      <c r="L95" s="43">
        <v>2197904.51157392</v>
      </c>
      <c r="M95" s="43"/>
      <c r="N95" s="43">
        <v>1105726.9164774001</v>
      </c>
      <c r="O95" s="40"/>
      <c r="P95" s="40">
        <v>17488320.211230699</v>
      </c>
      <c r="Q95" s="43"/>
      <c r="R95" s="43">
        <v>29135407.026946101</v>
      </c>
      <c r="S95" s="43"/>
      <c r="T95" s="40">
        <v>111401753.982785</v>
      </c>
      <c r="U95" s="40"/>
      <c r="V95" s="43">
        <v>127980.04955264</v>
      </c>
      <c r="W95" s="43"/>
      <c r="X95" s="43">
        <v>321448.98680410499</v>
      </c>
      <c r="Y95" s="40"/>
      <c r="Z95" s="40">
        <f t="shared" si="31"/>
        <v>2449006.3932504244</v>
      </c>
      <c r="AA95" s="40"/>
      <c r="AB95" s="40">
        <f t="shared" si="32"/>
        <v>-35435771.8380467</v>
      </c>
      <c r="AC95" s="17"/>
      <c r="AD95" s="40"/>
      <c r="AE95" s="40"/>
      <c r="AF95" s="40">
        <f>BA95/100*AF25</f>
        <v>7537914842.2296762</v>
      </c>
      <c r="AG95" s="44">
        <f t="shared" si="38"/>
        <v>3.6598105751227449E-3</v>
      </c>
      <c r="AH95" s="44">
        <f t="shared" si="33"/>
        <v>-4.7010045323840491E-3</v>
      </c>
      <c r="AU95" s="39">
        <v>12927854</v>
      </c>
      <c r="AW95" s="39">
        <f t="shared" si="34"/>
        <v>-6.7096797333814453E-4</v>
      </c>
      <c r="AX95" s="48">
        <v>7527.8037035158004</v>
      </c>
      <c r="AY95" s="44">
        <f t="shared" si="35"/>
        <v>4.3336863131834243E-3</v>
      </c>
      <c r="AZ95" s="39">
        <f t="shared" si="39"/>
        <v>111.99990280197443</v>
      </c>
      <c r="BA95" s="39">
        <f t="shared" si="40"/>
        <v>131.1620435725406</v>
      </c>
      <c r="BC95" s="44">
        <f t="shared" si="30"/>
        <v>1.2997750609742573E-2</v>
      </c>
    </row>
    <row r="96" spans="1:55">
      <c r="A96" s="39">
        <f t="shared" si="36"/>
        <v>2035</v>
      </c>
      <c r="B96" s="39">
        <f t="shared" si="37"/>
        <v>3</v>
      </c>
      <c r="C96" s="40"/>
      <c r="D96" s="40">
        <v>129342141.15097301</v>
      </c>
      <c r="E96" s="40"/>
      <c r="F96" s="40">
        <v>23509465.206217799</v>
      </c>
      <c r="G96" s="41">
        <v>6352471</v>
      </c>
      <c r="H96" s="41">
        <v>34949421.1600421</v>
      </c>
      <c r="I96" s="41">
        <v>196468</v>
      </c>
      <c r="J96" s="42">
        <v>1080908.9685684801</v>
      </c>
      <c r="K96" s="40"/>
      <c r="L96" s="43">
        <v>2190483.8429426202</v>
      </c>
      <c r="M96" s="43"/>
      <c r="N96" s="43">
        <v>1106077.9298314999</v>
      </c>
      <c r="O96" s="40"/>
      <c r="P96" s="40">
        <v>17451745.498335101</v>
      </c>
      <c r="Q96" s="43"/>
      <c r="R96" s="43">
        <v>25574802.824734401</v>
      </c>
      <c r="S96" s="43"/>
      <c r="T96" s="40">
        <v>97787475.212009802</v>
      </c>
      <c r="U96" s="40"/>
      <c r="V96" s="43">
        <v>127854.46923391501</v>
      </c>
      <c r="W96" s="43"/>
      <c r="X96" s="43">
        <v>321133.56524927903</v>
      </c>
      <c r="Y96" s="40"/>
      <c r="Z96" s="40">
        <f t="shared" si="31"/>
        <v>-1103369.6850236058</v>
      </c>
      <c r="AA96" s="40"/>
      <c r="AB96" s="40">
        <f t="shared" si="32"/>
        <v>-49006411.437298313</v>
      </c>
      <c r="AC96" s="17"/>
      <c r="AD96" s="40"/>
      <c r="AE96" s="40"/>
      <c r="AF96" s="40">
        <f>BA96/100*AF25</f>
        <v>7550767593.1156254</v>
      </c>
      <c r="AG96" s="44">
        <f t="shared" si="38"/>
        <v>1.7050804041913743E-3</v>
      </c>
      <c r="AH96" s="44">
        <f t="shared" si="33"/>
        <v>-6.4902555710997728E-3</v>
      </c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40"/>
      <c r="AU96" s="39">
        <v>12976280</v>
      </c>
      <c r="AW96" s="39">
        <f t="shared" si="34"/>
        <v>3.7458653230458823E-3</v>
      </c>
      <c r="AX96" s="48">
        <v>7512.4984068256999</v>
      </c>
      <c r="AY96" s="44">
        <f t="shared" si="35"/>
        <v>-2.0331689418192798E-3</v>
      </c>
      <c r="AZ96" s="39">
        <f t="shared" si="39"/>
        <v>111.77218807811067</v>
      </c>
      <c r="BA96" s="39">
        <f t="shared" si="40"/>
        <v>131.38568540280983</v>
      </c>
      <c r="BC96" s="44">
        <f t="shared" si="30"/>
        <v>1.4890315085348872E-2</v>
      </c>
    </row>
    <row r="97" spans="1:55">
      <c r="A97" s="39">
        <f t="shared" si="36"/>
        <v>2035</v>
      </c>
      <c r="B97" s="39">
        <f t="shared" si="37"/>
        <v>4</v>
      </c>
      <c r="C97" s="40"/>
      <c r="D97" s="40">
        <v>129590719.83382</v>
      </c>
      <c r="E97" s="40"/>
      <c r="F97" s="40">
        <v>23554647.324307099</v>
      </c>
      <c r="G97" s="41">
        <v>6515751</v>
      </c>
      <c r="H97" s="41">
        <v>35847739.544653699</v>
      </c>
      <c r="I97" s="41">
        <v>201518</v>
      </c>
      <c r="J97" s="42">
        <v>1108692.5785775899</v>
      </c>
      <c r="K97" s="40"/>
      <c r="L97" s="43">
        <v>2234350.5653953101</v>
      </c>
      <c r="M97" s="43"/>
      <c r="N97" s="43">
        <v>1108768.4728206999</v>
      </c>
      <c r="O97" s="40"/>
      <c r="P97" s="40">
        <v>17694172.703363702</v>
      </c>
      <c r="Q97" s="43"/>
      <c r="R97" s="43">
        <v>29563052.337112799</v>
      </c>
      <c r="S97" s="43"/>
      <c r="T97" s="40">
        <v>113036892.890954</v>
      </c>
      <c r="U97" s="40"/>
      <c r="V97" s="43">
        <v>129831.685651643</v>
      </c>
      <c r="W97" s="43"/>
      <c r="X97" s="43">
        <v>326099.76284330001</v>
      </c>
      <c r="Y97" s="40"/>
      <c r="Z97" s="40">
        <f t="shared" si="31"/>
        <v>2795117.6602413319</v>
      </c>
      <c r="AA97" s="40"/>
      <c r="AB97" s="40">
        <f t="shared" si="32"/>
        <v>-34247999.646229699</v>
      </c>
      <c r="AC97" s="17"/>
      <c r="AD97" s="40"/>
      <c r="AE97" s="40"/>
      <c r="AF97" s="40">
        <f>BA97/100*AF25</f>
        <v>7471655399.3777332</v>
      </c>
      <c r="AG97" s="44">
        <f t="shared" si="38"/>
        <v>-1.0477371043709821E-2</v>
      </c>
      <c r="AH97" s="44">
        <f t="shared" si="33"/>
        <v>-4.5837231263478771E-3</v>
      </c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U97" s="39">
        <v>12812731</v>
      </c>
      <c r="AW97" s="39">
        <f t="shared" si="34"/>
        <v>-1.2603689192896577E-2</v>
      </c>
      <c r="AX97" s="48">
        <v>7528.6762692841003</v>
      </c>
      <c r="AY97" s="44">
        <f t="shared" si="35"/>
        <v>2.153459685755337E-3</v>
      </c>
      <c r="AZ97" s="39">
        <f t="shared" si="39"/>
        <v>112.01288497912554</v>
      </c>
      <c r="BA97" s="39">
        <f t="shared" si="40"/>
        <v>130.00910882701245</v>
      </c>
      <c r="BC97" s="44">
        <f t="shared" si="30"/>
        <v>1.2988412937881239E-2</v>
      </c>
    </row>
    <row r="98" spans="1:55" s="29" customFormat="1">
      <c r="A98" s="29">
        <f t="shared" si="36"/>
        <v>2036</v>
      </c>
      <c r="B98" s="29">
        <f t="shared" si="37"/>
        <v>1</v>
      </c>
      <c r="C98" s="30"/>
      <c r="D98" s="30">
        <v>130212964.09666599</v>
      </c>
      <c r="E98" s="30"/>
      <c r="F98" s="30">
        <v>23667747.584724698</v>
      </c>
      <c r="G98" s="31">
        <v>6750450</v>
      </c>
      <c r="H98" s="31">
        <v>37138984.195253499</v>
      </c>
      <c r="I98" s="31">
        <v>208777</v>
      </c>
      <c r="J98" s="32">
        <v>1148629.4548263401</v>
      </c>
      <c r="K98" s="30"/>
      <c r="L98" s="33">
        <v>2656931.7857488701</v>
      </c>
      <c r="M98" s="33"/>
      <c r="N98" s="33">
        <v>1114959.7668848999</v>
      </c>
      <c r="O98" s="30"/>
      <c r="P98" s="30">
        <v>19921011.337859102</v>
      </c>
      <c r="Q98" s="33"/>
      <c r="R98" s="33">
        <v>25662160.543936402</v>
      </c>
      <c r="S98" s="33"/>
      <c r="T98" s="30">
        <v>98121495.022820905</v>
      </c>
      <c r="U98" s="30"/>
      <c r="V98" s="33">
        <v>132262.90873639699</v>
      </c>
      <c r="W98" s="33"/>
      <c r="X98" s="33">
        <v>332206.29429113702</v>
      </c>
      <c r="Y98" s="30"/>
      <c r="Z98" s="30">
        <f t="shared" si="31"/>
        <v>-1645215.6846856698</v>
      </c>
      <c r="AA98" s="30"/>
      <c r="AB98" s="30">
        <f t="shared" si="32"/>
        <v>-52012480.411704198</v>
      </c>
      <c r="AC98" s="17"/>
      <c r="AD98" s="30"/>
      <c r="AE98" s="30"/>
      <c r="AF98" s="30">
        <f>BA98/100*AF25</f>
        <v>7579630973.2746973</v>
      </c>
      <c r="AG98" s="34">
        <f t="shared" si="38"/>
        <v>1.4451358919197032E-2</v>
      </c>
      <c r="AH98" s="34">
        <f t="shared" si="33"/>
        <v>-6.8621388818396224E-3</v>
      </c>
      <c r="AS98" s="34">
        <f>AVERAGE(AG98:AG101)</f>
        <v>5.0774886441835743E-3</v>
      </c>
      <c r="AU98" s="29">
        <v>13017397</v>
      </c>
      <c r="AW98" s="29">
        <f t="shared" si="34"/>
        <v>1.5973643714208938E-2</v>
      </c>
      <c r="AX98" s="38">
        <v>7517.3956721128998</v>
      </c>
      <c r="AY98" s="34">
        <f t="shared" si="35"/>
        <v>-1.4983506751676502E-3</v>
      </c>
      <c r="AZ98" s="29">
        <f t="shared" si="39"/>
        <v>111.8450503972896</v>
      </c>
      <c r="BA98" s="29">
        <f t="shared" si="40"/>
        <v>131.88791712143657</v>
      </c>
      <c r="BC98" s="34">
        <f t="shared" si="30"/>
        <v>1.4848406156691651E-2</v>
      </c>
    </row>
    <row r="99" spans="1:55" s="39" customFormat="1">
      <c r="A99" s="39">
        <f t="shared" si="36"/>
        <v>2036</v>
      </c>
      <c r="B99" s="39">
        <f t="shared" si="37"/>
        <v>2</v>
      </c>
      <c r="C99" s="40"/>
      <c r="D99" s="40">
        <v>130275827.697225</v>
      </c>
      <c r="E99" s="40"/>
      <c r="F99" s="40">
        <v>23679173.788256899</v>
      </c>
      <c r="G99" s="41">
        <v>6895262</v>
      </c>
      <c r="H99" s="41">
        <v>37935697.092805997</v>
      </c>
      <c r="I99" s="41">
        <v>213256</v>
      </c>
      <c r="J99" s="42">
        <v>1173271.5913076899</v>
      </c>
      <c r="K99" s="40"/>
      <c r="L99" s="43">
        <v>2123944.9046494998</v>
      </c>
      <c r="M99" s="43"/>
      <c r="N99" s="43">
        <v>1115828.6895918001</v>
      </c>
      <c r="O99" s="40"/>
      <c r="P99" s="40">
        <v>17160120.4344812</v>
      </c>
      <c r="Q99" s="43"/>
      <c r="R99" s="43">
        <v>29387310.385268498</v>
      </c>
      <c r="S99" s="43"/>
      <c r="T99" s="40">
        <v>112364928.306224</v>
      </c>
      <c r="U99" s="40"/>
      <c r="V99" s="43">
        <v>135493.12319213001</v>
      </c>
      <c r="W99" s="43"/>
      <c r="X99" s="43">
        <v>340319.66170726903</v>
      </c>
      <c r="Y99" s="40"/>
      <c r="Z99" s="40">
        <f t="shared" si="31"/>
        <v>2603856.1259624325</v>
      </c>
      <c r="AA99" s="40"/>
      <c r="AB99" s="40">
        <f t="shared" si="32"/>
        <v>-35071019.825482205</v>
      </c>
      <c r="AC99" s="17"/>
      <c r="AD99" s="40"/>
      <c r="AE99" s="40"/>
      <c r="AF99" s="40">
        <f>BA99/100*AF25</f>
        <v>7565177905.9299259</v>
      </c>
      <c r="AG99" s="44">
        <f t="shared" si="38"/>
        <v>-1.9068299493381661E-3</v>
      </c>
      <c r="AH99" s="44">
        <f t="shared" si="33"/>
        <v>-4.6358486557192486E-3</v>
      </c>
      <c r="AU99" s="39">
        <v>12956486</v>
      </c>
      <c r="AW99" s="39">
        <f t="shared" si="34"/>
        <v>-4.6791996894617258E-3</v>
      </c>
      <c r="AX99" s="48">
        <v>7538.3346500579</v>
      </c>
      <c r="AY99" s="44">
        <f t="shared" si="35"/>
        <v>2.7854031979023105E-3</v>
      </c>
      <c r="AZ99" s="39">
        <f t="shared" si="39"/>
        <v>112.15658395833574</v>
      </c>
      <c r="BA99" s="39">
        <f t="shared" si="40"/>
        <v>131.63642929111359</v>
      </c>
      <c r="BC99" s="44">
        <f t="shared" si="30"/>
        <v>1.2959782870959294E-2</v>
      </c>
    </row>
    <row r="100" spans="1:55">
      <c r="A100" s="39">
        <f t="shared" si="36"/>
        <v>2036</v>
      </c>
      <c r="B100" s="39">
        <f t="shared" si="37"/>
        <v>3</v>
      </c>
      <c r="C100" s="40"/>
      <c r="D100" s="40">
        <v>130521511.95744</v>
      </c>
      <c r="E100" s="40"/>
      <c r="F100" s="40">
        <v>23723829.810770702</v>
      </c>
      <c r="G100" s="41">
        <v>7044007</v>
      </c>
      <c r="H100" s="41">
        <v>38754048.195935898</v>
      </c>
      <c r="I100" s="41">
        <v>217856</v>
      </c>
      <c r="J100" s="42">
        <v>1198579.4340882699</v>
      </c>
      <c r="K100" s="40"/>
      <c r="L100" s="43">
        <v>2153789.7404603702</v>
      </c>
      <c r="M100" s="43"/>
      <c r="N100" s="43">
        <v>1119067.9521059999</v>
      </c>
      <c r="O100" s="40"/>
      <c r="P100" s="40">
        <v>17332806.895996299</v>
      </c>
      <c r="Q100" s="43"/>
      <c r="R100" s="43">
        <v>25784503.782236502</v>
      </c>
      <c r="S100" s="43"/>
      <c r="T100" s="40">
        <v>98589284.998157904</v>
      </c>
      <c r="U100" s="40"/>
      <c r="V100" s="43">
        <v>131794.400095363</v>
      </c>
      <c r="W100" s="43"/>
      <c r="X100" s="43">
        <v>331029.535659649</v>
      </c>
      <c r="Y100" s="40"/>
      <c r="Z100" s="40">
        <f t="shared" si="31"/>
        <v>-1080389.3210052066</v>
      </c>
      <c r="AA100" s="40"/>
      <c r="AB100" s="40">
        <f t="shared" si="32"/>
        <v>-49265033.855278403</v>
      </c>
      <c r="AC100" s="17"/>
      <c r="AD100" s="40"/>
      <c r="AE100" s="40"/>
      <c r="AF100" s="40">
        <f>BA100/100*AF25</f>
        <v>7578651056.9832001</v>
      </c>
      <c r="AG100" s="44">
        <f t="shared" si="38"/>
        <v>1.7809430552470278E-3</v>
      </c>
      <c r="AH100" s="44">
        <f t="shared" si="33"/>
        <v>-6.5005016703974117E-3</v>
      </c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40"/>
      <c r="AU100" s="39">
        <v>12953958</v>
      </c>
      <c r="AW100" s="39">
        <f t="shared" si="34"/>
        <v>-1.9511463216183772E-4</v>
      </c>
      <c r="AX100" s="48">
        <v>7553.2337412241004</v>
      </c>
      <c r="AY100" s="44">
        <f t="shared" si="35"/>
        <v>1.9764433204203717E-3</v>
      </c>
      <c r="AZ100" s="39">
        <f t="shared" si="39"/>
        <v>112.37825508954136</v>
      </c>
      <c r="BA100" s="39">
        <f t="shared" si="40"/>
        <v>131.87086627567712</v>
      </c>
      <c r="BC100" s="44">
        <f t="shared" si="30"/>
        <v>1.4843550147914074E-2</v>
      </c>
    </row>
    <row r="101" spans="1:55">
      <c r="A101" s="39">
        <f t="shared" si="36"/>
        <v>2036</v>
      </c>
      <c r="B101" s="39">
        <f t="shared" si="37"/>
        <v>4</v>
      </c>
      <c r="C101" s="40"/>
      <c r="D101" s="40">
        <v>130887478.597533</v>
      </c>
      <c r="E101" s="40"/>
      <c r="F101" s="40">
        <v>23790348.579637099</v>
      </c>
      <c r="G101" s="41">
        <v>7204151</v>
      </c>
      <c r="H101" s="41">
        <v>39635113.233817004</v>
      </c>
      <c r="I101" s="41">
        <v>222809</v>
      </c>
      <c r="J101" s="42">
        <v>1225829.3787170099</v>
      </c>
      <c r="K101" s="40"/>
      <c r="L101" s="43">
        <v>2182955.2067266102</v>
      </c>
      <c r="M101" s="43"/>
      <c r="N101" s="43">
        <v>1122928.8016488</v>
      </c>
      <c r="O101" s="40"/>
      <c r="P101" s="40">
        <v>17505387.894148301</v>
      </c>
      <c r="Q101" s="43"/>
      <c r="R101" s="43">
        <v>29725859.7610907</v>
      </c>
      <c r="S101" s="43"/>
      <c r="T101" s="40">
        <v>113659401.18732999</v>
      </c>
      <c r="U101" s="40"/>
      <c r="V101" s="43">
        <v>131779.40736627101</v>
      </c>
      <c r="W101" s="43"/>
      <c r="X101" s="43">
        <v>330991.87824669399</v>
      </c>
      <c r="Y101" s="40"/>
      <c r="Z101" s="40">
        <f t="shared" si="31"/>
        <v>2761406.5804444626</v>
      </c>
      <c r="AA101" s="40"/>
      <c r="AB101" s="40">
        <f t="shared" si="32"/>
        <v>-34733465.304351315</v>
      </c>
      <c r="AC101" s="17"/>
      <c r="AD101" s="40"/>
      <c r="AE101" s="40"/>
      <c r="AF101" s="40">
        <f>BA101/100*AF25</f>
        <v>7624005361.9985962</v>
      </c>
      <c r="AG101" s="44">
        <f t="shared" si="38"/>
        <v>5.9844825516284037E-3</v>
      </c>
      <c r="AH101" s="44">
        <f t="shared" si="33"/>
        <v>-4.5558028431457063E-3</v>
      </c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U101" s="39">
        <v>12973054</v>
      </c>
      <c r="AW101" s="39">
        <f t="shared" si="34"/>
        <v>1.4741440415354133E-3</v>
      </c>
      <c r="AX101" s="48">
        <v>7587.2512355563003</v>
      </c>
      <c r="AY101" s="44">
        <f t="shared" si="35"/>
        <v>4.5036994084452827E-3</v>
      </c>
      <c r="AZ101" s="39">
        <f t="shared" si="39"/>
        <v>112.88437297051024</v>
      </c>
      <c r="BA101" s="39">
        <f t="shared" si="40"/>
        <v>132.66004517397204</v>
      </c>
      <c r="BC101" s="44">
        <f t="shared" si="30"/>
        <v>1.292481320729116E-2</v>
      </c>
    </row>
    <row r="102" spans="1:55" s="29" customFormat="1">
      <c r="A102" s="29">
        <f t="shared" si="36"/>
        <v>2037</v>
      </c>
      <c r="B102" s="29">
        <f t="shared" si="37"/>
        <v>1</v>
      </c>
      <c r="C102" s="30"/>
      <c r="D102" s="30">
        <v>130977343.056583</v>
      </c>
      <c r="E102" s="30"/>
      <c r="F102" s="30">
        <v>23806682.5088153</v>
      </c>
      <c r="G102" s="31">
        <v>7415354</v>
      </c>
      <c r="H102" s="31">
        <v>40797089.8248576</v>
      </c>
      <c r="I102" s="31">
        <v>229341</v>
      </c>
      <c r="J102" s="32">
        <v>1261766.51546543</v>
      </c>
      <c r="K102" s="30"/>
      <c r="L102" s="33">
        <v>2699372.3383438401</v>
      </c>
      <c r="M102" s="33"/>
      <c r="N102" s="33">
        <v>1124131.6756317001</v>
      </c>
      <c r="O102" s="30"/>
      <c r="P102" s="30">
        <v>20191696.702802598</v>
      </c>
      <c r="Q102" s="33"/>
      <c r="R102" s="33">
        <v>26062501.066989101</v>
      </c>
      <c r="S102" s="33"/>
      <c r="T102" s="30">
        <v>99652231.710906699</v>
      </c>
      <c r="U102" s="30"/>
      <c r="V102" s="33">
        <v>134916.20535195299</v>
      </c>
      <c r="W102" s="33"/>
      <c r="X102" s="33">
        <v>338870.610422773</v>
      </c>
      <c r="Y102" s="30"/>
      <c r="Z102" s="30">
        <f t="shared" si="31"/>
        <v>-1432769.2504497841</v>
      </c>
      <c r="AA102" s="30"/>
      <c r="AB102" s="30">
        <f t="shared" si="32"/>
        <v>-51516808.048478901</v>
      </c>
      <c r="AC102" s="17"/>
      <c r="AD102" s="30"/>
      <c r="AE102" s="30"/>
      <c r="AF102" s="30">
        <f>BA102/100*AF25</f>
        <v>7666882886.3520069</v>
      </c>
      <c r="AG102" s="34">
        <f t="shared" si="38"/>
        <v>5.6240155033378128E-3</v>
      </c>
      <c r="AH102" s="34">
        <f t="shared" si="33"/>
        <v>-6.7193941543290227E-3</v>
      </c>
      <c r="AS102" s="34">
        <f>AVERAGE(AG102:AG105)</f>
        <v>2.6541530296818141E-3</v>
      </c>
      <c r="AU102" s="29">
        <v>13029818</v>
      </c>
      <c r="AW102" s="29">
        <f t="shared" si="34"/>
        <v>4.3755310044959342E-3</v>
      </c>
      <c r="AX102" s="38">
        <v>7596.6825341732001</v>
      </c>
      <c r="AY102" s="34">
        <f t="shared" si="35"/>
        <v>1.2430455146524827E-3</v>
      </c>
      <c r="AZ102" s="29">
        <f t="shared" si="39"/>
        <v>113.02469338400559</v>
      </c>
      <c r="BA102" s="29">
        <f t="shared" si="40"/>
        <v>133.40612732470393</v>
      </c>
      <c r="BC102" s="34">
        <f t="shared" si="30"/>
        <v>1.4707670496828137E-2</v>
      </c>
    </row>
    <row r="103" spans="1:55" s="39" customFormat="1">
      <c r="A103" s="39">
        <f t="shared" si="36"/>
        <v>2037</v>
      </c>
      <c r="B103" s="39">
        <f t="shared" si="37"/>
        <v>2</v>
      </c>
      <c r="C103" s="40"/>
      <c r="D103" s="40">
        <v>131288053.159775</v>
      </c>
      <c r="E103" s="40"/>
      <c r="F103" s="40">
        <v>23863157.748015799</v>
      </c>
      <c r="G103" s="41">
        <v>7596334</v>
      </c>
      <c r="H103" s="41">
        <v>41792788.387124904</v>
      </c>
      <c r="I103" s="41">
        <v>234938</v>
      </c>
      <c r="J103" s="42">
        <v>1292559.55808346</v>
      </c>
      <c r="K103" s="40"/>
      <c r="L103" s="43">
        <v>2204551.5947954198</v>
      </c>
      <c r="M103" s="43"/>
      <c r="N103" s="43">
        <v>1127703.8600560001</v>
      </c>
      <c r="O103" s="40"/>
      <c r="P103" s="40">
        <v>17643722.6169887</v>
      </c>
      <c r="Q103" s="43"/>
      <c r="R103" s="43">
        <v>29924010.609561</v>
      </c>
      <c r="S103" s="43"/>
      <c r="T103" s="40">
        <v>114417048.130527</v>
      </c>
      <c r="U103" s="40"/>
      <c r="V103" s="43">
        <v>131674.69411302099</v>
      </c>
      <c r="W103" s="43"/>
      <c r="X103" s="43">
        <v>330728.868744198</v>
      </c>
      <c r="Y103" s="40"/>
      <c r="Z103" s="40">
        <f t="shared" si="31"/>
        <v>2860272.1008067988</v>
      </c>
      <c r="AA103" s="40"/>
      <c r="AB103" s="40">
        <f t="shared" si="32"/>
        <v>-34514727.646236703</v>
      </c>
      <c r="AC103" s="17"/>
      <c r="AD103" s="40"/>
      <c r="AE103" s="40"/>
      <c r="AF103" s="40">
        <f>BA103/100*AF25</f>
        <v>7683991069.0074081</v>
      </c>
      <c r="AG103" s="44">
        <f t="shared" si="38"/>
        <v>2.2314391531734357E-3</v>
      </c>
      <c r="AH103" s="44">
        <f t="shared" si="33"/>
        <v>-4.4917709216826564E-3</v>
      </c>
      <c r="AU103" s="39">
        <v>13023652</v>
      </c>
      <c r="AW103" s="39">
        <f t="shared" si="34"/>
        <v>-4.7322226603625621E-4</v>
      </c>
      <c r="AX103" s="48">
        <v>7617.2387159803002</v>
      </c>
      <c r="AY103" s="44">
        <f t="shared" si="35"/>
        <v>2.7059419311823785E-3</v>
      </c>
      <c r="AZ103" s="39">
        <f t="shared" si="39"/>
        <v>113.33053164109239</v>
      </c>
      <c r="BA103" s="39">
        <f t="shared" si="40"/>
        <v>133.70381498048954</v>
      </c>
      <c r="BC103" s="44">
        <f t="shared" ref="BC103:BC110" si="41">T110/AF110</f>
        <v>1.2952892520882177E-2</v>
      </c>
    </row>
    <row r="104" spans="1:55">
      <c r="A104" s="39">
        <f t="shared" si="36"/>
        <v>2037</v>
      </c>
      <c r="B104" s="39">
        <f t="shared" si="37"/>
        <v>3</v>
      </c>
      <c r="C104" s="40"/>
      <c r="D104" s="40">
        <v>131390299.823121</v>
      </c>
      <c r="E104" s="40"/>
      <c r="F104" s="40">
        <v>23881742.289395701</v>
      </c>
      <c r="G104" s="41">
        <v>7769385</v>
      </c>
      <c r="H104" s="41">
        <v>42744863.930825301</v>
      </c>
      <c r="I104" s="41">
        <v>240290</v>
      </c>
      <c r="J104" s="42">
        <v>1322004.6829881701</v>
      </c>
      <c r="K104" s="40"/>
      <c r="L104" s="43">
        <v>2181655.9790351698</v>
      </c>
      <c r="M104" s="43"/>
      <c r="N104" s="43">
        <v>1129033.0029309001</v>
      </c>
      <c r="O104" s="40"/>
      <c r="P104" s="40">
        <v>17532229.709904801</v>
      </c>
      <c r="Q104" s="43"/>
      <c r="R104" s="43">
        <v>26265527.704817299</v>
      </c>
      <c r="S104" s="43"/>
      <c r="T104" s="40">
        <v>100428521.657307</v>
      </c>
      <c r="U104" s="40"/>
      <c r="V104" s="43">
        <v>132315.69052099201</v>
      </c>
      <c r="W104" s="43"/>
      <c r="X104" s="43">
        <v>332338.86691662902</v>
      </c>
      <c r="Y104" s="40"/>
      <c r="Z104" s="40">
        <f t="shared" si="31"/>
        <v>-794587.87602348253</v>
      </c>
      <c r="AA104" s="40"/>
      <c r="AB104" s="40">
        <f t="shared" si="32"/>
        <v>-48494007.875718802</v>
      </c>
      <c r="AC104" s="17"/>
      <c r="AD104" s="40"/>
      <c r="AE104" s="40"/>
      <c r="AF104" s="40">
        <f>BA104/100*AF25</f>
        <v>7732162669.7287312</v>
      </c>
      <c r="AG104" s="44">
        <f t="shared" si="38"/>
        <v>6.2690859852269007E-3</v>
      </c>
      <c r="AH104" s="44">
        <f t="shared" si="33"/>
        <v>-6.2717262875976358E-3</v>
      </c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40"/>
      <c r="AU104" s="39">
        <v>13068058</v>
      </c>
      <c r="AW104" s="39">
        <f t="shared" si="34"/>
        <v>3.4096427023695042E-3</v>
      </c>
      <c r="AX104" s="48">
        <v>7638.9457647801</v>
      </c>
      <c r="AY104" s="44">
        <f t="shared" si="35"/>
        <v>2.8497267328986766E-3</v>
      </c>
      <c r="AZ104" s="39">
        <f t="shared" si="39"/>
        <v>113.65349268676363</v>
      </c>
      <c r="BA104" s="39">
        <f t="shared" si="40"/>
        <v>134.54201569315509</v>
      </c>
      <c r="BC104" s="44">
        <f t="shared" si="41"/>
        <v>1.4806139943766108E-2</v>
      </c>
    </row>
    <row r="105" spans="1:55">
      <c r="A105" s="39">
        <f t="shared" si="36"/>
        <v>2037</v>
      </c>
      <c r="B105" s="39">
        <f t="shared" si="37"/>
        <v>4</v>
      </c>
      <c r="C105" s="40"/>
      <c r="D105" s="40">
        <v>131738781.161906</v>
      </c>
      <c r="E105" s="40"/>
      <c r="F105" s="40">
        <v>23945082.897771899</v>
      </c>
      <c r="G105" s="41">
        <v>8026186</v>
      </c>
      <c r="H105" s="41">
        <v>44157707.2642809</v>
      </c>
      <c r="I105" s="41">
        <v>248233</v>
      </c>
      <c r="J105" s="42">
        <v>1365704.7254242899</v>
      </c>
      <c r="K105" s="40"/>
      <c r="L105" s="43">
        <v>2230545.0124679198</v>
      </c>
      <c r="M105" s="43"/>
      <c r="N105" s="43">
        <v>1132653.6688153001</v>
      </c>
      <c r="O105" s="40"/>
      <c r="P105" s="40">
        <v>17805834.972222801</v>
      </c>
      <c r="Q105" s="43"/>
      <c r="R105" s="43">
        <v>29921525.341433</v>
      </c>
      <c r="S105" s="43"/>
      <c r="T105" s="40">
        <v>114407545.49243701</v>
      </c>
      <c r="U105" s="40"/>
      <c r="V105" s="43">
        <v>133884.75230038699</v>
      </c>
      <c r="W105" s="43"/>
      <c r="X105" s="43">
        <v>336279.89773340599</v>
      </c>
      <c r="Y105" s="40"/>
      <c r="Z105" s="40">
        <f t="shared" si="31"/>
        <v>2747128.5146782659</v>
      </c>
      <c r="AA105" s="40"/>
      <c r="AB105" s="40">
        <f t="shared" si="32"/>
        <v>-35137070.641691804</v>
      </c>
      <c r="AC105" s="17"/>
      <c r="AD105" s="40"/>
      <c r="AE105" s="40"/>
      <c r="AF105" s="40">
        <f>BA105/100*AF25</f>
        <v>7705038795.7550297</v>
      </c>
      <c r="AG105" s="44">
        <f t="shared" si="38"/>
        <v>-3.5079285230108937E-3</v>
      </c>
      <c r="AH105" s="44">
        <f t="shared" si="33"/>
        <v>-4.5602717355621913E-3</v>
      </c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U105" s="39">
        <v>13035812</v>
      </c>
      <c r="AW105" s="39">
        <f t="shared" si="34"/>
        <v>-2.4675433794370976E-3</v>
      </c>
      <c r="AX105" s="48">
        <v>7630.9786599170002</v>
      </c>
      <c r="AY105" s="44">
        <f t="shared" si="35"/>
        <v>-1.0429586893826042E-3</v>
      </c>
      <c r="AZ105" s="39">
        <f t="shared" si="39"/>
        <v>113.53495678898729</v>
      </c>
      <c r="BA105" s="39">
        <f t="shared" si="40"/>
        <v>134.07005191876169</v>
      </c>
      <c r="BC105" s="44">
        <f t="shared" si="41"/>
        <v>1.2977410309847778E-2</v>
      </c>
    </row>
    <row r="106" spans="1:55" s="29" customFormat="1">
      <c r="A106" s="29">
        <f t="shared" si="36"/>
        <v>2038</v>
      </c>
      <c r="B106" s="29">
        <f t="shared" si="37"/>
        <v>1</v>
      </c>
      <c r="C106" s="30"/>
      <c r="D106" s="30">
        <v>132184945.45674901</v>
      </c>
      <c r="E106" s="30"/>
      <c r="F106" s="30">
        <v>24026178.5397068</v>
      </c>
      <c r="G106" s="31">
        <v>8188965</v>
      </c>
      <c r="H106" s="31">
        <v>45053269.294711404</v>
      </c>
      <c r="I106" s="31">
        <v>253267</v>
      </c>
      <c r="J106" s="32">
        <v>1393400.3081541599</v>
      </c>
      <c r="K106" s="30"/>
      <c r="L106" s="33">
        <v>2718193.68792935</v>
      </c>
      <c r="M106" s="33"/>
      <c r="N106" s="33">
        <v>1136779.0984292</v>
      </c>
      <c r="O106" s="30"/>
      <c r="P106" s="30">
        <v>20358943.1639136</v>
      </c>
      <c r="Q106" s="33"/>
      <c r="R106" s="33">
        <v>26115100.028813802</v>
      </c>
      <c r="S106" s="33"/>
      <c r="T106" s="30">
        <v>99853348.400284693</v>
      </c>
      <c r="U106" s="30"/>
      <c r="V106" s="33">
        <v>136420.310350596</v>
      </c>
      <c r="W106" s="33"/>
      <c r="X106" s="33">
        <v>342648.488533861</v>
      </c>
      <c r="Y106" s="30"/>
      <c r="Z106" s="30">
        <f t="shared" si="31"/>
        <v>-1629630.9869009517</v>
      </c>
      <c r="AA106" s="30"/>
      <c r="AB106" s="30">
        <f t="shared" si="32"/>
        <v>-52690540.220377907</v>
      </c>
      <c r="AC106" s="17"/>
      <c r="AD106" s="30"/>
      <c r="AE106" s="30"/>
      <c r="AF106" s="30">
        <f>BA106/100*AF25</f>
        <v>7704862758.4679174</v>
      </c>
      <c r="AG106" s="34">
        <f t="shared" si="38"/>
        <v>-2.2847034489848514E-5</v>
      </c>
      <c r="AH106" s="34">
        <f t="shared" si="33"/>
        <v>-6.8386085349111678E-3</v>
      </c>
      <c r="AS106" s="34">
        <f>AVERAGE(AG106:AG109)</f>
        <v>4.3804757412085685E-3</v>
      </c>
      <c r="AU106" s="29">
        <v>13040399</v>
      </c>
      <c r="AW106" s="29">
        <f t="shared" si="34"/>
        <v>3.5187681442475544E-4</v>
      </c>
      <c r="AX106" s="38">
        <v>7628.1201560638001</v>
      </c>
      <c r="AY106" s="34">
        <f t="shared" si="35"/>
        <v>-3.7459203866141883E-4</v>
      </c>
      <c r="AZ106" s="29">
        <f t="shared" si="39"/>
        <v>113.49242749806436</v>
      </c>
      <c r="BA106" s="29">
        <f t="shared" si="40"/>
        <v>134.06698881566143</v>
      </c>
      <c r="BC106" s="34">
        <f t="shared" si="41"/>
        <v>1.4847153030090163E-2</v>
      </c>
    </row>
    <row r="107" spans="1:55" s="39" customFormat="1">
      <c r="A107" s="39">
        <f t="shared" si="36"/>
        <v>2038</v>
      </c>
      <c r="B107" s="39">
        <f t="shared" si="37"/>
        <v>2</v>
      </c>
      <c r="C107" s="40"/>
      <c r="D107" s="40">
        <v>131901678.38146199</v>
      </c>
      <c r="E107" s="40"/>
      <c r="F107" s="40">
        <v>23974691.395677298</v>
      </c>
      <c r="G107" s="41">
        <v>8367196</v>
      </c>
      <c r="H107" s="41">
        <v>46033843.670064799</v>
      </c>
      <c r="I107" s="41">
        <v>258779</v>
      </c>
      <c r="J107" s="42">
        <v>1423725.7058512401</v>
      </c>
      <c r="K107" s="40"/>
      <c r="L107" s="43">
        <v>2192767.92729537</v>
      </c>
      <c r="M107" s="43"/>
      <c r="N107" s="43">
        <v>1134922.0672249</v>
      </c>
      <c r="O107" s="40"/>
      <c r="P107" s="40">
        <v>17622289.556441601</v>
      </c>
      <c r="Q107" s="43"/>
      <c r="R107" s="43">
        <v>30081735.821423899</v>
      </c>
      <c r="S107" s="43"/>
      <c r="T107" s="40">
        <v>115020124.148397</v>
      </c>
      <c r="U107" s="40"/>
      <c r="V107" s="43">
        <v>132780.90440026601</v>
      </c>
      <c r="W107" s="43"/>
      <c r="X107" s="43">
        <v>333507.35005648201</v>
      </c>
      <c r="Y107" s="40"/>
      <c r="Z107" s="40">
        <f t="shared" si="31"/>
        <v>2912135.3356265947</v>
      </c>
      <c r="AA107" s="40"/>
      <c r="AB107" s="40">
        <f t="shared" si="32"/>
        <v>-34503843.789506599</v>
      </c>
      <c r="AC107" s="17"/>
      <c r="AD107" s="40"/>
      <c r="AE107" s="40"/>
      <c r="AF107" s="40">
        <f>BA107/100*AF25</f>
        <v>7748828481.2080812</v>
      </c>
      <c r="AG107" s="44">
        <f t="shared" si="38"/>
        <v>5.7062304830600534E-3</v>
      </c>
      <c r="AH107" s="44">
        <f t="shared" si="33"/>
        <v>-4.4527819751311974E-3</v>
      </c>
      <c r="AU107" s="39">
        <v>13048371</v>
      </c>
      <c r="AW107" s="39">
        <f t="shared" si="34"/>
        <v>6.1133098764846073E-4</v>
      </c>
      <c r="AX107" s="48">
        <v>7666.9609170371004</v>
      </c>
      <c r="AY107" s="44">
        <f t="shared" si="35"/>
        <v>5.0917867284018554E-3</v>
      </c>
      <c r="AZ107" s="39">
        <f t="shared" si="39"/>
        <v>114.07030673417312</v>
      </c>
      <c r="BA107" s="39">
        <f t="shared" si="40"/>
        <v>134.83200595401343</v>
      </c>
      <c r="BC107" s="44">
        <f t="shared" si="41"/>
        <v>1.2936707935515955E-2</v>
      </c>
    </row>
    <row r="108" spans="1:55">
      <c r="A108" s="39">
        <f t="shared" si="36"/>
        <v>2038</v>
      </c>
      <c r="B108" s="39">
        <f t="shared" si="37"/>
        <v>3</v>
      </c>
      <c r="C108" s="40"/>
      <c r="D108" s="40">
        <v>132342744.633246</v>
      </c>
      <c r="E108" s="40"/>
      <c r="F108" s="40">
        <v>24054860.407939501</v>
      </c>
      <c r="G108" s="41">
        <v>8519621</v>
      </c>
      <c r="H108" s="41">
        <v>46872441.047419101</v>
      </c>
      <c r="I108" s="41">
        <v>263493</v>
      </c>
      <c r="J108" s="42">
        <v>1449660.74299638</v>
      </c>
      <c r="K108" s="40"/>
      <c r="L108" s="43">
        <v>2160045.29209603</v>
      </c>
      <c r="M108" s="43"/>
      <c r="N108" s="43">
        <v>1140572.024586</v>
      </c>
      <c r="O108" s="40"/>
      <c r="P108" s="40">
        <v>17483576.0452292</v>
      </c>
      <c r="Q108" s="43"/>
      <c r="R108" s="43">
        <v>26326908.577444699</v>
      </c>
      <c r="S108" s="43"/>
      <c r="T108" s="40">
        <v>100663216.743782</v>
      </c>
      <c r="U108" s="40"/>
      <c r="V108" s="43">
        <v>139855.42911554899</v>
      </c>
      <c r="W108" s="43"/>
      <c r="X108" s="43">
        <v>351276.516499202</v>
      </c>
      <c r="Y108" s="40"/>
      <c r="Z108" s="40">
        <f t="shared" si="31"/>
        <v>-888713.71806128323</v>
      </c>
      <c r="AA108" s="40"/>
      <c r="AB108" s="40">
        <f t="shared" si="32"/>
        <v>-49163103.934693202</v>
      </c>
      <c r="AC108" s="17"/>
      <c r="AD108" s="40"/>
      <c r="AE108" s="40"/>
      <c r="AF108" s="40">
        <f>BA108/100*AF25</f>
        <v>7788369172.4841137</v>
      </c>
      <c r="AG108" s="44">
        <f t="shared" si="38"/>
        <v>5.1027960383848705E-3</v>
      </c>
      <c r="AH108" s="44">
        <f t="shared" si="33"/>
        <v>-6.3123746250221147E-3</v>
      </c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40"/>
      <c r="AU108" s="39">
        <v>13107143</v>
      </c>
      <c r="AW108" s="39">
        <f t="shared" si="34"/>
        <v>4.5041637764591455E-3</v>
      </c>
      <c r="AX108" s="48">
        <v>7671.5300271726001</v>
      </c>
      <c r="AY108" s="44">
        <f t="shared" si="35"/>
        <v>5.9594801446638231E-4</v>
      </c>
      <c r="AZ108" s="39">
        <f t="shared" si="39"/>
        <v>114.13828670698092</v>
      </c>
      <c r="BA108" s="39">
        <f t="shared" si="40"/>
        <v>135.52002617984306</v>
      </c>
      <c r="BC108" s="44">
        <f t="shared" si="41"/>
        <v>1.4845298209549976E-2</v>
      </c>
    </row>
    <row r="109" spans="1:55">
      <c r="A109" s="39">
        <f t="shared" si="36"/>
        <v>2038</v>
      </c>
      <c r="B109" s="39">
        <f t="shared" si="37"/>
        <v>4</v>
      </c>
      <c r="C109" s="40"/>
      <c r="D109" s="40">
        <v>132443984.531829</v>
      </c>
      <c r="E109" s="40"/>
      <c r="F109" s="40">
        <v>24073261.9579065</v>
      </c>
      <c r="G109" s="41">
        <v>8667459</v>
      </c>
      <c r="H109" s="41">
        <v>47685802.104157202</v>
      </c>
      <c r="I109" s="41">
        <v>268066</v>
      </c>
      <c r="J109" s="42">
        <v>1474820.03974325</v>
      </c>
      <c r="K109" s="40"/>
      <c r="L109" s="43">
        <v>2176627.1951199202</v>
      </c>
      <c r="M109" s="43"/>
      <c r="N109" s="43">
        <v>1142218.9115398</v>
      </c>
      <c r="O109" s="40"/>
      <c r="P109" s="40">
        <v>17578680.304956902</v>
      </c>
      <c r="Q109" s="43"/>
      <c r="R109" s="43">
        <v>30160251.6748669</v>
      </c>
      <c r="S109" s="43"/>
      <c r="T109" s="40">
        <v>115320336.319139</v>
      </c>
      <c r="U109" s="40"/>
      <c r="V109" s="43">
        <v>139432.52587755999</v>
      </c>
      <c r="W109" s="43"/>
      <c r="X109" s="43">
        <v>350214.30549176002</v>
      </c>
      <c r="Y109" s="40"/>
      <c r="Z109" s="40">
        <f t="shared" si="31"/>
        <v>2907576.1361782402</v>
      </c>
      <c r="AA109" s="40"/>
      <c r="AB109" s="40">
        <f t="shared" si="32"/>
        <v>-34702328.517646894</v>
      </c>
      <c r="AC109" s="17"/>
      <c r="AD109" s="40"/>
      <c r="AE109" s="40"/>
      <c r="AF109" s="40">
        <f>BA109/100*AF25</f>
        <v>7840829473.5736055</v>
      </c>
      <c r="AG109" s="44">
        <f t="shared" si="38"/>
        <v>6.7357234778792005E-3</v>
      </c>
      <c r="AH109" s="44">
        <f t="shared" si="33"/>
        <v>-4.425849157235995E-3</v>
      </c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U109" s="39">
        <v>13156210</v>
      </c>
      <c r="AW109" s="39">
        <f t="shared" si="34"/>
        <v>3.7435312943484328E-3</v>
      </c>
      <c r="AX109" s="48">
        <v>7694.3991082350003</v>
      </c>
      <c r="AY109" s="44">
        <f t="shared" si="35"/>
        <v>2.9810325947233277E-3</v>
      </c>
      <c r="AZ109" s="39">
        <f t="shared" si="39"/>
        <v>114.4785366599603</v>
      </c>
      <c r="BA109" s="39">
        <f t="shared" si="40"/>
        <v>136.43285160190544</v>
      </c>
      <c r="BC109" s="44">
        <f t="shared" si="41"/>
        <v>1.2941555149680841E-2</v>
      </c>
    </row>
    <row r="110" spans="1:55" s="29" customFormat="1">
      <c r="A110" s="29">
        <f t="shared" si="36"/>
        <v>2039</v>
      </c>
      <c r="B110" s="29">
        <f t="shared" si="37"/>
        <v>1</v>
      </c>
      <c r="C110" s="30"/>
      <c r="D110" s="30">
        <v>132896642.576718</v>
      </c>
      <c r="E110" s="30"/>
      <c r="F110" s="30">
        <v>24155537.915780101</v>
      </c>
      <c r="G110" s="31">
        <v>8861090</v>
      </c>
      <c r="H110" s="31">
        <v>48751102.735776</v>
      </c>
      <c r="I110" s="31">
        <v>274054</v>
      </c>
      <c r="J110" s="32">
        <v>1507764.2489976201</v>
      </c>
      <c r="K110" s="30"/>
      <c r="L110" s="33">
        <v>2758247.9707697402</v>
      </c>
      <c r="M110" s="33"/>
      <c r="N110" s="33">
        <v>1146709.8501891999</v>
      </c>
      <c r="O110" s="30"/>
      <c r="P110" s="30">
        <v>20621421.094120499</v>
      </c>
      <c r="Q110" s="33"/>
      <c r="R110" s="33">
        <v>26420082.356082801</v>
      </c>
      <c r="S110" s="33"/>
      <c r="T110" s="30">
        <v>101019474.761934</v>
      </c>
      <c r="U110" s="30"/>
      <c r="V110" s="33">
        <v>139336.95426231099</v>
      </c>
      <c r="W110" s="33"/>
      <c r="X110" s="33">
        <v>349974.25714831601</v>
      </c>
      <c r="Y110" s="30"/>
      <c r="Z110" s="30">
        <f t="shared" ref="Z110:Z117" si="42">R110+V110-N110-L110-F110</f>
        <v>-1501076.4263939299</v>
      </c>
      <c r="AA110" s="30"/>
      <c r="AB110" s="30">
        <f t="shared" ref="AB110:AB117" si="43">T110-P110-D110</f>
        <v>-52498588.908904508</v>
      </c>
      <c r="AC110" s="17"/>
      <c r="AD110" s="30"/>
      <c r="AE110" s="30"/>
      <c r="AF110" s="30">
        <f>BA110/100*AF25</f>
        <v>7798989654.1698408</v>
      </c>
      <c r="AG110" s="34">
        <f t="shared" si="38"/>
        <v>-5.3361470932099531E-3</v>
      </c>
      <c r="AH110" s="34">
        <f t="shared" ref="AH110:AH117" si="44">AB110/AF110</f>
        <v>-6.7314602579111498E-3</v>
      </c>
      <c r="AS110" s="34">
        <f>AVERAGE(AG110:AG113)</f>
        <v>1.423742684957608E-3</v>
      </c>
      <c r="AU110" s="29">
        <v>13122237</v>
      </c>
      <c r="AW110" s="29">
        <f t="shared" si="34"/>
        <v>-2.5822786349564198E-3</v>
      </c>
      <c r="AX110" s="38">
        <v>7673.1548867263</v>
      </c>
      <c r="AY110" s="34">
        <f t="shared" si="35"/>
        <v>-2.7609981247221113E-3</v>
      </c>
      <c r="AZ110" s="29">
        <f t="shared" si="39"/>
        <v>114.16246163492121</v>
      </c>
      <c r="BA110" s="29">
        <f t="shared" si="40"/>
        <v>135.70482583741159</v>
      </c>
      <c r="BC110" s="34">
        <f t="shared" si="41"/>
        <v>1.4832018027068192E-2</v>
      </c>
    </row>
    <row r="111" spans="1:55" s="39" customFormat="1">
      <c r="A111" s="39">
        <f t="shared" si="36"/>
        <v>2039</v>
      </c>
      <c r="B111" s="39">
        <f t="shared" si="37"/>
        <v>2</v>
      </c>
      <c r="C111" s="40"/>
      <c r="D111" s="40">
        <v>132961539.795854</v>
      </c>
      <c r="E111" s="40"/>
      <c r="F111" s="40">
        <v>24167333.753561102</v>
      </c>
      <c r="G111" s="41">
        <v>9091058</v>
      </c>
      <c r="H111" s="41">
        <v>50016318.820246503</v>
      </c>
      <c r="I111" s="41">
        <v>281167</v>
      </c>
      <c r="J111" s="42">
        <v>1546897.87632333</v>
      </c>
      <c r="K111" s="40"/>
      <c r="L111" s="43">
        <v>2190937.4330309099</v>
      </c>
      <c r="M111" s="43"/>
      <c r="N111" s="43">
        <v>1147329.1422551</v>
      </c>
      <c r="O111" s="40"/>
      <c r="P111" s="40">
        <v>17681051.179138701</v>
      </c>
      <c r="Q111" s="43"/>
      <c r="R111" s="43">
        <v>30188507.8600301</v>
      </c>
      <c r="S111" s="43"/>
      <c r="T111" s="40">
        <v>115428376.29212201</v>
      </c>
      <c r="U111" s="40"/>
      <c r="V111" s="43">
        <v>141685.29991701999</v>
      </c>
      <c r="W111" s="43"/>
      <c r="X111" s="43">
        <v>355872.62438610598</v>
      </c>
      <c r="Y111" s="40"/>
      <c r="Z111" s="40">
        <f t="shared" si="42"/>
        <v>2824592.8311000057</v>
      </c>
      <c r="AA111" s="40"/>
      <c r="AB111" s="40">
        <f t="shared" si="43"/>
        <v>-35214214.682870701</v>
      </c>
      <c r="AC111" s="17"/>
      <c r="AD111" s="40"/>
      <c r="AE111" s="40"/>
      <c r="AF111" s="40">
        <f>BA111/100*AF25</f>
        <v>7795980365.6132069</v>
      </c>
      <c r="AG111" s="44">
        <f t="shared" si="38"/>
        <v>-3.8585620574903447E-4</v>
      </c>
      <c r="AH111" s="44">
        <f t="shared" si="44"/>
        <v>-4.5169706735274547E-3</v>
      </c>
      <c r="AU111" s="39">
        <v>13088064</v>
      </c>
      <c r="AW111" s="39">
        <f t="shared" ref="AW111:AW117" si="45">(AU111-AU110)/AU110</f>
        <v>-2.6042053652894702E-3</v>
      </c>
      <c r="AX111" s="48">
        <v>7690.2210672592</v>
      </c>
      <c r="AY111" s="44">
        <f t="shared" ref="AY111:AY117" si="46">(AX111-AX110)/AX110</f>
        <v>2.2241412801952713E-3</v>
      </c>
      <c r="AZ111" s="39">
        <f t="shared" si="39"/>
        <v>114.41637507849215</v>
      </c>
      <c r="BA111" s="39">
        <f t="shared" si="40"/>
        <v>135.65246328821212</v>
      </c>
      <c r="BC111" s="44"/>
    </row>
    <row r="112" spans="1:55">
      <c r="A112" s="39">
        <f t="shared" si="36"/>
        <v>2039</v>
      </c>
      <c r="B112" s="39">
        <f t="shared" si="37"/>
        <v>3</v>
      </c>
      <c r="C112" s="40"/>
      <c r="D112" s="40">
        <v>132582457.47387899</v>
      </c>
      <c r="E112" s="40"/>
      <c r="F112" s="40">
        <v>24098431.0542593</v>
      </c>
      <c r="G112" s="41">
        <v>9272963</v>
      </c>
      <c r="H112" s="41">
        <v>51017106.459594697</v>
      </c>
      <c r="I112" s="41">
        <v>286793</v>
      </c>
      <c r="J112" s="42">
        <v>1577850.46838497</v>
      </c>
      <c r="K112" s="40"/>
      <c r="L112" s="43">
        <v>2209119.79106559</v>
      </c>
      <c r="M112" s="43"/>
      <c r="N112" s="43">
        <v>1144359.8943397</v>
      </c>
      <c r="O112" s="40"/>
      <c r="P112" s="40">
        <v>17759063.595455199</v>
      </c>
      <c r="Q112" s="43"/>
      <c r="R112" s="43">
        <v>26614451.0163121</v>
      </c>
      <c r="S112" s="43"/>
      <c r="T112" s="40">
        <v>101762660.180583</v>
      </c>
      <c r="U112" s="40"/>
      <c r="V112" s="43">
        <v>146122.82997448399</v>
      </c>
      <c r="W112" s="43"/>
      <c r="X112" s="43">
        <v>367018.420515039</v>
      </c>
      <c r="Y112" s="40"/>
      <c r="Z112" s="40">
        <f t="shared" si="42"/>
        <v>-691336.89337800443</v>
      </c>
      <c r="AA112" s="40"/>
      <c r="AB112" s="40">
        <f t="shared" si="43"/>
        <v>-48578860.888751194</v>
      </c>
      <c r="AC112" s="17"/>
      <c r="AD112" s="40"/>
      <c r="AE112" s="40"/>
      <c r="AF112" s="40">
        <f>BA112/100*AF25</f>
        <v>7841522904.1006298</v>
      </c>
      <c r="AG112" s="44">
        <f t="shared" si="38"/>
        <v>5.8417974842912158E-3</v>
      </c>
      <c r="AH112" s="44">
        <f t="shared" si="44"/>
        <v>-6.1950798949203436E-3</v>
      </c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40"/>
      <c r="AU112" s="39">
        <v>13114166</v>
      </c>
      <c r="AW112" s="39">
        <f t="shared" si="45"/>
        <v>1.9943362135148484E-3</v>
      </c>
      <c r="AX112" s="48">
        <v>7719.7500043505997</v>
      </c>
      <c r="AY112" s="44">
        <f t="shared" si="46"/>
        <v>3.8398034117794024E-3</v>
      </c>
      <c r="AZ112" s="39">
        <f t="shared" si="39"/>
        <v>114.85571146588198</v>
      </c>
      <c r="BA112" s="39">
        <f t="shared" si="40"/>
        <v>136.44491750698711</v>
      </c>
      <c r="BC112" s="44"/>
    </row>
    <row r="113" spans="1:55">
      <c r="A113" s="39">
        <f t="shared" si="36"/>
        <v>2039</v>
      </c>
      <c r="B113" s="39">
        <f t="shared" si="37"/>
        <v>4</v>
      </c>
      <c r="C113" s="40"/>
      <c r="D113" s="40">
        <v>132435255.247692</v>
      </c>
      <c r="E113" s="40"/>
      <c r="F113" s="40">
        <v>24071675.3071841</v>
      </c>
      <c r="G113" s="41">
        <v>9361423</v>
      </c>
      <c r="H113" s="41">
        <v>51503787.279675104</v>
      </c>
      <c r="I113" s="41">
        <v>289529</v>
      </c>
      <c r="J113" s="42">
        <v>1592903.1331344701</v>
      </c>
      <c r="K113" s="40"/>
      <c r="L113" s="43">
        <v>2212999.6459548702</v>
      </c>
      <c r="M113" s="43"/>
      <c r="N113" s="43">
        <v>1143600.4286032999</v>
      </c>
      <c r="O113" s="40"/>
      <c r="P113" s="40">
        <v>17775017.824516699</v>
      </c>
      <c r="Q113" s="43"/>
      <c r="R113" s="43">
        <v>30618732.246263999</v>
      </c>
      <c r="S113" s="43"/>
      <c r="T113" s="40">
        <v>117073376.521166</v>
      </c>
      <c r="U113" s="40"/>
      <c r="V113" s="43">
        <v>143247.106403237</v>
      </c>
      <c r="W113" s="43"/>
      <c r="X113" s="43">
        <v>359795.43199817801</v>
      </c>
      <c r="Y113" s="40"/>
      <c r="Z113" s="40">
        <f t="shared" si="42"/>
        <v>3333703.970924966</v>
      </c>
      <c r="AA113" s="40"/>
      <c r="AB113" s="40">
        <f t="shared" si="43"/>
        <v>-33136896.551042706</v>
      </c>
      <c r="AC113" s="17"/>
      <c r="AD113" s="40"/>
      <c r="AE113" s="40"/>
      <c r="AF113" s="40">
        <f>BA113/100*AF25</f>
        <v>7885240778.7471323</v>
      </c>
      <c r="AG113" s="44">
        <f t="shared" si="38"/>
        <v>5.5751765544982037E-3</v>
      </c>
      <c r="AH113" s="44">
        <f t="shared" si="44"/>
        <v>-4.2023950163139791E-3</v>
      </c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U113" s="39">
        <v>13136302</v>
      </c>
      <c r="AW113" s="39">
        <f t="shared" si="45"/>
        <v>1.6879456917046802E-3</v>
      </c>
      <c r="AX113" s="48">
        <v>7749.7078875406996</v>
      </c>
      <c r="AY113" s="44">
        <f t="shared" si="46"/>
        <v>3.8806804848883197E-3</v>
      </c>
      <c r="AZ113" s="39">
        <f t="shared" si="39"/>
        <v>115.30142978394559</v>
      </c>
      <c r="BA113" s="39">
        <f t="shared" si="40"/>
        <v>137.20562201205252</v>
      </c>
      <c r="BC113" s="44"/>
    </row>
    <row r="114" spans="1:55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30">
        <v>132963629.629546</v>
      </c>
      <c r="E114" s="30"/>
      <c r="F114" s="30">
        <v>24167713.605572399</v>
      </c>
      <c r="G114" s="31">
        <v>9569478</v>
      </c>
      <c r="H114" s="31">
        <v>52648444.503525898</v>
      </c>
      <c r="I114" s="31">
        <v>295963</v>
      </c>
      <c r="J114" s="32">
        <v>1628301.1027975699</v>
      </c>
      <c r="K114" s="30"/>
      <c r="L114" s="33">
        <v>2810269.9101523901</v>
      </c>
      <c r="M114" s="33"/>
      <c r="N114" s="33">
        <v>1148846.2570072999</v>
      </c>
      <c r="O114" s="30"/>
      <c r="P114" s="30">
        <v>20903117.0648502</v>
      </c>
      <c r="Q114" s="33"/>
      <c r="R114" s="33">
        <v>26743045.2689058</v>
      </c>
      <c r="S114" s="33"/>
      <c r="T114" s="30">
        <v>102254351.450858</v>
      </c>
      <c r="U114" s="30"/>
      <c r="V114" s="33">
        <v>137347.15640431899</v>
      </c>
      <c r="W114" s="33"/>
      <c r="X114" s="33">
        <v>344976.45860368101</v>
      </c>
      <c r="Y114" s="30"/>
      <c r="Z114" s="30">
        <f t="shared" si="42"/>
        <v>-1246437.3474219702</v>
      </c>
      <c r="AA114" s="30"/>
      <c r="AB114" s="30">
        <f t="shared" si="43"/>
        <v>-51612395.243538201</v>
      </c>
      <c r="AC114" s="17"/>
      <c r="AD114" s="30"/>
      <c r="AE114" s="30"/>
      <c r="AF114" s="30">
        <f>BA114/100*AF25</f>
        <v>7904201900.5571518</v>
      </c>
      <c r="AG114" s="34">
        <f t="shared" si="38"/>
        <v>2.4046344737024229E-3</v>
      </c>
      <c r="AH114" s="34">
        <f t="shared" si="44"/>
        <v>-6.5297415087410843E-3</v>
      </c>
      <c r="AS114" s="34">
        <f>AVERAGE(AG114:AG117)</f>
        <v>6.4992450093474797E-4</v>
      </c>
      <c r="AU114" s="29">
        <v>13137938</v>
      </c>
      <c r="AW114" s="29">
        <f t="shared" si="45"/>
        <v>1.2454037673616212E-4</v>
      </c>
      <c r="AX114" s="38">
        <v>7767.3757503859997</v>
      </c>
      <c r="AY114" s="34">
        <f t="shared" si="46"/>
        <v>2.2798101685490516E-3</v>
      </c>
      <c r="AZ114" s="29">
        <f t="shared" si="39"/>
        <v>115.56429515601528</v>
      </c>
      <c r="BA114" s="29">
        <f t="shared" si="40"/>
        <v>137.53555138072849</v>
      </c>
      <c r="BC114" s="34"/>
    </row>
    <row r="115" spans="1:55" s="39" customFormat="1">
      <c r="A115" s="39">
        <f t="shared" si="47"/>
        <v>2040</v>
      </c>
      <c r="B115" s="39">
        <f t="shared" si="48"/>
        <v>2</v>
      </c>
      <c r="C115" s="40"/>
      <c r="D115" s="40">
        <v>133090376.68709201</v>
      </c>
      <c r="E115" s="40"/>
      <c r="F115" s="40">
        <v>24190751.383614901</v>
      </c>
      <c r="G115" s="41">
        <v>9803663</v>
      </c>
      <c r="H115" s="41">
        <v>53936861.277780302</v>
      </c>
      <c r="I115" s="41">
        <v>303206</v>
      </c>
      <c r="J115" s="42">
        <v>1668149.95176707</v>
      </c>
      <c r="K115" s="40"/>
      <c r="L115" s="43">
        <v>2275911.4932476901</v>
      </c>
      <c r="M115" s="43"/>
      <c r="N115" s="43">
        <v>1151177.3585105999</v>
      </c>
      <c r="O115" s="40"/>
      <c r="P115" s="40">
        <v>18143153.731983699</v>
      </c>
      <c r="Q115" s="43"/>
      <c r="R115" s="43">
        <v>30533906.7326684</v>
      </c>
      <c r="S115" s="43"/>
      <c r="T115" s="40">
        <v>116749038.81796201</v>
      </c>
      <c r="U115" s="40"/>
      <c r="V115" s="43">
        <v>138383.444964989</v>
      </c>
      <c r="W115" s="43"/>
      <c r="X115" s="43">
        <v>347579.316697801</v>
      </c>
      <c r="Y115" s="40"/>
      <c r="Z115" s="40">
        <f t="shared" si="42"/>
        <v>3054449.9422601983</v>
      </c>
      <c r="AA115" s="40"/>
      <c r="AB115" s="40">
        <f t="shared" si="43"/>
        <v>-34484491.601113707</v>
      </c>
      <c r="AC115" s="17"/>
      <c r="AD115" s="40"/>
      <c r="AE115" s="40"/>
      <c r="AF115" s="40">
        <f>BA115/100*AF25</f>
        <v>7864378146.5337877</v>
      </c>
      <c r="AG115" s="44">
        <f t="shared" si="38"/>
        <v>-5.0383017190586904E-3</v>
      </c>
      <c r="AH115" s="44">
        <f t="shared" si="44"/>
        <v>-4.3848974398964643E-3</v>
      </c>
      <c r="AU115" s="39">
        <v>13085033</v>
      </c>
      <c r="AW115" s="39">
        <f t="shared" si="45"/>
        <v>-4.0268876287892358E-3</v>
      </c>
      <c r="AX115" s="48">
        <v>7759.4879538372998</v>
      </c>
      <c r="AY115" s="44">
        <f t="shared" si="46"/>
        <v>-1.0155034083819067E-3</v>
      </c>
      <c r="AZ115" s="39">
        <f t="shared" si="39"/>
        <v>115.4469392203971</v>
      </c>
      <c r="BA115" s="39">
        <f t="shared" si="40"/>
        <v>136.84260577577527</v>
      </c>
      <c r="BC115" s="44"/>
    </row>
    <row r="116" spans="1:55">
      <c r="A116" s="39">
        <f t="shared" si="47"/>
        <v>2040</v>
      </c>
      <c r="B116" s="39">
        <f t="shared" si="48"/>
        <v>3</v>
      </c>
      <c r="C116" s="40"/>
      <c r="D116" s="40">
        <v>132933453.27494299</v>
      </c>
      <c r="E116" s="40"/>
      <c r="F116" s="40">
        <v>24162228.6959191</v>
      </c>
      <c r="G116" s="41">
        <v>9926426</v>
      </c>
      <c r="H116" s="41">
        <v>54612267.082839496</v>
      </c>
      <c r="I116" s="41">
        <v>307002</v>
      </c>
      <c r="J116" s="42">
        <v>1689034.423766</v>
      </c>
      <c r="K116" s="40"/>
      <c r="L116" s="43">
        <v>2253589.70144322</v>
      </c>
      <c r="M116" s="43"/>
      <c r="N116" s="43">
        <v>1150029.5371610001</v>
      </c>
      <c r="O116" s="40"/>
      <c r="P116" s="40">
        <v>18021010.873793501</v>
      </c>
      <c r="Q116" s="43"/>
      <c r="R116" s="43">
        <v>26632804.754847199</v>
      </c>
      <c r="S116" s="43"/>
      <c r="T116" s="40">
        <v>101832837.290622</v>
      </c>
      <c r="U116" s="40"/>
      <c r="V116" s="43">
        <v>139651.16288995399</v>
      </c>
      <c r="W116" s="43"/>
      <c r="X116" s="43">
        <v>350763.45863209403</v>
      </c>
      <c r="Y116" s="40"/>
      <c r="Z116" s="40">
        <f t="shared" si="42"/>
        <v>-793392.01678616926</v>
      </c>
      <c r="AA116" s="40"/>
      <c r="AB116" s="40">
        <f t="shared" si="43"/>
        <v>-49121626.858114496</v>
      </c>
      <c r="AC116" s="17"/>
      <c r="AD116" s="40"/>
      <c r="AE116" s="40"/>
      <c r="AF116" s="40">
        <f>BA116/100*AF25</f>
        <v>7868670813.7339544</v>
      </c>
      <c r="AG116" s="44">
        <f t="shared" si="38"/>
        <v>5.4583682526236209E-4</v>
      </c>
      <c r="AH116" s="44">
        <f t="shared" si="44"/>
        <v>-6.2426841865563564E-3</v>
      </c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40"/>
      <c r="AU116" s="39">
        <v>13052267</v>
      </c>
      <c r="AW116" s="39">
        <f t="shared" si="45"/>
        <v>-2.5040823359024009E-3</v>
      </c>
      <c r="AX116" s="48">
        <v>7783.2131747351004</v>
      </c>
      <c r="AY116" s="44">
        <f t="shared" si="46"/>
        <v>3.0575755821707087E-3</v>
      </c>
      <c r="AZ116" s="39">
        <f t="shared" si="39"/>
        <v>115.79992696279373</v>
      </c>
      <c r="BA116" s="39">
        <f t="shared" si="40"/>
        <v>136.91729950927254</v>
      </c>
      <c r="BC116" s="44"/>
    </row>
    <row r="117" spans="1:55">
      <c r="A117" s="39">
        <f t="shared" si="47"/>
        <v>2040</v>
      </c>
      <c r="B117" s="39">
        <f t="shared" si="48"/>
        <v>4</v>
      </c>
      <c r="C117" s="40"/>
      <c r="D117" s="40">
        <v>132861465.80510999</v>
      </c>
      <c r="E117" s="40"/>
      <c r="F117" s="40">
        <v>24149144.121145099</v>
      </c>
      <c r="G117" s="41">
        <v>10103717</v>
      </c>
      <c r="H117" s="41">
        <v>55587669.855537698</v>
      </c>
      <c r="I117" s="41">
        <v>312486</v>
      </c>
      <c r="J117" s="42">
        <v>1719205.77372442</v>
      </c>
      <c r="K117" s="40"/>
      <c r="L117" s="43">
        <v>2153472.5154256602</v>
      </c>
      <c r="M117" s="43"/>
      <c r="N117" s="43">
        <v>1148971.4833251999</v>
      </c>
      <c r="O117" s="40"/>
      <c r="P117" s="40">
        <v>17495681.219583102</v>
      </c>
      <c r="Q117" s="43"/>
      <c r="R117" s="43">
        <v>30666322.1594433</v>
      </c>
      <c r="S117" s="43"/>
      <c r="T117" s="40">
        <v>117255340.67890599</v>
      </c>
      <c r="U117" s="40"/>
      <c r="V117" s="43">
        <v>144742.136023881</v>
      </c>
      <c r="W117" s="43"/>
      <c r="X117" s="43">
        <v>363550.515376236</v>
      </c>
      <c r="Y117" s="40"/>
      <c r="Z117" s="40">
        <f t="shared" si="42"/>
        <v>3359476.1755712256</v>
      </c>
      <c r="AA117" s="40"/>
      <c r="AB117" s="40">
        <f t="shared" si="43"/>
        <v>-33101806.345787093</v>
      </c>
      <c r="AC117" s="17"/>
      <c r="AD117" s="40"/>
      <c r="AE117" s="40"/>
      <c r="AF117" s="40">
        <f>BA117/100*AF25</f>
        <v>7905555431.8311167</v>
      </c>
      <c r="AG117" s="44">
        <f t="shared" si="38"/>
        <v>4.6875284238328974E-3</v>
      </c>
      <c r="AH117" s="44">
        <f t="shared" si="44"/>
        <v>-4.1871575794036166E-3</v>
      </c>
      <c r="AI117" s="39"/>
      <c r="AJ117" s="50"/>
      <c r="AK117" s="39"/>
      <c r="AL117" s="39"/>
      <c r="AM117" s="39"/>
      <c r="AN117" s="39"/>
      <c r="AO117" s="39"/>
      <c r="AP117" s="39"/>
      <c r="AQ117" s="39"/>
      <c r="AR117" s="39"/>
      <c r="AU117" s="39">
        <v>13066230</v>
      </c>
      <c r="AW117" s="39">
        <f t="shared" si="45"/>
        <v>1.0697758481342742E-3</v>
      </c>
      <c r="AX117" s="48">
        <v>7811.3408239654</v>
      </c>
      <c r="AY117" s="44">
        <f t="shared" si="46"/>
        <v>3.6138865271741522E-3</v>
      </c>
      <c r="AZ117" s="39">
        <f t="shared" si="39"/>
        <v>116.21841475869233</v>
      </c>
      <c r="BA117" s="39">
        <f t="shared" si="40"/>
        <v>137.55910324243669</v>
      </c>
      <c r="BC117" s="44"/>
    </row>
    <row r="118" spans="1:55">
      <c r="AJ118" s="28"/>
    </row>
    <row r="124" spans="1:55">
      <c r="AZ124" t="s">
        <v>46</v>
      </c>
    </row>
    <row r="127" spans="1:55">
      <c r="AE127" s="29">
        <v>2015</v>
      </c>
      <c r="AF127" s="30">
        <f t="shared" ref="AF127:AF158" si="49">AF14</f>
        <v>4939996537.5502996</v>
      </c>
    </row>
    <row r="128" spans="1:55">
      <c r="AE128" s="39">
        <v>2015</v>
      </c>
      <c r="AF128" s="40">
        <f t="shared" si="49"/>
        <v>5575972427.7771788</v>
      </c>
    </row>
    <row r="129" spans="31:46">
      <c r="AE129" s="39">
        <v>2015</v>
      </c>
      <c r="AF129" s="40">
        <f t="shared" si="49"/>
        <v>5631310929.7641611</v>
      </c>
    </row>
    <row r="130" spans="31:46">
      <c r="AE130" s="39">
        <v>2015</v>
      </c>
      <c r="AF130" s="40">
        <f t="shared" si="49"/>
        <v>5658523044.9401817</v>
      </c>
      <c r="AG130" s="20"/>
    </row>
    <row r="131" spans="31:46">
      <c r="AE131" s="29">
        <f t="shared" ref="AE131:AE162" si="50">AE127+1</f>
        <v>2016</v>
      </c>
      <c r="AF131" s="30">
        <f t="shared" si="49"/>
        <v>5310325654.3908043</v>
      </c>
    </row>
    <row r="132" spans="31:46">
      <c r="AE132" s="39">
        <f t="shared" si="50"/>
        <v>2016</v>
      </c>
      <c r="AF132" s="40">
        <f t="shared" si="49"/>
        <v>5680414010.4820404</v>
      </c>
    </row>
    <row r="133" spans="31:46">
      <c r="AE133" s="39">
        <f t="shared" si="50"/>
        <v>2016</v>
      </c>
      <c r="AF133" s="40">
        <f t="shared" si="49"/>
        <v>5420066876.0125456</v>
      </c>
    </row>
    <row r="134" spans="31:46">
      <c r="AE134" s="39">
        <f t="shared" si="50"/>
        <v>2016</v>
      </c>
      <c r="AF134" s="40">
        <f t="shared" si="49"/>
        <v>5452188460.364418</v>
      </c>
      <c r="AH134" s="20"/>
    </row>
    <row r="135" spans="31:46">
      <c r="AE135" s="29">
        <f t="shared" si="50"/>
        <v>2017</v>
      </c>
      <c r="AF135" s="30">
        <f t="shared" si="49"/>
        <v>5321089171.2110472</v>
      </c>
      <c r="AG135" s="20"/>
    </row>
    <row r="136" spans="31:46">
      <c r="AE136" s="39">
        <f t="shared" si="50"/>
        <v>2017</v>
      </c>
      <c r="AF136" s="40">
        <f t="shared" si="49"/>
        <v>5775318002.6090412</v>
      </c>
    </row>
    <row r="137" spans="31:46">
      <c r="AE137" s="39">
        <f t="shared" si="50"/>
        <v>2017</v>
      </c>
      <c r="AF137" s="40">
        <f t="shared" si="49"/>
        <v>5711092269.986743</v>
      </c>
    </row>
    <row r="138" spans="31:46">
      <c r="AE138" s="39">
        <f t="shared" si="50"/>
        <v>2017</v>
      </c>
      <c r="AF138" s="40">
        <f t="shared" si="49"/>
        <v>5747024548.3486614</v>
      </c>
      <c r="AH138" s="20">
        <f>(AF138-AF134)/AF134</f>
        <v>5.4076650161233954E-2</v>
      </c>
      <c r="AI138" s="20">
        <f>AVERAGE(AH138:AH230)</f>
        <v>1.5673301048305308E-2</v>
      </c>
    </row>
    <row r="139" spans="31:46">
      <c r="AE139" s="29">
        <f t="shared" si="50"/>
        <v>2018</v>
      </c>
      <c r="AF139" s="30">
        <f t="shared" si="49"/>
        <v>5865538560.4026356</v>
      </c>
      <c r="AG139" s="20"/>
    </row>
    <row r="140" spans="31:46">
      <c r="AE140" s="39">
        <f t="shared" si="50"/>
        <v>2018</v>
      </c>
      <c r="AF140" s="40">
        <f t="shared" si="49"/>
        <v>5842095788.6896324</v>
      </c>
    </row>
    <row r="141" spans="31:46">
      <c r="AE141" s="39">
        <f t="shared" si="50"/>
        <v>2018</v>
      </c>
      <c r="AF141" s="40">
        <f t="shared" si="49"/>
        <v>5972934171.5195646</v>
      </c>
    </row>
    <row r="142" spans="31:46">
      <c r="AE142" s="39">
        <f t="shared" si="50"/>
        <v>2018</v>
      </c>
      <c r="AF142" s="40">
        <f t="shared" si="49"/>
        <v>5985138212.3767586</v>
      </c>
      <c r="AH142" s="20">
        <f>(AF142-AF138)/AF138</f>
        <v>4.1432512080797748E-2</v>
      </c>
    </row>
    <row r="143" spans="31:46">
      <c r="AE143" s="29">
        <f t="shared" si="50"/>
        <v>2019</v>
      </c>
      <c r="AF143" s="30">
        <f t="shared" si="49"/>
        <v>5813566462.9608707</v>
      </c>
      <c r="AG143" s="20"/>
    </row>
    <row r="144" spans="31:46">
      <c r="AE144" s="39">
        <f t="shared" si="50"/>
        <v>2019</v>
      </c>
      <c r="AF144" s="40">
        <f t="shared" si="49"/>
        <v>5792037786.4564199</v>
      </c>
      <c r="AI144">
        <v>1.0014888795000001</v>
      </c>
      <c r="AJ144">
        <v>1.0014888795000001</v>
      </c>
      <c r="AS144">
        <v>1.0014888795000001</v>
      </c>
      <c r="AT144">
        <v>1.0014888795000001</v>
      </c>
    </row>
    <row r="145" spans="31:44">
      <c r="AE145" s="39">
        <f t="shared" si="50"/>
        <v>2019</v>
      </c>
      <c r="AF145" s="40">
        <f t="shared" si="49"/>
        <v>6048507835.0748196</v>
      </c>
    </row>
    <row r="146" spans="31:44">
      <c r="AE146" s="39">
        <f t="shared" si="50"/>
        <v>2019</v>
      </c>
      <c r="AF146" s="40">
        <f t="shared" si="49"/>
        <v>6072555456.678504</v>
      </c>
      <c r="AH146" s="20">
        <f>(AF146-AF142)/AF142</f>
        <v>1.4605718564856859E-2</v>
      </c>
    </row>
    <row r="147" spans="31:44">
      <c r="AE147" s="29">
        <f t="shared" si="50"/>
        <v>2020</v>
      </c>
      <c r="AF147" s="30">
        <f t="shared" si="49"/>
        <v>6108545007.21171</v>
      </c>
      <c r="AG147" s="20"/>
      <c r="AI147">
        <f>100*AI144*AJ144*AS144*AT144</f>
        <v>100.59688317798745</v>
      </c>
      <c r="AJ147" s="20">
        <f>(AI147-100)/100</f>
        <v>5.9688317798745061E-3</v>
      </c>
      <c r="AK147" s="20"/>
      <c r="AL147" s="20"/>
      <c r="AM147" s="20"/>
      <c r="AN147" s="20"/>
      <c r="AO147" s="20"/>
      <c r="AP147" s="20"/>
      <c r="AQ147" s="20"/>
      <c r="AR147" s="20"/>
    </row>
    <row r="148" spans="31:44">
      <c r="AE148" s="39">
        <f t="shared" si="50"/>
        <v>2020</v>
      </c>
      <c r="AF148" s="40">
        <f t="shared" si="49"/>
        <v>5983238189.2825813</v>
      </c>
    </row>
    <row r="149" spans="31:44">
      <c r="AE149" s="39">
        <f t="shared" si="50"/>
        <v>2020</v>
      </c>
      <c r="AF149" s="40">
        <f t="shared" si="49"/>
        <v>5953539185.2592278</v>
      </c>
      <c r="AG149" s="20">
        <f>AVERAGE(AH138:AH158)</f>
        <v>2.4465153944907395E-2</v>
      </c>
    </row>
    <row r="150" spans="31:44">
      <c r="AE150" s="39">
        <f t="shared" si="50"/>
        <v>2020</v>
      </c>
      <c r="AF150" s="40">
        <f t="shared" si="49"/>
        <v>6118296514.2185841</v>
      </c>
      <c r="AH150" s="20">
        <f>(AF150-AF146)/AF146</f>
        <v>7.5324231892810057E-3</v>
      </c>
    </row>
    <row r="151" spans="31:44">
      <c r="AE151" s="29">
        <f t="shared" si="50"/>
        <v>2021</v>
      </c>
      <c r="AF151" s="30">
        <f t="shared" si="49"/>
        <v>6084055987.4822493</v>
      </c>
      <c r="AG151" s="20"/>
    </row>
    <row r="152" spans="31:44">
      <c r="AE152" s="39">
        <f t="shared" si="50"/>
        <v>2021</v>
      </c>
      <c r="AF152" s="40">
        <f t="shared" si="49"/>
        <v>6186342122.2547417</v>
      </c>
    </row>
    <row r="153" spans="31:44">
      <c r="AE153" s="39">
        <f t="shared" si="50"/>
        <v>2021</v>
      </c>
      <c r="AF153" s="40">
        <f t="shared" si="49"/>
        <v>6169071327.3935404</v>
      </c>
    </row>
    <row r="154" spans="31:44">
      <c r="AE154" s="39">
        <f t="shared" si="50"/>
        <v>2021</v>
      </c>
      <c r="AF154" s="40">
        <f t="shared" si="49"/>
        <v>6222734804.1493492</v>
      </c>
      <c r="AH154" s="20">
        <f>(AF154-AF150)/AF150</f>
        <v>1.7069831396379093E-2</v>
      </c>
    </row>
    <row r="155" spans="31:44">
      <c r="AE155" s="29">
        <f t="shared" si="50"/>
        <v>2022</v>
      </c>
      <c r="AF155" s="30">
        <f t="shared" si="49"/>
        <v>6193906839.1733608</v>
      </c>
      <c r="AG155" s="20"/>
    </row>
    <row r="156" spans="31:44">
      <c r="AE156" s="39">
        <f t="shared" si="50"/>
        <v>2022</v>
      </c>
      <c r="AF156" s="40">
        <f t="shared" si="49"/>
        <v>6229060286.7118435</v>
      </c>
    </row>
    <row r="157" spans="31:44">
      <c r="AE157" s="39">
        <f t="shared" si="50"/>
        <v>2022</v>
      </c>
      <c r="AF157" s="40">
        <f t="shared" si="49"/>
        <v>6399054343.9140263</v>
      </c>
    </row>
    <row r="158" spans="31:44">
      <c r="AE158" s="39">
        <f t="shared" si="50"/>
        <v>2022</v>
      </c>
      <c r="AF158" s="40">
        <f t="shared" si="49"/>
        <v>6297866786.6779184</v>
      </c>
      <c r="AH158" s="20">
        <f>(AF158-AF154)/AF154</f>
        <v>1.2073788276895692E-2</v>
      </c>
    </row>
    <row r="159" spans="31:44">
      <c r="AE159" s="29">
        <f t="shared" si="50"/>
        <v>2023</v>
      </c>
      <c r="AF159" s="30">
        <f t="shared" ref="AF159:AF190" si="51">AF46</f>
        <v>6392708718.5552349</v>
      </c>
      <c r="AG159" s="20"/>
    </row>
    <row r="160" spans="31:44">
      <c r="AE160" s="39">
        <f t="shared" si="50"/>
        <v>2023</v>
      </c>
      <c r="AF160" s="40">
        <f t="shared" si="51"/>
        <v>6368351791.6268539</v>
      </c>
    </row>
    <row r="161" spans="31:34">
      <c r="AE161" s="39">
        <f t="shared" si="50"/>
        <v>2023</v>
      </c>
      <c r="AF161" s="40">
        <f t="shared" si="51"/>
        <v>6346828885.339716</v>
      </c>
    </row>
    <row r="162" spans="31:34">
      <c r="AE162" s="39">
        <f t="shared" si="50"/>
        <v>2023</v>
      </c>
      <c r="AF162" s="40">
        <f t="shared" si="51"/>
        <v>6390671899.24683</v>
      </c>
      <c r="AH162" s="20">
        <f>(AF162-AF158)/AF158</f>
        <v>1.4735959923005233E-2</v>
      </c>
    </row>
    <row r="163" spans="31:34">
      <c r="AE163" s="29">
        <f t="shared" ref="AE163:AE194" si="52">AE159+1</f>
        <v>2024</v>
      </c>
      <c r="AF163" s="30">
        <f t="shared" si="51"/>
        <v>6419538220.455409</v>
      </c>
      <c r="AG163" s="20"/>
    </row>
    <row r="164" spans="31:34">
      <c r="AE164" s="39">
        <f t="shared" si="52"/>
        <v>2024</v>
      </c>
      <c r="AF164" s="40">
        <f t="shared" si="51"/>
        <v>6467292794.8376331</v>
      </c>
    </row>
    <row r="165" spans="31:34">
      <c r="AE165" s="39">
        <f t="shared" si="52"/>
        <v>2024</v>
      </c>
      <c r="AF165" s="40">
        <f t="shared" si="51"/>
        <v>6445230120.4430666</v>
      </c>
    </row>
    <row r="166" spans="31:34">
      <c r="AE166" s="39">
        <f t="shared" si="52"/>
        <v>2024</v>
      </c>
      <c r="AF166" s="40">
        <f t="shared" si="51"/>
        <v>6485184168.5690708</v>
      </c>
      <c r="AH166" s="20">
        <f>(AF166-AF162)/AF162</f>
        <v>1.4789097423915556E-2</v>
      </c>
    </row>
    <row r="167" spans="31:34">
      <c r="AE167" s="29">
        <f t="shared" si="52"/>
        <v>2025</v>
      </c>
      <c r="AF167" s="30">
        <f t="shared" si="51"/>
        <v>5964513252.6197195</v>
      </c>
      <c r="AG167" s="20"/>
    </row>
    <row r="168" spans="31:34">
      <c r="AE168" s="39">
        <f t="shared" si="52"/>
        <v>2025</v>
      </c>
      <c r="AF168" s="40">
        <f t="shared" si="51"/>
        <v>5974125761.5232763</v>
      </c>
    </row>
    <row r="169" spans="31:34">
      <c r="AE169" s="39">
        <f t="shared" si="52"/>
        <v>2025</v>
      </c>
      <c r="AF169" s="40">
        <f t="shared" si="51"/>
        <v>6573731568.0816727</v>
      </c>
    </row>
    <row r="170" spans="31:34">
      <c r="AE170" s="39">
        <f t="shared" si="52"/>
        <v>2025</v>
      </c>
      <c r="AF170" s="40">
        <f t="shared" si="51"/>
        <v>6610691165.3806896</v>
      </c>
      <c r="AH170" s="20">
        <f>(AF170-AF166)/AF166</f>
        <v>1.9352880897337939E-2</v>
      </c>
    </row>
    <row r="171" spans="31:34">
      <c r="AE171" s="29">
        <f t="shared" si="52"/>
        <v>2026</v>
      </c>
      <c r="AF171" s="30">
        <f t="shared" si="51"/>
        <v>6654219702.5128689</v>
      </c>
      <c r="AG171" s="20"/>
    </row>
    <row r="172" spans="31:34">
      <c r="AE172" s="39">
        <f t="shared" si="52"/>
        <v>2026</v>
      </c>
      <c r="AF172" s="40">
        <f t="shared" si="51"/>
        <v>6679047888.0201721</v>
      </c>
    </row>
    <row r="173" spans="31:34">
      <c r="AE173" s="39">
        <f t="shared" si="52"/>
        <v>2026</v>
      </c>
      <c r="AF173" s="40">
        <f t="shared" si="51"/>
        <v>6735203615.1334286</v>
      </c>
    </row>
    <row r="174" spans="31:34">
      <c r="AE174" s="39">
        <f t="shared" si="52"/>
        <v>2026</v>
      </c>
      <c r="AF174" s="40">
        <f t="shared" si="51"/>
        <v>6702850276.150897</v>
      </c>
      <c r="AH174" s="20">
        <f>(AF174-AF170)/AF170</f>
        <v>1.3940919105831538E-2</v>
      </c>
    </row>
    <row r="175" spans="31:34">
      <c r="AE175" s="29">
        <f t="shared" si="52"/>
        <v>2027</v>
      </c>
      <c r="AF175" s="30">
        <f t="shared" si="51"/>
        <v>6775264626.9103842</v>
      </c>
      <c r="AG175" s="20"/>
    </row>
    <row r="176" spans="31:34">
      <c r="AE176" s="39">
        <f t="shared" si="52"/>
        <v>2027</v>
      </c>
      <c r="AF176" s="40">
        <f t="shared" si="51"/>
        <v>6747338105.9630356</v>
      </c>
    </row>
    <row r="177" spans="31:34">
      <c r="AE177" s="39">
        <f t="shared" si="52"/>
        <v>2027</v>
      </c>
      <c r="AF177" s="40">
        <f t="shared" si="51"/>
        <v>6812033851.0247173</v>
      </c>
    </row>
    <row r="178" spans="31:34">
      <c r="AE178" s="39">
        <f t="shared" si="52"/>
        <v>2027</v>
      </c>
      <c r="AF178" s="40">
        <f t="shared" si="51"/>
        <v>6763356909.4823256</v>
      </c>
      <c r="AH178" s="20">
        <f>(AF178-AF174)/AF174</f>
        <v>9.0270005801434041E-3</v>
      </c>
    </row>
    <row r="179" spans="31:34">
      <c r="AE179" s="29">
        <f t="shared" si="52"/>
        <v>2028</v>
      </c>
      <c r="AF179" s="30">
        <f t="shared" si="51"/>
        <v>6855845281.3934746</v>
      </c>
      <c r="AG179" s="20"/>
    </row>
    <row r="180" spans="31:34">
      <c r="AE180" s="39">
        <f t="shared" si="52"/>
        <v>2028</v>
      </c>
      <c r="AF180" s="40">
        <f t="shared" si="51"/>
        <v>6945640871.6597977</v>
      </c>
    </row>
    <row r="181" spans="31:34">
      <c r="AE181" s="39">
        <f t="shared" si="52"/>
        <v>2028</v>
      </c>
      <c r="AF181" s="40">
        <f t="shared" si="51"/>
        <v>6863317952.0500374</v>
      </c>
    </row>
    <row r="182" spans="31:34">
      <c r="AE182" s="39">
        <f t="shared" si="52"/>
        <v>2028</v>
      </c>
      <c r="AF182" s="40">
        <f t="shared" si="51"/>
        <v>6952164646.4684839</v>
      </c>
      <c r="AH182" s="20">
        <f>(AF182-AF178)/AF178</f>
        <v>2.791627582472354E-2</v>
      </c>
    </row>
    <row r="183" spans="31:34">
      <c r="AE183" s="29">
        <f t="shared" si="52"/>
        <v>2029</v>
      </c>
      <c r="AF183" s="30">
        <f t="shared" si="51"/>
        <v>7003541379.6959</v>
      </c>
      <c r="AG183" s="20"/>
    </row>
    <row r="184" spans="31:34">
      <c r="AE184" s="39">
        <f t="shared" si="52"/>
        <v>2029</v>
      </c>
      <c r="AF184" s="40">
        <f t="shared" si="51"/>
        <v>7001804467.629097</v>
      </c>
    </row>
    <row r="185" spans="31:34">
      <c r="AE185" s="39">
        <f t="shared" si="52"/>
        <v>2029</v>
      </c>
      <c r="AF185" s="40">
        <f t="shared" si="51"/>
        <v>7108578288.0666294</v>
      </c>
    </row>
    <row r="186" spans="31:34">
      <c r="AE186" s="39">
        <f t="shared" si="52"/>
        <v>2029</v>
      </c>
      <c r="AF186" s="40">
        <f t="shared" si="51"/>
        <v>6980788467.9998903</v>
      </c>
      <c r="AH186" s="20">
        <f>(AF186-AF182)/AF182</f>
        <v>4.1172531128051675E-3</v>
      </c>
    </row>
    <row r="187" spans="31:34">
      <c r="AE187" s="29">
        <f t="shared" si="52"/>
        <v>2030</v>
      </c>
      <c r="AF187" s="30">
        <f t="shared" si="51"/>
        <v>6973110020.4529305</v>
      </c>
      <c r="AG187" s="20"/>
    </row>
    <row r="188" spans="31:34">
      <c r="AE188" s="39">
        <f t="shared" si="52"/>
        <v>2030</v>
      </c>
      <c r="AF188" s="40">
        <f t="shared" si="51"/>
        <v>7087385658.7967472</v>
      </c>
    </row>
    <row r="189" spans="31:34">
      <c r="AE189" s="39">
        <f t="shared" si="52"/>
        <v>2030</v>
      </c>
      <c r="AF189" s="40">
        <f t="shared" si="51"/>
        <v>7119916286.4593601</v>
      </c>
    </row>
    <row r="190" spans="31:34">
      <c r="AE190" s="39">
        <f t="shared" si="52"/>
        <v>2030</v>
      </c>
      <c r="AF190" s="40">
        <f t="shared" si="51"/>
        <v>7158203440.1907778</v>
      </c>
      <c r="AH190" s="20">
        <f>(AF190-AF186)/AF186</f>
        <v>2.5414746916363695E-2</v>
      </c>
    </row>
    <row r="191" spans="31:34">
      <c r="AE191" s="29">
        <f t="shared" si="52"/>
        <v>2031</v>
      </c>
      <c r="AF191" s="30">
        <f t="shared" ref="AF191:AF222" si="53">AF78</f>
        <v>7143705262.7316837</v>
      </c>
      <c r="AG191" s="20"/>
    </row>
    <row r="192" spans="31:34">
      <c r="AE192" s="39">
        <f t="shared" si="52"/>
        <v>2031</v>
      </c>
      <c r="AF192" s="40">
        <f t="shared" si="53"/>
        <v>7095768690.7411785</v>
      </c>
    </row>
    <row r="193" spans="31:34">
      <c r="AE193" s="39">
        <f t="shared" si="52"/>
        <v>2031</v>
      </c>
      <c r="AF193" s="40">
        <f t="shared" si="53"/>
        <v>7190237051.1407585</v>
      </c>
    </row>
    <row r="194" spans="31:34">
      <c r="AE194" s="39">
        <f t="shared" si="52"/>
        <v>2031</v>
      </c>
      <c r="AF194" s="40">
        <f t="shared" si="53"/>
        <v>7213342428.308095</v>
      </c>
      <c r="AH194" s="20">
        <f>(AF194-AF190)/AF190</f>
        <v>7.7029087784417118E-3</v>
      </c>
    </row>
    <row r="195" spans="31:34">
      <c r="AE195" s="29">
        <f t="shared" ref="AE195:AE226" si="54">AE191+1</f>
        <v>2032</v>
      </c>
      <c r="AF195" s="30">
        <f t="shared" si="53"/>
        <v>7262321621.6050816</v>
      </c>
      <c r="AG195" s="20"/>
    </row>
    <row r="196" spans="31:34">
      <c r="AE196" s="39">
        <f t="shared" si="54"/>
        <v>2032</v>
      </c>
      <c r="AF196" s="40">
        <f t="shared" si="53"/>
        <v>7292484845.0450439</v>
      </c>
    </row>
    <row r="197" spans="31:34">
      <c r="AE197" s="39">
        <f t="shared" si="54"/>
        <v>2032</v>
      </c>
      <c r="AF197" s="40">
        <f t="shared" si="53"/>
        <v>7324328499.1753426</v>
      </c>
    </row>
    <row r="198" spans="31:34">
      <c r="AE198" s="39">
        <f t="shared" si="54"/>
        <v>2032</v>
      </c>
      <c r="AF198" s="40">
        <f t="shared" si="53"/>
        <v>7331149779.9102144</v>
      </c>
      <c r="AH198" s="20">
        <f>(AF198-AF194)/AF194</f>
        <v>1.6331867337920268E-2</v>
      </c>
    </row>
    <row r="199" spans="31:34">
      <c r="AE199" s="29">
        <f t="shared" si="54"/>
        <v>2033</v>
      </c>
      <c r="AF199" s="30">
        <f t="shared" si="53"/>
        <v>7340679383.7683878</v>
      </c>
      <c r="AG199" s="20"/>
    </row>
    <row r="200" spans="31:34">
      <c r="AE200" s="39">
        <f t="shared" si="54"/>
        <v>2033</v>
      </c>
      <c r="AF200" s="40">
        <f t="shared" si="53"/>
        <v>7400305750.8960657</v>
      </c>
    </row>
    <row r="201" spans="31:34">
      <c r="AE201" s="39">
        <f t="shared" si="54"/>
        <v>2033</v>
      </c>
      <c r="AF201" s="40">
        <f t="shared" si="53"/>
        <v>7426561460.7339125</v>
      </c>
    </row>
    <row r="202" spans="31:34">
      <c r="AE202" s="39">
        <f t="shared" si="54"/>
        <v>2033</v>
      </c>
      <c r="AF202" s="40">
        <f t="shared" si="53"/>
        <v>7464526591.820364</v>
      </c>
      <c r="AH202" s="20">
        <f>(AF202-AF198)/AF198</f>
        <v>1.8193164225841673E-2</v>
      </c>
    </row>
    <row r="203" spans="31:34">
      <c r="AE203" s="29">
        <f t="shared" si="54"/>
        <v>2034</v>
      </c>
      <c r="AF203" s="30">
        <f t="shared" si="53"/>
        <v>7393447377.4921589</v>
      </c>
      <c r="AG203" s="20"/>
    </row>
    <row r="204" spans="31:34">
      <c r="AE204" s="39">
        <f t="shared" si="54"/>
        <v>2034</v>
      </c>
      <c r="AF204" s="40">
        <f t="shared" si="53"/>
        <v>7397381312.2527313</v>
      </c>
    </row>
    <row r="205" spans="31:34">
      <c r="AE205" s="39">
        <f t="shared" si="54"/>
        <v>2034</v>
      </c>
      <c r="AF205" s="40">
        <f t="shared" si="53"/>
        <v>7487257645.615016</v>
      </c>
    </row>
    <row r="206" spans="31:34">
      <c r="AE206" s="39">
        <f t="shared" si="54"/>
        <v>2034</v>
      </c>
      <c r="AF206" s="40">
        <f t="shared" si="53"/>
        <v>7446607472.4799643</v>
      </c>
      <c r="AH206" s="20">
        <f>(AF206-AF202)/AF202</f>
        <v>-2.4005700991186142E-3</v>
      </c>
    </row>
    <row r="207" spans="31:34">
      <c r="AE207" s="29">
        <f t="shared" si="54"/>
        <v>2035</v>
      </c>
      <c r="AF207" s="30">
        <f t="shared" si="53"/>
        <v>7510428098.0527239</v>
      </c>
      <c r="AG207" s="20"/>
    </row>
    <row r="208" spans="31:34">
      <c r="AE208" s="39">
        <f t="shared" si="54"/>
        <v>2035</v>
      </c>
      <c r="AF208" s="40">
        <f t="shared" si="53"/>
        <v>7537914842.2296762</v>
      </c>
    </row>
    <row r="209" spans="31:34">
      <c r="AE209" s="39">
        <f t="shared" si="54"/>
        <v>2035</v>
      </c>
      <c r="AF209" s="40">
        <f t="shared" si="53"/>
        <v>7550767593.1156254</v>
      </c>
    </row>
    <row r="210" spans="31:34">
      <c r="AE210" s="39">
        <f t="shared" si="54"/>
        <v>2035</v>
      </c>
      <c r="AF210" s="40">
        <f t="shared" si="53"/>
        <v>7471655399.3777332</v>
      </c>
      <c r="AH210" s="20">
        <f>(AF210-AF206)/AF206</f>
        <v>3.3636695623258349E-3</v>
      </c>
    </row>
    <row r="211" spans="31:34">
      <c r="AE211" s="29">
        <f t="shared" si="54"/>
        <v>2036</v>
      </c>
      <c r="AF211" s="30">
        <f t="shared" si="53"/>
        <v>7579630973.2746973</v>
      </c>
      <c r="AG211" s="20"/>
    </row>
    <row r="212" spans="31:34">
      <c r="AE212" s="39">
        <f t="shared" si="54"/>
        <v>2036</v>
      </c>
      <c r="AF212" s="40">
        <f t="shared" si="53"/>
        <v>7565177905.9299259</v>
      </c>
    </row>
    <row r="213" spans="31:34">
      <c r="AE213" s="39">
        <f t="shared" si="54"/>
        <v>2036</v>
      </c>
      <c r="AF213" s="40">
        <f t="shared" si="53"/>
        <v>7578651056.9832001</v>
      </c>
    </row>
    <row r="214" spans="31:34">
      <c r="AE214" s="39">
        <f t="shared" si="54"/>
        <v>2036</v>
      </c>
      <c r="AF214" s="40">
        <f t="shared" si="53"/>
        <v>7624005361.9985962</v>
      </c>
      <c r="AH214" s="20">
        <f>(AF214-AF210)/AF210</f>
        <v>2.0390389341771734E-2</v>
      </c>
    </row>
    <row r="215" spans="31:34">
      <c r="AE215" s="29">
        <f t="shared" si="54"/>
        <v>2037</v>
      </c>
      <c r="AF215" s="30">
        <f t="shared" si="53"/>
        <v>7666882886.3520069</v>
      </c>
      <c r="AG215" s="20"/>
    </row>
    <row r="216" spans="31:34">
      <c r="AE216" s="39">
        <f t="shared" si="54"/>
        <v>2037</v>
      </c>
      <c r="AF216" s="40">
        <f t="shared" si="53"/>
        <v>7683991069.0074081</v>
      </c>
    </row>
    <row r="217" spans="31:34">
      <c r="AE217" s="39">
        <f t="shared" si="54"/>
        <v>2037</v>
      </c>
      <c r="AF217" s="40">
        <f t="shared" si="53"/>
        <v>7732162669.7287312</v>
      </c>
    </row>
    <row r="218" spans="31:34">
      <c r="AE218" s="39">
        <f t="shared" si="54"/>
        <v>2037</v>
      </c>
      <c r="AF218" s="40">
        <f t="shared" si="53"/>
        <v>7705038795.7550297</v>
      </c>
      <c r="AH218" s="20">
        <f>(AF218-AF214)/AF214</f>
        <v>1.0628722031117638E-2</v>
      </c>
    </row>
    <row r="219" spans="31:34">
      <c r="AE219" s="29">
        <f t="shared" si="54"/>
        <v>2038</v>
      </c>
      <c r="AF219" s="30">
        <f t="shared" si="53"/>
        <v>7704862758.4679174</v>
      </c>
      <c r="AG219" s="20"/>
    </row>
    <row r="220" spans="31:34">
      <c r="AE220" s="39">
        <f t="shared" si="54"/>
        <v>2038</v>
      </c>
      <c r="AF220" s="40">
        <f t="shared" si="53"/>
        <v>7748828481.2080812</v>
      </c>
    </row>
    <row r="221" spans="31:34">
      <c r="AE221" s="39">
        <f t="shared" si="54"/>
        <v>2038</v>
      </c>
      <c r="AF221" s="40">
        <f t="shared" si="53"/>
        <v>7788369172.4841137</v>
      </c>
    </row>
    <row r="222" spans="31:34">
      <c r="AE222" s="39">
        <f t="shared" si="54"/>
        <v>2038</v>
      </c>
      <c r="AF222" s="40">
        <f t="shared" si="53"/>
        <v>7840829473.5736055</v>
      </c>
      <c r="AH222" s="20">
        <f>(AF222-AF218)/AF218</f>
        <v>1.7623620259172166E-2</v>
      </c>
    </row>
    <row r="223" spans="31:34">
      <c r="AE223" s="29">
        <f t="shared" si="54"/>
        <v>2039</v>
      </c>
      <c r="AF223" s="30">
        <f t="shared" ref="AF223:AF230" si="55">AF110</f>
        <v>7798989654.1698408</v>
      </c>
      <c r="AG223" s="20"/>
    </row>
    <row r="224" spans="31:34">
      <c r="AE224" s="39">
        <f t="shared" si="54"/>
        <v>2039</v>
      </c>
      <c r="AF224" s="40">
        <f t="shared" si="55"/>
        <v>7795980365.6132069</v>
      </c>
    </row>
    <row r="225" spans="31:34">
      <c r="AE225" s="39">
        <f t="shared" si="54"/>
        <v>2039</v>
      </c>
      <c r="AF225" s="40">
        <f t="shared" si="55"/>
        <v>7841522904.1006298</v>
      </c>
    </row>
    <row r="226" spans="31:34">
      <c r="AE226" s="39">
        <f t="shared" si="54"/>
        <v>2039</v>
      </c>
      <c r="AF226" s="40">
        <f t="shared" si="55"/>
        <v>7885240778.7471323</v>
      </c>
      <c r="AH226" s="20">
        <f>(AF226-AF222)/AF222</f>
        <v>5.6641080287753633E-3</v>
      </c>
    </row>
    <row r="227" spans="31:34">
      <c r="AE227" s="29">
        <f t="shared" ref="AE227:AE230" si="56">AE223+1</f>
        <v>2040</v>
      </c>
      <c r="AF227" s="30">
        <f t="shared" si="55"/>
        <v>7904201900.5571518</v>
      </c>
      <c r="AG227" s="20"/>
    </row>
    <row r="228" spans="31:34">
      <c r="AE228" s="39">
        <f t="shared" si="56"/>
        <v>2040</v>
      </c>
      <c r="AF228" s="40">
        <f t="shared" si="55"/>
        <v>7864378146.5337877</v>
      </c>
    </row>
    <row r="229" spans="31:34">
      <c r="AE229" s="39">
        <f t="shared" si="56"/>
        <v>2040</v>
      </c>
      <c r="AF229" s="40">
        <f t="shared" si="55"/>
        <v>7868670813.7339544</v>
      </c>
    </row>
    <row r="230" spans="31:34">
      <c r="AE230" s="39">
        <f t="shared" si="56"/>
        <v>2040</v>
      </c>
      <c r="AF230" s="40">
        <f t="shared" si="55"/>
        <v>7905555431.8311167</v>
      </c>
      <c r="AH230" s="20">
        <f>(AF230-AF226)/AF226</f>
        <v>2.5762882395091711E-3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7"/>
  <sheetViews>
    <sheetView topLeftCell="AJ1" zoomScale="125" zoomScaleNormal="125" zoomScalePageLayoutView="125" workbookViewId="0">
      <selection activeCell="AO36" sqref="AO36"/>
    </sheetView>
  </sheetViews>
  <sheetFormatPr baseColWidth="10" defaultColWidth="8.83203125" defaultRowHeight="12" x14ac:dyDescent="0"/>
  <cols>
    <col min="7" max="10" width="8.83203125" style="1"/>
  </cols>
  <sheetData>
    <row r="1" spans="1:60" s="6" customFormat="1" ht="50.25" customHeight="1">
      <c r="A1" s="2" t="s">
        <v>0</v>
      </c>
      <c r="B1" s="2" t="s">
        <v>1</v>
      </c>
      <c r="C1" s="2" t="s">
        <v>47</v>
      </c>
      <c r="D1" s="2"/>
      <c r="E1" s="2" t="s">
        <v>48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S1" s="6" t="s">
        <v>27</v>
      </c>
      <c r="AU1" s="6" t="s">
        <v>28</v>
      </c>
      <c r="AW1" s="6" t="s">
        <v>29</v>
      </c>
      <c r="AY1" s="6" t="s">
        <v>49</v>
      </c>
      <c r="BB1" s="6" t="s">
        <v>31</v>
      </c>
      <c r="BD1" s="6" t="s">
        <v>32</v>
      </c>
      <c r="BE1" s="6" t="s">
        <v>33</v>
      </c>
      <c r="BF1" s="6" t="s">
        <v>34</v>
      </c>
      <c r="BG1" s="6" t="s">
        <v>35</v>
      </c>
      <c r="BH1" s="7" t="s">
        <v>36</v>
      </c>
    </row>
    <row r="2" spans="1:60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M2" s="14"/>
      <c r="AN2" s="14"/>
      <c r="AO2" s="14"/>
      <c r="AP2" s="14"/>
      <c r="AQ2" s="14"/>
      <c r="AR2" s="14"/>
      <c r="AS2" s="10" t="s">
        <v>41</v>
      </c>
      <c r="AT2" s="10" t="s">
        <v>39</v>
      </c>
      <c r="AU2" s="10" t="s">
        <v>41</v>
      </c>
      <c r="AV2" s="10" t="s">
        <v>39</v>
      </c>
      <c r="AW2" s="10" t="s">
        <v>42</v>
      </c>
      <c r="AX2" s="10" t="s">
        <v>43</v>
      </c>
      <c r="BH2" s="14"/>
    </row>
    <row r="3" spans="1:60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M3" s="19"/>
      <c r="AN3" s="19"/>
      <c r="AO3" s="16" t="s">
        <v>44</v>
      </c>
      <c r="AP3" s="19" t="s">
        <v>45</v>
      </c>
      <c r="AQ3" s="19" t="s">
        <v>44</v>
      </c>
      <c r="AR3" s="19" t="s">
        <v>45</v>
      </c>
      <c r="AS3" s="10">
        <v>10923418</v>
      </c>
      <c r="BB3" s="18">
        <f>S3/AF3</f>
        <v>1.3803743059084649E-2</v>
      </c>
      <c r="BC3" s="10">
        <v>2014</v>
      </c>
      <c r="BD3" s="18">
        <f>(SUM(S3:S6)/AVERAGE(AF3:AF6))</f>
        <v>5.6918105137217651E-2</v>
      </c>
      <c r="BE3" s="18">
        <f>(SUM(O3:O6)/AVERAGE(AF3:AF6))</f>
        <v>1.3201759021596645E-2</v>
      </c>
      <c r="BF3" s="18">
        <f>(SUM(C3:C6)/AVERAGE(AF3:AF6))</f>
        <v>6.4480796681875729E-2</v>
      </c>
      <c r="BG3" s="18">
        <f>(SUM(H3:H6)+SUM(J3:J6))/AVERAGE(AF3:AF6)</f>
        <v>0</v>
      </c>
      <c r="BH3" s="19">
        <f t="shared" ref="BH3:BH29" si="2">AJ3-BG3</f>
        <v>-2.0764450566254731E-2</v>
      </c>
    </row>
    <row r="4" spans="1:60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-3.2822266915484871E-2</v>
      </c>
      <c r="AK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S4" s="10">
        <v>10933469</v>
      </c>
      <c r="AU4" s="10">
        <f t="shared" ref="AU4:AU12" si="3">(AS4-AS3)/AS3</f>
        <v>9.2013324034656552E-4</v>
      </c>
      <c r="BB4" s="18">
        <f>S4/AF4</f>
        <v>1.4212842397520341E-2</v>
      </c>
      <c r="BC4" s="10">
        <v>2015</v>
      </c>
      <c r="BD4" s="18">
        <f>SUM(T14:T17)/AVERAGE(AF14:AF17)</f>
        <v>5.8016302548056842E-2</v>
      </c>
      <c r="BE4" s="18">
        <f>SUM(P14:P17)/AVERAGE(AF14:AF17)</f>
        <v>1.2830632772659245E-2</v>
      </c>
      <c r="BF4" s="18">
        <f>SUM(D14:D17)/AVERAGE(AF14:AF17)</f>
        <v>7.8007936690882476E-2</v>
      </c>
      <c r="BG4" s="18">
        <f>(SUM(H14:H17)+SUM(J14:J17))/AVERAGE(AF14:AF17)</f>
        <v>0</v>
      </c>
      <c r="BH4" s="19">
        <f t="shared" si="2"/>
        <v>-3.2822266915484871E-2</v>
      </c>
    </row>
    <row r="5" spans="1:60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-3.0485746542112804E-2</v>
      </c>
      <c r="AK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S5" s="10">
        <v>10927942</v>
      </c>
      <c r="AU5" s="10">
        <f t="shared" si="3"/>
        <v>-5.0551202001853203E-4</v>
      </c>
      <c r="BB5" s="18">
        <f>S5/AF5</f>
        <v>1.3103697084635945E-2</v>
      </c>
      <c r="BC5" s="10">
        <v>2016</v>
      </c>
      <c r="BD5" s="18">
        <f>SUM(T18:T21)/AVERAGE(AF18:AF21)</f>
        <v>5.685357467336042E-2</v>
      </c>
      <c r="BE5" s="18">
        <f>SUM(P18:P21)/AVERAGE(AF18:AF21)</f>
        <v>1.267400020370495E-2</v>
      </c>
      <c r="BF5" s="18">
        <f>SUM(D18:D21)/AVERAGE(AF18:AF21)</f>
        <v>7.4665321011768274E-2</v>
      </c>
      <c r="BG5" s="18">
        <f>(SUM(H18:H21)+SUM(J18:J21))/AVERAGE(AF18:AF21)</f>
        <v>2.3570041187072876E-5</v>
      </c>
      <c r="BH5" s="19">
        <f t="shared" si="2"/>
        <v>-3.0509316583299875E-2</v>
      </c>
    </row>
    <row r="6" spans="1:60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-3.4376308905891363E-2</v>
      </c>
      <c r="AK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S6" s="10">
        <v>11163575</v>
      </c>
      <c r="AU6" s="10">
        <f t="shared" si="3"/>
        <v>2.1562431425789046E-2</v>
      </c>
      <c r="BB6" s="18">
        <f>S6/AF6</f>
        <v>1.5720197118186657E-2</v>
      </c>
      <c r="BC6" s="10">
        <v>2017</v>
      </c>
      <c r="BD6" s="18">
        <f>SUM(T22:T25)/AVERAGE(AF22:AF25)</f>
        <v>5.635955861647677E-2</v>
      </c>
      <c r="BE6" s="18">
        <f>SUM(P22:P25)/AVERAGE(AF22:AF25)</f>
        <v>1.5482416354218705E-2</v>
      </c>
      <c r="BF6" s="18">
        <f>SUM(D22:D25)/AVERAGE(AF22:AF25)</f>
        <v>7.525345116814941E-2</v>
      </c>
      <c r="BG6" s="18">
        <f>(SUM(H22:H25)+SUM(J22:J25))/AVERAGE(AF22:AF25)</f>
        <v>4.6394536051195531E-4</v>
      </c>
      <c r="BH6" s="19">
        <f t="shared" si="2"/>
        <v>-3.4840254266403317E-2</v>
      </c>
    </row>
    <row r="7" spans="1:60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-2.8902614957811969E-2</v>
      </c>
      <c r="AK7" s="11">
        <v>35454286</v>
      </c>
      <c r="AL7" s="19">
        <f>AK7/AVERAGE(AF26:AF29)</f>
        <v>6.185366361963221E-3</v>
      </c>
      <c r="AM7" s="19">
        <f>(AF29-AF25)/AF25</f>
        <v>4.5469715518608967E-3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11031652.442215307</v>
      </c>
      <c r="AO7" s="11">
        <f t="shared" ref="AO7:AO29" si="5">AO6*(1+AM7)</f>
        <v>583315835.07030201</v>
      </c>
      <c r="AP7" s="11">
        <f>AO7</f>
        <v>583315835.07030201</v>
      </c>
      <c r="AQ7" s="21">
        <f>AO7/AF29</f>
        <v>0.10103933176461724</v>
      </c>
      <c r="AR7" s="21">
        <f>AP7/AF29</f>
        <v>0.10103933176461724</v>
      </c>
      <c r="AS7" s="10">
        <v>11012334</v>
      </c>
      <c r="AU7" s="10">
        <f t="shared" si="3"/>
        <v>-1.3547721048140941E-2</v>
      </c>
      <c r="BB7" s="18">
        <f t="shared" ref="BB7:BB38" si="6">T14/AF14</f>
        <v>1.3827254222720372E-2</v>
      </c>
      <c r="BC7" s="10">
        <f t="shared" ref="BC7:BC29" si="7">BC6+1</f>
        <v>2018</v>
      </c>
      <c r="BD7" s="18">
        <f>SUM(T26:T29)/AVERAGE(AF26:AF29)</f>
        <v>5.6193872228645227E-2</v>
      </c>
      <c r="BE7" s="18">
        <f>SUM(P26:P29)/AVERAGE(AF26:AF29)</f>
        <v>1.3509387776090773E-2</v>
      </c>
      <c r="BF7" s="18">
        <f>SUM(D26:D29)/AVERAGE(AF26:AF29)</f>
        <v>7.1587099410366437E-2</v>
      </c>
      <c r="BG7" s="18">
        <f>(SUM(H26:H29)+SUM(J26:J29))/AVERAGE(AF26:AF29)</f>
        <v>9.0530231026278083E-4</v>
      </c>
      <c r="BH7" s="19">
        <f t="shared" si="2"/>
        <v>-2.980791726807475E-2</v>
      </c>
    </row>
    <row r="8" spans="1:60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-2.6204129707112611E-2</v>
      </c>
      <c r="AK8" s="11">
        <v>34374528</v>
      </c>
      <c r="AL8" s="19">
        <f>AK8/AVERAGE(AF30:AF33)</f>
        <v>5.879779720521951E-3</v>
      </c>
      <c r="AM8" s="19">
        <f>(AF33-AF29)/AF29</f>
        <v>1.66985890042359E-2</v>
      </c>
      <c r="AN8" s="11">
        <f>((((AN7*((1+AM8)^(1/12))-AK8/12)*((1+AM8)^(1/12))-AK8/12)*((1+AM8)^(1/12))-AK8/12)*((1+AM8)^(1/12))-AK8/12)*((1+AM8)^(1/12))-AK8/12</f>
        <v>-3254297.0407977118</v>
      </c>
      <c r="AO8" s="11">
        <f t="shared" si="5"/>
        <v>593056386.4598037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569635424.45321679</v>
      </c>
      <c r="AQ8" s="21">
        <f>AO8/AF33</f>
        <v>0.10103933176461725</v>
      </c>
      <c r="AR8" s="21">
        <f>AP8/AF33</f>
        <v>9.7049090019551046E-2</v>
      </c>
      <c r="AS8" s="10">
        <v>11082939</v>
      </c>
      <c r="AU8" s="10">
        <f t="shared" si="3"/>
        <v>6.4114473825439729E-3</v>
      </c>
      <c r="BB8" s="18">
        <f t="shared" si="6"/>
        <v>1.492750383483619E-2</v>
      </c>
      <c r="BC8" s="10">
        <f t="shared" si="7"/>
        <v>2019</v>
      </c>
      <c r="BD8" s="18">
        <f>SUM(T30:T33)/AVERAGE(AF30:AF33)</f>
        <v>5.6347845626152859E-2</v>
      </c>
      <c r="BE8" s="18">
        <f>SUM(P30:P33)/AVERAGE(AF30:AF33)</f>
        <v>1.2456012757460347E-2</v>
      </c>
      <c r="BF8" s="18">
        <f>SUM(D30:D33)/AVERAGE(AF30:AF33)</f>
        <v>7.009596257580511E-2</v>
      </c>
      <c r="BG8" s="18">
        <f>(SUM(H30:H33)+SUM(J30:J33))/AVERAGE(AF30:AF33)</f>
        <v>1.3211954306823683E-3</v>
      </c>
      <c r="BH8" s="19">
        <f t="shared" si="2"/>
        <v>-2.752532513779498E-2</v>
      </c>
    </row>
    <row r="9" spans="1:60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-2.8806272029323135E-2</v>
      </c>
      <c r="AK9" s="11">
        <v>32846590</v>
      </c>
      <c r="AL9" s="19">
        <f>AK9/AVERAGE(AF34:AF37)</f>
        <v>5.6337534418307777E-3</v>
      </c>
      <c r="AM9" s="19">
        <f>(AF37-AF33)/AF33</f>
        <v>-6.2159536281845311E-3</v>
      </c>
      <c r="AN9" s="19"/>
      <c r="AO9" s="11">
        <f t="shared" si="5"/>
        <v>589369975.46267092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533341691.6606636</v>
      </c>
      <c r="AQ9" s="21">
        <f>AO9/AF37</f>
        <v>0.10103933176461727</v>
      </c>
      <c r="AR9" s="21">
        <f>AP9/AF37</f>
        <v>9.143405733435965E-2</v>
      </c>
      <c r="AS9" s="10">
        <v>11339977</v>
      </c>
      <c r="AU9" s="10">
        <f t="shared" si="3"/>
        <v>2.3192223651145243E-2</v>
      </c>
      <c r="BB9" s="18">
        <f t="shared" si="6"/>
        <v>1.3592051892300453E-2</v>
      </c>
      <c r="BC9" s="10">
        <f t="shared" si="7"/>
        <v>2020</v>
      </c>
      <c r="BD9" s="18">
        <f>SUM(T34:T37)/AVERAGE(AF34:AF37)</f>
        <v>5.5943167369097428E-2</v>
      </c>
      <c r="BE9" s="18">
        <f>SUM(P34:P37)/AVERAGE(AF34:AF37)</f>
        <v>1.2434243131228786E-2</v>
      </c>
      <c r="BF9" s="18">
        <f>SUM(D34:D37)/AVERAGE(AF34:AF37)</f>
        <v>7.2315196267191781E-2</v>
      </c>
      <c r="BG9" s="18">
        <f>(SUM(H34:H37)+SUM(J34:J37))/AVERAGE(AF34:AF37)</f>
        <v>1.7779918586995874E-3</v>
      </c>
      <c r="BH9" s="19">
        <f t="shared" si="2"/>
        <v>-3.0584263888022722E-2</v>
      </c>
    </row>
    <row r="10" spans="1:60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-2.9291108955108055E-2</v>
      </c>
      <c r="AK10" s="11">
        <v>31057760</v>
      </c>
      <c r="AL10" s="19">
        <f>AK10/AVERAGE(AF38:AF41)</f>
        <v>5.2999488756223173E-3</v>
      </c>
      <c r="AM10" s="19">
        <f>(AF41-AF37)/AF37</f>
        <v>2.5065522218720216E-3</v>
      </c>
      <c r="AN10" s="19"/>
      <c r="AO10" s="11">
        <f t="shared" si="5"/>
        <v>590847262.08417165</v>
      </c>
      <c r="AP10" s="11">
        <f t="shared" si="8"/>
        <v>503585116.30432504</v>
      </c>
      <c r="AQ10" s="21">
        <f>AO10/AF41</f>
        <v>0.10103933176461728</v>
      </c>
      <c r="AR10" s="21">
        <f>AP10/AF41</f>
        <v>8.6116847624060716E-2</v>
      </c>
      <c r="AS10" s="10">
        <v>11479064</v>
      </c>
      <c r="AU10" s="10">
        <f t="shared" si="3"/>
        <v>1.2265192424993455E-2</v>
      </c>
      <c r="BB10" s="18">
        <f t="shared" si="6"/>
        <v>1.5585340256804837E-2</v>
      </c>
      <c r="BC10" s="10">
        <f t="shared" si="7"/>
        <v>2021</v>
      </c>
      <c r="BD10" s="18">
        <f>SUM(T38:T41)/AVERAGE(AF38:AF41)</f>
        <v>5.57422777526934E-2</v>
      </c>
      <c r="BE10" s="18">
        <f>SUM(P38:P41)/AVERAGE(AF38:AF41)</f>
        <v>1.2351659040217462E-2</v>
      </c>
      <c r="BF10" s="18">
        <f>SUM(D38:D41)/AVERAGE(AF38:AF41)</f>
        <v>7.268172766758399E-2</v>
      </c>
      <c r="BG10" s="18">
        <f>(SUM(H38:H41)+SUM(J38:J41))/AVERAGE(AF38:AF41)</f>
        <v>2.199739841746521E-3</v>
      </c>
      <c r="BH10" s="19">
        <f t="shared" si="2"/>
        <v>-3.1490848796854577E-2</v>
      </c>
    </row>
    <row r="11" spans="1:60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-2.9533961362160542E-2</v>
      </c>
      <c r="AK11" s="11">
        <v>29301799</v>
      </c>
      <c r="AL11" s="19">
        <f>AK11/AVERAGE(AF42:AF45)</f>
        <v>5.0128953765421419E-3</v>
      </c>
      <c r="AM11" s="19">
        <f>(AF45-AF41)/AF41</f>
        <v>2.1149727023633512E-3</v>
      </c>
      <c r="AN11" s="19"/>
      <c r="AO11" s="11">
        <f t="shared" si="5"/>
        <v>592096887.91474581</v>
      </c>
      <c r="AP11" s="11">
        <f t="shared" si="8"/>
        <v>475319992.84903383</v>
      </c>
      <c r="AQ11" s="21">
        <f>AO11/AF45</f>
        <v>0.10103933176461728</v>
      </c>
      <c r="AR11" s="21">
        <f>AP11/AF45</f>
        <v>8.1111749499254523E-2</v>
      </c>
      <c r="AS11" s="10">
        <v>11462881</v>
      </c>
      <c r="AU11" s="10">
        <f t="shared" si="3"/>
        <v>-1.4097839336029488E-3</v>
      </c>
      <c r="BB11" s="18">
        <f t="shared" si="6"/>
        <v>1.3648937813796651E-2</v>
      </c>
      <c r="BC11" s="10">
        <f t="shared" si="7"/>
        <v>2022</v>
      </c>
      <c r="BD11" s="18">
        <f>SUM(T42:T45)/AVERAGE(AF42:AF45)</f>
        <v>5.5509272106443651E-2</v>
      </c>
      <c r="BE11" s="18">
        <f>SUM(P42:P45)/AVERAGE(AF42:AF45)</f>
        <v>1.2026448986727714E-2</v>
      </c>
      <c r="BF11" s="18">
        <f>SUM(D42:D45)/AVERAGE(AF42:AF45)</f>
        <v>7.3016784481876471E-2</v>
      </c>
      <c r="BG11" s="18">
        <f>(SUM(H42:H45)+SUM(J42:J45))/AVERAGE(AF42:AF45)</f>
        <v>2.7763810411015042E-3</v>
      </c>
      <c r="BH11" s="19">
        <f t="shared" si="2"/>
        <v>-3.2310342403262048E-2</v>
      </c>
    </row>
    <row r="12" spans="1:60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-3.052261994228804E-2</v>
      </c>
      <c r="AK12" s="11">
        <v>27587484</v>
      </c>
      <c r="AL12" s="19">
        <f>AK12/AVERAGE(AF46:AF49)</f>
        <v>4.7069315464657504E-3</v>
      </c>
      <c r="AM12" s="19">
        <f>(AF49-AF45)/AF45</f>
        <v>-3.2512653923260065E-4</v>
      </c>
      <c r="AN12" s="19"/>
      <c r="AO12" s="11">
        <f t="shared" si="5"/>
        <v>591904381.50268769</v>
      </c>
      <c r="AP12" s="11">
        <f t="shared" si="8"/>
        <v>447582080.93173188</v>
      </c>
      <c r="AQ12" s="21">
        <f>AO12/AF49</f>
        <v>0.10103933176461728</v>
      </c>
      <c r="AR12" s="21">
        <f>AP12/AF49</f>
        <v>7.640320933652979E-2</v>
      </c>
      <c r="AS12" s="10">
        <v>11332510</v>
      </c>
      <c r="AU12" s="10">
        <f t="shared" si="3"/>
        <v>-1.1373318801791626E-2</v>
      </c>
      <c r="BB12" s="18">
        <f t="shared" si="6"/>
        <v>1.4371126013635358E-2</v>
      </c>
      <c r="BC12" s="10">
        <f t="shared" si="7"/>
        <v>2023</v>
      </c>
      <c r="BD12" s="18">
        <f>SUM(T46:T49)/AVERAGE(AF46:AF49)</f>
        <v>5.5234521454233534E-2</v>
      </c>
      <c r="BE12" s="18">
        <f>SUM(P46:P49)/AVERAGE(AF46:AF49)</f>
        <v>1.2061671422478758E-2</v>
      </c>
      <c r="BF12" s="18">
        <f>SUM(D46:D49)/AVERAGE(AF46:AF49)</f>
        <v>7.3695469974042818E-2</v>
      </c>
      <c r="BG12" s="18">
        <f>(SUM(H46:H49)+SUM(J46:J49))/AVERAGE(AF46:AF49)</f>
        <v>3.2219408357906164E-3</v>
      </c>
      <c r="BH12" s="19">
        <f t="shared" si="2"/>
        <v>-3.3744560778078657E-2</v>
      </c>
    </row>
    <row r="13" spans="1:60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-3.1199857998427588E-2</v>
      </c>
      <c r="AK13" s="23">
        <v>25946868</v>
      </c>
      <c r="AL13" s="27">
        <f>AK13/AVERAGE(AF50:AF53)</f>
        <v>4.4154778637789495E-3</v>
      </c>
      <c r="AM13" s="27">
        <f>(AF53-AF49)/AF49</f>
        <v>6.6625855251865335E-3</v>
      </c>
      <c r="AN13" s="27"/>
      <c r="AO13" s="23">
        <f t="shared" si="5"/>
        <v>595847995.06718194</v>
      </c>
      <c r="AP13" s="23">
        <f t="shared" si="8"/>
        <v>424538128.26218879</v>
      </c>
      <c r="AQ13" s="28">
        <f>AO13/AF53</f>
        <v>0.10103933176461728</v>
      </c>
      <c r="AR13" s="28">
        <f>AP13/AF53</f>
        <v>7.1989918810377987E-2</v>
      </c>
      <c r="BB13" s="20">
        <f t="shared" si="6"/>
        <v>1.3371306482896899E-2</v>
      </c>
      <c r="BC13">
        <f t="shared" si="7"/>
        <v>2024</v>
      </c>
      <c r="BD13" s="20">
        <f>SUM(T50:T53)/AVERAGE(AF50:AF53)</f>
        <v>5.4791605473375624E-2</v>
      </c>
      <c r="BE13" s="20">
        <f>SUM(P50:P53)/AVERAGE(AF50:AF53)</f>
        <v>1.2044485470515748E-2</v>
      </c>
      <c r="BF13" s="20">
        <f>SUM(D50:D53)/AVERAGE(AF50:AF53)</f>
        <v>7.3946978001287453E-2</v>
      </c>
      <c r="BG13" s="20">
        <f>(SUM(H50:H53)+SUM(J50:J53))/AVERAGE(AF50:AF53)</f>
        <v>3.7865091701115771E-3</v>
      </c>
      <c r="BH13" s="27">
        <f t="shared" si="2"/>
        <v>-3.4986367168539166E-2</v>
      </c>
    </row>
    <row r="14" spans="1:60" s="29" customFormat="1">
      <c r="A14" s="29">
        <v>2015</v>
      </c>
      <c r="B14" s="29">
        <v>1</v>
      </c>
      <c r="C14" s="30"/>
      <c r="D14" s="33">
        <v>94935467.946732298</v>
      </c>
      <c r="E14" s="30"/>
      <c r="F14" s="33">
        <v>17255645.071814399</v>
      </c>
      <c r="G14" s="51">
        <v>0</v>
      </c>
      <c r="H14" s="51">
        <v>0</v>
      </c>
      <c r="I14" s="51">
        <v>0</v>
      </c>
      <c r="J14" s="51">
        <v>0</v>
      </c>
      <c r="K14" s="30"/>
      <c r="L14" s="52">
        <v>2539896.5458378801</v>
      </c>
      <c r="M14" s="33"/>
      <c r="N14" s="52">
        <v>705811.99728036299</v>
      </c>
      <c r="O14" s="30"/>
      <c r="P14" s="52">
        <v>17062704.611343101</v>
      </c>
      <c r="Q14" s="33"/>
      <c r="R14" s="52">
        <v>17864532.400856201</v>
      </c>
      <c r="S14" s="33"/>
      <c r="T14" s="33">
        <v>68306587.984066397</v>
      </c>
      <c r="U14" s="30"/>
      <c r="V14" s="52">
        <v>116424.766458671</v>
      </c>
      <c r="W14" s="33"/>
      <c r="X14" s="52">
        <v>292425.44715261197</v>
      </c>
      <c r="Y14" s="30"/>
      <c r="Z14" s="30">
        <f t="shared" ref="Z14:Z45" si="9">R14+V14-N14-L14-F14</f>
        <v>-2520396.4476177692</v>
      </c>
      <c r="AA14" s="30"/>
      <c r="AB14" s="30">
        <f t="shared" ref="AB14:AB45" si="10">T14-P14-D14</f>
        <v>-43691584.574009001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-8.8444565177115027E-3</v>
      </c>
      <c r="AI14" s="35">
        <f t="shared" si="4"/>
        <v>2025</v>
      </c>
      <c r="AJ14" s="36">
        <f>SUM(AB54:AB57)/AVERAGE(AF54:AF57)</f>
        <v>-3.1323876825306435E-2</v>
      </c>
      <c r="AK14" s="30">
        <v>24286256</v>
      </c>
      <c r="AL14" s="36">
        <f>AK14/AVERAGE(AF54:AF57)</f>
        <v>4.1130814018325206E-3</v>
      </c>
      <c r="AM14" s="36">
        <f>(AF57-AF53)/AF53</f>
        <v>8.215298000410421E-3</v>
      </c>
      <c r="AN14" s="36"/>
      <c r="AO14" s="30">
        <f t="shared" si="5"/>
        <v>600743063.90960598</v>
      </c>
      <c r="AP14" s="30">
        <f t="shared" si="8"/>
        <v>403648268.45718807</v>
      </c>
      <c r="AQ14" s="37">
        <f>AO14/AF57</f>
        <v>0.10103933176461728</v>
      </c>
      <c r="AR14" s="37">
        <f>AP14/AF57</f>
        <v>6.7889841369847201E-2</v>
      </c>
      <c r="AT14" s="29">
        <v>11004289</v>
      </c>
      <c r="AV14" s="29">
        <f>(AT14-AS6)/AS6</f>
        <v>-1.4268368331829186E-2</v>
      </c>
      <c r="AW14" s="53">
        <v>6368.9065332603996</v>
      </c>
      <c r="BB14" s="34">
        <f t="shared" si="6"/>
        <v>1.5435953799932048E-2</v>
      </c>
      <c r="BC14" s="29">
        <f t="shared" si="7"/>
        <v>2025</v>
      </c>
      <c r="BD14" s="34">
        <f>SUM(T54:T57)/AVERAGE(AF54:AF57)</f>
        <v>5.4583260199800532E-2</v>
      </c>
      <c r="BE14" s="34">
        <f>SUM(P54:P57)/AVERAGE(AF54:AF57)</f>
        <v>1.1828977303117735E-2</v>
      </c>
      <c r="BF14" s="34">
        <f>SUM(D54:D57)/AVERAGE(AF54:AF57)</f>
        <v>7.4078159721989223E-2</v>
      </c>
      <c r="BG14" s="34">
        <f>(SUM(H54:H57)+SUM(J54:J57))/AVERAGE(AF54:AF57)</f>
        <v>5.1989958844702111E-3</v>
      </c>
      <c r="BH14" s="36">
        <f t="shared" si="2"/>
        <v>-3.6522872709776645E-2</v>
      </c>
    </row>
    <row r="15" spans="1:60" s="39" customFormat="1">
      <c r="A15" s="39">
        <v>2015</v>
      </c>
      <c r="B15" s="39">
        <v>2</v>
      </c>
      <c r="C15" s="40"/>
      <c r="D15" s="43">
        <v>109339014.260114</v>
      </c>
      <c r="E15" s="40"/>
      <c r="F15" s="43">
        <v>19873660.112290099</v>
      </c>
      <c r="G15" s="54">
        <v>0</v>
      </c>
      <c r="H15" s="54">
        <v>0</v>
      </c>
      <c r="I15" s="54">
        <v>0</v>
      </c>
      <c r="J15" s="54">
        <v>0</v>
      </c>
      <c r="K15" s="40"/>
      <c r="L15" s="55">
        <v>2236649.19177722</v>
      </c>
      <c r="M15" s="43"/>
      <c r="N15" s="55">
        <v>815524.15203720704</v>
      </c>
      <c r="O15" s="40"/>
      <c r="P15" s="55">
        <v>16092756.5546983</v>
      </c>
      <c r="Q15" s="43"/>
      <c r="R15" s="55">
        <v>21768919.327668201</v>
      </c>
      <c r="S15" s="43"/>
      <c r="T15" s="43">
        <v>83235349.7985847</v>
      </c>
      <c r="U15" s="40"/>
      <c r="V15" s="55">
        <v>117941.839121197</v>
      </c>
      <c r="W15" s="43"/>
      <c r="X15" s="55">
        <v>296235.896296694</v>
      </c>
      <c r="Y15" s="40"/>
      <c r="Z15" s="40">
        <f t="shared" si="9"/>
        <v>-1038972.2893151268</v>
      </c>
      <c r="AA15" s="40"/>
      <c r="AB15" s="40">
        <f t="shared" si="10"/>
        <v>-42196421.016227603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-7.5675447758713011E-3</v>
      </c>
      <c r="AI15" s="45">
        <f t="shared" si="4"/>
        <v>2026</v>
      </c>
      <c r="AJ15" s="46">
        <f>SUM(AB58:AB61)/AVERAGE(AF58:AF61)</f>
        <v>-3.1081340481507406E-2</v>
      </c>
      <c r="AK15" s="40">
        <v>22693230</v>
      </c>
      <c r="AL15" s="46">
        <f>AK15/AVERAGE(AF58:AF61)</f>
        <v>3.8346668582711235E-3</v>
      </c>
      <c r="AM15" s="46">
        <f>(AF61-AF57)/AF57</f>
        <v>-2.8165813601571288E-3</v>
      </c>
      <c r="AN15" s="46"/>
      <c r="AO15" s="40">
        <f t="shared" si="5"/>
        <v>599051022.19355452</v>
      </c>
      <c r="AP15" s="40">
        <f t="shared" si="8"/>
        <v>379847440.62967443</v>
      </c>
      <c r="AQ15" s="47">
        <f>AO15/AF61</f>
        <v>0.10103933176461728</v>
      </c>
      <c r="AR15" s="47">
        <f>AP15/AF61</f>
        <v>6.4067216567275875E-2</v>
      </c>
      <c r="AT15" s="39">
        <v>11039157</v>
      </c>
      <c r="AV15" s="39">
        <f t="shared" ref="AV15:AV46" si="13">(AT15-AT14)/AT14</f>
        <v>3.1685827226093388E-3</v>
      </c>
      <c r="AW15" s="56">
        <v>6691.6267211455997</v>
      </c>
      <c r="AX15" s="44">
        <f t="shared" ref="AX15:AX46" si="14">(AW15-AW14)/AW14</f>
        <v>5.06712080323138E-2</v>
      </c>
      <c r="BB15" s="44">
        <f t="shared" si="6"/>
        <v>1.3822787597134715E-2</v>
      </c>
      <c r="BC15" s="39">
        <f t="shared" si="7"/>
        <v>2026</v>
      </c>
      <c r="BD15" s="44">
        <f>SUM(T58:T61)/AVERAGE(AF58:AF61)</f>
        <v>5.4674437466676599E-2</v>
      </c>
      <c r="BE15" s="44">
        <f>SUM(P58:P61)/AVERAGE(AF58:AF61)</f>
        <v>1.1635937214271183E-2</v>
      </c>
      <c r="BF15" s="44">
        <f>SUM(D58:D61)/AVERAGE(AF58:AF61)</f>
        <v>7.4119840733912812E-2</v>
      </c>
      <c r="BG15" s="44">
        <f>(SUM(H58:H61)+SUM(J58:J61))/AVERAGE(AF58:AF61)</f>
        <v>6.77140272444114E-3</v>
      </c>
      <c r="BH15" s="46">
        <f t="shared" si="2"/>
        <v>-3.7852743205948544E-2</v>
      </c>
    </row>
    <row r="16" spans="1:60" s="39" customFormat="1">
      <c r="A16" s="39">
        <v>2015</v>
      </c>
      <c r="B16" s="39">
        <v>3</v>
      </c>
      <c r="C16" s="40"/>
      <c r="D16" s="43">
        <v>106210928.692734</v>
      </c>
      <c r="E16" s="40"/>
      <c r="F16" s="43">
        <v>19305093.532566201</v>
      </c>
      <c r="G16" s="54">
        <v>0</v>
      </c>
      <c r="H16" s="54">
        <v>0</v>
      </c>
      <c r="I16" s="54">
        <v>0</v>
      </c>
      <c r="J16" s="54">
        <v>0</v>
      </c>
      <c r="K16" s="40"/>
      <c r="L16" s="55">
        <v>2734803.8185367598</v>
      </c>
      <c r="M16" s="43"/>
      <c r="N16" s="55">
        <v>793894.77475975105</v>
      </c>
      <c r="O16" s="40"/>
      <c r="P16" s="55">
        <v>18558684.828998402</v>
      </c>
      <c r="Q16" s="43"/>
      <c r="R16" s="55">
        <v>20018134.0063628</v>
      </c>
      <c r="S16" s="43"/>
      <c r="T16" s="43">
        <v>76541070.379033193</v>
      </c>
      <c r="U16" s="40"/>
      <c r="V16" s="55">
        <v>123359.29092606</v>
      </c>
      <c r="W16" s="43"/>
      <c r="X16" s="55">
        <v>309842.97333581501</v>
      </c>
      <c r="Y16" s="40"/>
      <c r="Z16" s="40">
        <f t="shared" si="9"/>
        <v>-2692298.8285738509</v>
      </c>
      <c r="AA16" s="40"/>
      <c r="AB16" s="40">
        <f t="shared" si="10"/>
        <v>-48228543.142699212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-8.5643545071873734E-3</v>
      </c>
      <c r="AI16" s="45">
        <f t="shared" si="4"/>
        <v>2027</v>
      </c>
      <c r="AJ16" s="46">
        <f>SUM(AB62:AB65)/AVERAGE(AF62:AF65)</f>
        <v>-3.0761811635520102E-2</v>
      </c>
      <c r="AK16" s="40">
        <v>21139690</v>
      </c>
      <c r="AL16" s="46">
        <f>AK16/AVERAGE(AF62:AF65)</f>
        <v>3.5526195105991601E-3</v>
      </c>
      <c r="AM16" s="46">
        <f>(AF65-AF61)/AF61</f>
        <v>6.6254176397053666E-3</v>
      </c>
      <c r="AN16" s="46"/>
      <c r="AO16" s="40">
        <f t="shared" si="5"/>
        <v>603019985.40307927</v>
      </c>
      <c r="AP16" s="40">
        <f t="shared" si="8"/>
        <v>361160281.26776195</v>
      </c>
      <c r="AQ16" s="47">
        <f>AO16/AF65</f>
        <v>0.1010393317646173</v>
      </c>
      <c r="AR16" s="47">
        <f>AP16/AF65</f>
        <v>6.0514401450266687E-2</v>
      </c>
      <c r="AT16" s="39">
        <v>11069835</v>
      </c>
      <c r="AV16" s="39">
        <f t="shared" si="13"/>
        <v>2.7790165499050334E-3</v>
      </c>
      <c r="AW16" s="56">
        <v>6984.1911310187998</v>
      </c>
      <c r="AX16" s="44">
        <f t="shared" si="14"/>
        <v>4.372096981272041E-2</v>
      </c>
      <c r="BB16" s="44">
        <f t="shared" si="6"/>
        <v>1.4454010095105808E-2</v>
      </c>
      <c r="BC16" s="39">
        <f t="shared" si="7"/>
        <v>2027</v>
      </c>
      <c r="BD16" s="44">
        <f>SUM(T62:T65)/AVERAGE(AF62:AF65)</f>
        <v>5.4516096288570473E-2</v>
      </c>
      <c r="BE16" s="44">
        <f>SUM(P62:P65)/AVERAGE(AF62:AF65)</f>
        <v>1.1386916465322652E-2</v>
      </c>
      <c r="BF16" s="44">
        <f>SUM(D62:D65)/AVERAGE(AF62:AF65)</f>
        <v>7.389099145876793E-2</v>
      </c>
      <c r="BG16" s="44">
        <f>(SUM(H62:H65)+SUM(J62:J65))/AVERAGE(AF62:AF65)</f>
        <v>8.3099499946793672E-3</v>
      </c>
      <c r="BH16" s="46">
        <f t="shared" si="2"/>
        <v>-3.9071761630199472E-2</v>
      </c>
    </row>
    <row r="17" spans="1:60" s="39" customFormat="1">
      <c r="A17" s="39">
        <v>2015</v>
      </c>
      <c r="B17" s="39">
        <v>4</v>
      </c>
      <c r="C17" s="40"/>
      <c r="D17" s="43">
        <v>114771012.910385</v>
      </c>
      <c r="E17" s="40"/>
      <c r="F17" s="43">
        <v>20860990.166767199</v>
      </c>
      <c r="G17" s="54">
        <v>0</v>
      </c>
      <c r="H17" s="54">
        <v>0</v>
      </c>
      <c r="I17" s="54">
        <v>0</v>
      </c>
      <c r="J17" s="54">
        <v>0</v>
      </c>
      <c r="K17" s="40"/>
      <c r="L17" s="55">
        <v>2602828.7029223</v>
      </c>
      <c r="M17" s="43"/>
      <c r="N17" s="55">
        <v>858883.92639526003</v>
      </c>
      <c r="O17" s="40"/>
      <c r="P17" s="55">
        <v>18231416.464090601</v>
      </c>
      <c r="Q17" s="43"/>
      <c r="R17" s="55">
        <v>23064733.3455512</v>
      </c>
      <c r="S17" s="43"/>
      <c r="T17" s="43">
        <v>88190007.006364107</v>
      </c>
      <c r="U17" s="40"/>
      <c r="V17" s="55">
        <v>115904.1045511</v>
      </c>
      <c r="W17" s="43"/>
      <c r="X17" s="55">
        <v>291117.69455178798</v>
      </c>
      <c r="Y17" s="40"/>
      <c r="Z17" s="40">
        <f t="shared" si="9"/>
        <v>-1142065.3459824584</v>
      </c>
      <c r="AA17" s="40"/>
      <c r="AB17" s="40">
        <f t="shared" si="10"/>
        <v>-44812422.368111491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-7.919455662230181E-3</v>
      </c>
      <c r="AI17" s="45">
        <f t="shared" si="4"/>
        <v>2028</v>
      </c>
      <c r="AJ17" s="46">
        <f>SUM(AB66:AB69)/AVERAGE(AF66:AF69)</f>
        <v>-3.0664348665224168E-2</v>
      </c>
      <c r="AK17" s="40">
        <v>19630172</v>
      </c>
      <c r="AL17" s="46">
        <f>AK17/AVERAGE(AF66:AF69)</f>
        <v>3.2766053226646399E-3</v>
      </c>
      <c r="AM17" s="46">
        <f>(AF69-AF65)/AF65</f>
        <v>6.4062160558067075E-3</v>
      </c>
      <c r="AN17" s="46"/>
      <c r="AO17" s="40">
        <f t="shared" si="5"/>
        <v>606883061.71554077</v>
      </c>
      <c r="AP17" s="40">
        <f t="shared" si="8"/>
        <v>343786208.75125527</v>
      </c>
      <c r="AQ17" s="47">
        <f>AO17/AF69</f>
        <v>0.1010393317646173</v>
      </c>
      <c r="AR17" s="47">
        <f>AP17/AF69</f>
        <v>5.7236609477823157E-2</v>
      </c>
      <c r="AT17" s="39">
        <v>11079853</v>
      </c>
      <c r="AV17" s="39">
        <f t="shared" si="13"/>
        <v>9.0498187190685316E-4</v>
      </c>
      <c r="AW17" s="56">
        <v>6967.8308273950997</v>
      </c>
      <c r="AX17" s="44">
        <f t="shared" si="14"/>
        <v>-2.3424765039775628E-3</v>
      </c>
      <c r="BB17" s="44">
        <f t="shared" si="6"/>
        <v>1.3110468534483652E-2</v>
      </c>
      <c r="BC17" s="39">
        <f t="shared" si="7"/>
        <v>2028</v>
      </c>
      <c r="BD17" s="44">
        <f>SUM(T66:T69)/AVERAGE(AF66:AF69)</f>
        <v>5.4248024094968476E-2</v>
      </c>
      <c r="BE17" s="44">
        <f>SUM(P66:P69)/AVERAGE(AF66:AF69)</f>
        <v>1.1339634775231302E-2</v>
      </c>
      <c r="BF17" s="44">
        <f>SUM(D66:D69)/AVERAGE(AF66:AF69)</f>
        <v>7.3572737984961334E-2</v>
      </c>
      <c r="BG17" s="44">
        <f>(SUM(H66:H69)+SUM(J66:J69))/AVERAGE(AF66:AF69)</f>
        <v>9.9825425689432142E-3</v>
      </c>
      <c r="BH17" s="46">
        <f t="shared" si="2"/>
        <v>-4.0646891234167384E-2</v>
      </c>
    </row>
    <row r="18" spans="1:60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33">
        <v>100240264.60821301</v>
      </c>
      <c r="E18" s="30"/>
      <c r="F18" s="33">
        <v>18219854.6591102</v>
      </c>
      <c r="G18" s="51">
        <v>0</v>
      </c>
      <c r="H18" s="51">
        <v>0</v>
      </c>
      <c r="I18" s="51">
        <v>0</v>
      </c>
      <c r="J18" s="51">
        <v>0</v>
      </c>
      <c r="K18" s="30"/>
      <c r="L18" s="52">
        <v>2640788.5999428201</v>
      </c>
      <c r="M18" s="33"/>
      <c r="N18" s="52">
        <v>746581.10841980204</v>
      </c>
      <c r="O18" s="30"/>
      <c r="P18" s="52">
        <v>17810533.580371</v>
      </c>
      <c r="Q18" s="33"/>
      <c r="R18" s="52">
        <v>18956103.483738702</v>
      </c>
      <c r="S18" s="33"/>
      <c r="T18" s="33">
        <v>72480304.627789095</v>
      </c>
      <c r="U18" s="30"/>
      <c r="V18" s="52">
        <v>109424.910354893</v>
      </c>
      <c r="W18" s="33"/>
      <c r="X18" s="52">
        <v>274843.82673443598</v>
      </c>
      <c r="Y18" s="30"/>
      <c r="Z18" s="30">
        <f t="shared" si="9"/>
        <v>-2541695.9733792264</v>
      </c>
      <c r="AA18" s="30"/>
      <c r="AB18" s="30">
        <f t="shared" si="10"/>
        <v>-45570493.560794912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-8.5814875634068286E-3</v>
      </c>
      <c r="AI18" s="35">
        <f t="shared" si="4"/>
        <v>2029</v>
      </c>
      <c r="AJ18" s="36">
        <f>SUM(AB70:AB73)/AVERAGE(AF70:AF73)</f>
        <v>-3.0353745884489074E-2</v>
      </c>
      <c r="AK18" s="30">
        <v>18201329</v>
      </c>
      <c r="AL18" s="36">
        <f>AK18/AVERAGE(AF70:AF73)</f>
        <v>3.0210632787433427E-3</v>
      </c>
      <c r="AM18" s="36">
        <f>(AF73-AF69)/AF69</f>
        <v>9.8399996144486121E-3</v>
      </c>
      <c r="AN18" s="36"/>
      <c r="AO18" s="30">
        <f t="shared" si="5"/>
        <v>612854790.80883718</v>
      </c>
      <c r="AP18" s="30">
        <f t="shared" si="8"/>
        <v>328885793.05212909</v>
      </c>
      <c r="AQ18" s="37">
        <f>AO18/AF73</f>
        <v>0.10103933176461731</v>
      </c>
      <c r="AR18" s="37">
        <f>AP18/AF73</f>
        <v>5.4222307233670025E-2</v>
      </c>
      <c r="AT18" s="29">
        <v>11091626</v>
      </c>
      <c r="AV18" s="29">
        <f t="shared" si="13"/>
        <v>1.0625592234842828E-3</v>
      </c>
      <c r="AW18" s="53">
        <v>6546.8359095505002</v>
      </c>
      <c r="AX18" s="34">
        <f t="shared" si="14"/>
        <v>-6.0419796099152288E-2</v>
      </c>
      <c r="BB18" s="34">
        <f t="shared" si="6"/>
        <v>1.4944580088998934E-2</v>
      </c>
      <c r="BC18" s="29">
        <f t="shared" si="7"/>
        <v>2029</v>
      </c>
      <c r="BD18" s="34">
        <f>SUM(T70:T73)/AVERAGE(AF70:AF73)</f>
        <v>5.3995063348426853E-2</v>
      </c>
      <c r="BE18" s="34">
        <f>SUM(P70:P73)/AVERAGE(AF70:AF73)</f>
        <v>1.1135688688660947E-2</v>
      </c>
      <c r="BF18" s="34">
        <f>SUM(D70:D73)/AVERAGE(AF70:AF73)</f>
        <v>7.3213120544254981E-2</v>
      </c>
      <c r="BG18" s="34">
        <f>(SUM(H70:H73)+SUM(J70:J73))/AVERAGE(AF70:AF73)</f>
        <v>1.1424738036230064E-2</v>
      </c>
      <c r="BH18" s="36">
        <f t="shared" si="2"/>
        <v>-4.1778483920719138E-2</v>
      </c>
    </row>
    <row r="19" spans="1:60" s="39" customFormat="1">
      <c r="A19" s="39">
        <f t="shared" si="15"/>
        <v>2016</v>
      </c>
      <c r="B19" s="39">
        <f t="shared" si="16"/>
        <v>2</v>
      </c>
      <c r="C19" s="40"/>
      <c r="D19" s="43">
        <v>103301064.511197</v>
      </c>
      <c r="E19" s="40"/>
      <c r="F19" s="43">
        <v>18776191.272854801</v>
      </c>
      <c r="G19" s="54">
        <v>0</v>
      </c>
      <c r="H19" s="54">
        <v>0</v>
      </c>
      <c r="I19" s="54">
        <v>0</v>
      </c>
      <c r="J19" s="54">
        <v>0</v>
      </c>
      <c r="K19" s="40"/>
      <c r="L19" s="55">
        <v>2248745.6258871201</v>
      </c>
      <c r="M19" s="43"/>
      <c r="N19" s="55">
        <v>770770.993377637</v>
      </c>
      <c r="O19" s="40"/>
      <c r="P19" s="55">
        <v>15909306.3341702</v>
      </c>
      <c r="Q19" s="43"/>
      <c r="R19" s="55">
        <v>21350096.797455899</v>
      </c>
      <c r="S19" s="43"/>
      <c r="T19" s="43">
        <v>81633945.554257199</v>
      </c>
      <c r="U19" s="40"/>
      <c r="V19" s="55">
        <v>106122.576781039</v>
      </c>
      <c r="W19" s="43"/>
      <c r="X19" s="55">
        <v>266549.31688610499</v>
      </c>
      <c r="Y19" s="40"/>
      <c r="Z19" s="40">
        <f t="shared" si="9"/>
        <v>-339488.51788261905</v>
      </c>
      <c r="AA19" s="40"/>
      <c r="AB19" s="40">
        <f t="shared" si="10"/>
        <v>-37576425.291110002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-6.6150856648424577E-3</v>
      </c>
      <c r="AI19" s="45">
        <f t="shared" si="4"/>
        <v>2030</v>
      </c>
      <c r="AJ19" s="46">
        <f>SUM(AB74:AB77)/AVERAGE(AF74:AF77)</f>
        <v>-3.08446953143733E-2</v>
      </c>
      <c r="AK19" s="40">
        <v>16802344</v>
      </c>
      <c r="AL19" s="46">
        <f>AK19/AVERAGE(AF74:AF77)</f>
        <v>2.7822317539047819E-3</v>
      </c>
      <c r="AM19" s="46">
        <f>(AF77-AF73)/AF73</f>
        <v>-5.804942327113434E-3</v>
      </c>
      <c r="AN19" s="46"/>
      <c r="AO19" s="40">
        <f t="shared" si="5"/>
        <v>609297204.09329665</v>
      </c>
      <c r="AP19" s="40">
        <f t="shared" si="8"/>
        <v>310219037.27533513</v>
      </c>
      <c r="AQ19" s="47">
        <f>AO19/AF77</f>
        <v>0.1010393317646173</v>
      </c>
      <c r="AR19" s="47">
        <f>AP19/AF77</f>
        <v>5.1443407283653431E-2</v>
      </c>
      <c r="AT19" s="39">
        <v>11171229</v>
      </c>
      <c r="AV19" s="39">
        <f t="shared" si="13"/>
        <v>7.1768557648806408E-3</v>
      </c>
      <c r="AW19" s="56">
        <v>6356.2046503346</v>
      </c>
      <c r="AX19" s="44">
        <f t="shared" si="14"/>
        <v>-2.9118075028855998E-2</v>
      </c>
      <c r="BB19" s="44">
        <f t="shared" si="6"/>
        <v>1.3120922980539681E-2</v>
      </c>
      <c r="BC19" s="39">
        <f t="shared" si="7"/>
        <v>2030</v>
      </c>
      <c r="BD19" s="44">
        <f>SUM(T74:T77)/AVERAGE(AF74:AF77)</f>
        <v>5.4092419011453785E-2</v>
      </c>
      <c r="BE19" s="44">
        <f>SUM(P74:P77)/AVERAGE(AF74:AF77)</f>
        <v>1.1168485351072423E-2</v>
      </c>
      <c r="BF19" s="44">
        <f>SUM(D74:D77)/AVERAGE(AF74:AF77)</f>
        <v>7.3768628974754655E-2</v>
      </c>
      <c r="BG19" s="44">
        <f>(SUM(H74:H77)+SUM(J74:J77))/AVERAGE(AF74:AF77)</f>
        <v>1.2856191761100744E-2</v>
      </c>
      <c r="BH19" s="46">
        <f t="shared" si="2"/>
        <v>-4.3700887075474044E-2</v>
      </c>
    </row>
    <row r="20" spans="1:60" s="39" customFormat="1">
      <c r="A20" s="39">
        <f t="shared" si="15"/>
        <v>2016</v>
      </c>
      <c r="B20" s="39">
        <f t="shared" si="16"/>
        <v>3</v>
      </c>
      <c r="C20" s="40"/>
      <c r="D20" s="43">
        <v>97904122.827609494</v>
      </c>
      <c r="E20" s="40"/>
      <c r="F20" s="43">
        <v>17795233.237049598</v>
      </c>
      <c r="G20" s="54">
        <v>0</v>
      </c>
      <c r="H20" s="54">
        <v>0</v>
      </c>
      <c r="I20" s="54">
        <v>0</v>
      </c>
      <c r="J20" s="54">
        <v>0</v>
      </c>
      <c r="K20" s="40"/>
      <c r="L20" s="55">
        <v>1926072.42011175</v>
      </c>
      <c r="M20" s="43"/>
      <c r="N20" s="55">
        <v>731080.45248197403</v>
      </c>
      <c r="O20" s="40"/>
      <c r="P20" s="55">
        <v>14016587.8900728</v>
      </c>
      <c r="Q20" s="43"/>
      <c r="R20" s="55">
        <v>18954291.2400463</v>
      </c>
      <c r="S20" s="43"/>
      <c r="T20" s="43">
        <v>72473375.356961295</v>
      </c>
      <c r="U20" s="40"/>
      <c r="V20" s="55">
        <v>115976.965700388</v>
      </c>
      <c r="W20" s="43"/>
      <c r="X20" s="55">
        <v>291300.700752348</v>
      </c>
      <c r="Y20" s="40"/>
      <c r="Z20" s="40">
        <f t="shared" si="9"/>
        <v>-1382117.9038966335</v>
      </c>
      <c r="AA20" s="40"/>
      <c r="AB20" s="40">
        <f t="shared" si="10"/>
        <v>-39447335.360721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-7.2780163535070179E-3</v>
      </c>
      <c r="AI20" s="45">
        <f t="shared" si="4"/>
        <v>2031</v>
      </c>
      <c r="AJ20" s="46">
        <f>SUM(AB78:AB81)/AVERAGE(AF78:AF81)</f>
        <v>-3.1382104634042216E-2</v>
      </c>
      <c r="AK20" s="40">
        <v>15451944</v>
      </c>
      <c r="AL20" s="46">
        <f>AK20/AVERAGE(AF78:AF81)</f>
        <v>2.5601730078501665E-3</v>
      </c>
      <c r="AM20" s="46">
        <f>(AF81-AF77)/AF77</f>
        <v>-2.0213711817474696E-3</v>
      </c>
      <c r="AN20" s="46"/>
      <c r="AO20" s="40">
        <f t="shared" si="5"/>
        <v>608065588.28382313</v>
      </c>
      <c r="AP20" s="40">
        <f t="shared" si="8"/>
        <v>294154346.31914198</v>
      </c>
      <c r="AQ20" s="47">
        <f>AO20/AF81</f>
        <v>0.1010393317646173</v>
      </c>
      <c r="AR20" s="47">
        <f>AP20/AF81</f>
        <v>4.8878211759405057E-2</v>
      </c>
      <c r="AT20" s="39">
        <v>11262070</v>
      </c>
      <c r="AV20" s="39">
        <f t="shared" si="13"/>
        <v>8.1316925827946054E-3</v>
      </c>
      <c r="AW20" s="56">
        <v>6421.7509021330998</v>
      </c>
      <c r="AX20" s="44">
        <f t="shared" si="14"/>
        <v>1.0312168252016441E-2</v>
      </c>
      <c r="BB20" s="44">
        <f t="shared" si="6"/>
        <v>1.4960471692646502E-2</v>
      </c>
      <c r="BC20" s="39">
        <f t="shared" si="7"/>
        <v>2031</v>
      </c>
      <c r="BD20" s="44">
        <f>SUM(T78:T81)/AVERAGE(AF78:AF81)</f>
        <v>5.3926628985450462E-2</v>
      </c>
      <c r="BE20" s="44">
        <f>SUM(P78:P81)/AVERAGE(AF78:AF81)</f>
        <v>1.1135704644662939E-2</v>
      </c>
      <c r="BF20" s="44">
        <f>SUM(D78:D81)/AVERAGE(AF78:AF81)</f>
        <v>7.4173028974829747E-2</v>
      </c>
      <c r="BG20" s="44">
        <f>(SUM(H78:H81)+SUM(J78:J81))/AVERAGE(AF78:AF81)</f>
        <v>1.4309384340909236E-2</v>
      </c>
      <c r="BH20" s="46">
        <f t="shared" si="2"/>
        <v>-4.5691488974951455E-2</v>
      </c>
    </row>
    <row r="21" spans="1:60">
      <c r="A21" s="39">
        <f t="shared" si="15"/>
        <v>2016</v>
      </c>
      <c r="B21" s="39">
        <f t="shared" si="16"/>
        <v>4</v>
      </c>
      <c r="C21" s="40"/>
      <c r="D21" s="43">
        <v>106656433.064731</v>
      </c>
      <c r="E21" s="40"/>
      <c r="F21" s="43">
        <v>19386069.225712199</v>
      </c>
      <c r="G21" s="57">
        <v>22714</v>
      </c>
      <c r="H21" s="57">
        <v>124965.72628654201</v>
      </c>
      <c r="I21" s="58">
        <v>702</v>
      </c>
      <c r="J21" s="57">
        <v>3862.1968765145998</v>
      </c>
      <c r="K21" s="40"/>
      <c r="L21" s="55">
        <v>3303720.5617130701</v>
      </c>
      <c r="M21" s="43"/>
      <c r="N21" s="55">
        <v>798561.77464650595</v>
      </c>
      <c r="O21" s="40"/>
      <c r="P21" s="55">
        <v>21536472.970246099</v>
      </c>
      <c r="Q21" s="43"/>
      <c r="R21" s="55">
        <v>22010676.469193202</v>
      </c>
      <c r="S21" s="43"/>
      <c r="T21" s="43">
        <v>84159729.182707801</v>
      </c>
      <c r="U21" s="40"/>
      <c r="V21" s="55">
        <v>116561.02930682201</v>
      </c>
      <c r="W21" s="43"/>
      <c r="X21" s="55">
        <v>292767.70014149998</v>
      </c>
      <c r="Y21" s="40"/>
      <c r="Z21" s="40">
        <f t="shared" si="9"/>
        <v>-1361114.0635717511</v>
      </c>
      <c r="AA21" s="40"/>
      <c r="AB21" s="40">
        <f t="shared" si="10"/>
        <v>-44033176.852269299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-8.0762389584248112E-3</v>
      </c>
      <c r="AI21" s="45">
        <f t="shared" si="4"/>
        <v>2032</v>
      </c>
      <c r="AJ21" s="46">
        <f>SUM(AB82:AB85)/AVERAGE(AF82:AF85)</f>
        <v>-3.2449919883929486E-2</v>
      </c>
      <c r="AK21" s="40">
        <v>14150159</v>
      </c>
      <c r="AL21" s="46">
        <f>AK21/AVERAGE(AF82:AF85)</f>
        <v>2.348611007941591E-3</v>
      </c>
      <c r="AM21" s="46">
        <f>(AF85-AF81)/AF81</f>
        <v>-2.0821528017175182E-3</v>
      </c>
      <c r="AN21" s="46"/>
      <c r="AO21" s="40">
        <f t="shared" si="5"/>
        <v>606799502.81554997</v>
      </c>
      <c r="AP21" s="40">
        <f t="shared" si="8"/>
        <v>279405221.88499641</v>
      </c>
      <c r="AQ21" s="47">
        <f>AO21/AF85</f>
        <v>0.1010393317646173</v>
      </c>
      <c r="AR21" s="47">
        <f>AP21/AF85</f>
        <v>4.6524291433683113E-2</v>
      </c>
      <c r="AT21" s="39">
        <v>11267048</v>
      </c>
      <c r="AV21" s="39">
        <f t="shared" si="13"/>
        <v>4.4201465627544492E-4</v>
      </c>
      <c r="AW21" s="56">
        <v>6485.7556979743003</v>
      </c>
      <c r="AX21" s="44">
        <f t="shared" si="14"/>
        <v>9.966876139642887E-3</v>
      </c>
      <c r="BB21" s="44">
        <f t="shared" si="6"/>
        <v>1.3137624024011746E-2</v>
      </c>
      <c r="BC21" s="39">
        <f t="shared" si="7"/>
        <v>2032</v>
      </c>
      <c r="BD21" s="44">
        <f>SUM(T82:T85)/AVERAGE(AF82:AF85)</f>
        <v>5.3527976458738226E-2</v>
      </c>
      <c r="BE21" s="44">
        <f>SUM(P82:P85)/AVERAGE(AF82:AF85)</f>
        <v>1.1278604385206613E-2</v>
      </c>
      <c r="BF21" s="44">
        <f>SUM(D82:D85)/AVERAGE(AF82:AF85)</f>
        <v>7.4699291957461098E-2</v>
      </c>
      <c r="BG21" s="44">
        <f>(SUM(H82:H85)+SUM(J82:J85))/AVERAGE(AF82:AF85)</f>
        <v>1.6028448767804519E-2</v>
      </c>
      <c r="BH21" s="46">
        <f t="shared" si="2"/>
        <v>-4.8478368651734008E-2</v>
      </c>
    </row>
    <row r="22" spans="1:60" s="29" customFormat="1">
      <c r="A22" s="29">
        <f t="shared" si="15"/>
        <v>2017</v>
      </c>
      <c r="B22" s="29">
        <f t="shared" si="16"/>
        <v>1</v>
      </c>
      <c r="C22" s="30"/>
      <c r="D22" s="33">
        <v>101471183.210428</v>
      </c>
      <c r="E22" s="30"/>
      <c r="F22" s="33">
        <v>18443588.685723301</v>
      </c>
      <c r="G22" s="59">
        <v>68797</v>
      </c>
      <c r="H22" s="59">
        <v>378500.79560338298</v>
      </c>
      <c r="I22" s="59">
        <v>2128</v>
      </c>
      <c r="J22" s="59">
        <v>11707.6281384944</v>
      </c>
      <c r="K22" s="30"/>
      <c r="L22" s="52">
        <v>3660222.6711521298</v>
      </c>
      <c r="M22" s="33"/>
      <c r="N22" s="52">
        <v>761614.89932379103</v>
      </c>
      <c r="O22" s="30"/>
      <c r="P22" s="52">
        <v>23183093.3039301</v>
      </c>
      <c r="Q22" s="33"/>
      <c r="R22" s="52">
        <v>19236463.486876301</v>
      </c>
      <c r="S22" s="33"/>
      <c r="T22" s="33">
        <v>73552285.3990639</v>
      </c>
      <c r="U22" s="30"/>
      <c r="V22" s="52">
        <v>87135.567113885394</v>
      </c>
      <c r="W22" s="33"/>
      <c r="X22" s="52">
        <v>218859.42270899701</v>
      </c>
      <c r="Y22" s="30"/>
      <c r="Z22" s="30">
        <f t="shared" si="9"/>
        <v>-3541827.2022090368</v>
      </c>
      <c r="AA22" s="30"/>
      <c r="AB22" s="30">
        <f t="shared" si="10"/>
        <v>-51101991.115294203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-9.6036712543315084E-3</v>
      </c>
      <c r="AI22" s="35">
        <f t="shared" si="4"/>
        <v>2033</v>
      </c>
      <c r="AJ22" s="36">
        <f>SUM(AB86:AB89)/AVERAGE(AF86:AF89)</f>
        <v>-3.3105021318805751E-2</v>
      </c>
      <c r="AK22" s="30">
        <v>12897734</v>
      </c>
      <c r="AL22" s="36">
        <f>AK22/AVERAGE(AF86:AF89)</f>
        <v>2.1551068218063E-3</v>
      </c>
      <c r="AM22" s="36">
        <f>(AF89-AF85)/AF85</f>
        <v>-5.9913063061919521E-3</v>
      </c>
      <c r="AN22" s="36"/>
      <c r="AO22" s="30">
        <f t="shared" si="5"/>
        <v>603163981.12773705</v>
      </c>
      <c r="AP22" s="30">
        <f t="shared" si="8"/>
        <v>264868941.42163813</v>
      </c>
      <c r="AQ22" s="37">
        <f>AO22/AF89</f>
        <v>0.1010393317646173</v>
      </c>
      <c r="AR22" s="37">
        <f>AP22/AF89</f>
        <v>4.4369660131904048E-2</v>
      </c>
      <c r="AT22" s="29">
        <v>11116578</v>
      </c>
      <c r="AV22" s="29">
        <f t="shared" si="13"/>
        <v>-1.3354873432686184E-2</v>
      </c>
      <c r="AW22" s="53">
        <v>6584.0500436289003</v>
      </c>
      <c r="AX22" s="34">
        <f t="shared" si="14"/>
        <v>1.5155419080200676E-2</v>
      </c>
      <c r="BB22" s="34">
        <f t="shared" si="6"/>
        <v>1.4973947016033252E-2</v>
      </c>
      <c r="BC22" s="29">
        <f t="shared" si="7"/>
        <v>2033</v>
      </c>
      <c r="BD22" s="34">
        <f>SUM(T86:T89)/AVERAGE(AF86:AF89)</f>
        <v>5.3614369342475508E-2</v>
      </c>
      <c r="BE22" s="34">
        <f>SUM(P86:P89)/AVERAGE(AF86:AF89)</f>
        <v>1.1194172139503774E-2</v>
      </c>
      <c r="BF22" s="34">
        <f>SUM(D86:D89)/AVERAGE(AF86:AF89)</f>
        <v>7.5525218521777501E-2</v>
      </c>
      <c r="BG22" s="34">
        <f>(SUM(H86:H89)+SUM(J86:J89))/AVERAGE(AF86:AF89)</f>
        <v>1.766876893189416E-2</v>
      </c>
      <c r="BH22" s="36">
        <f t="shared" si="2"/>
        <v>-5.0773790250699911E-2</v>
      </c>
    </row>
    <row r="23" spans="1:60" s="39" customFormat="1">
      <c r="A23" s="39">
        <f t="shared" si="15"/>
        <v>2017</v>
      </c>
      <c r="B23" s="39">
        <f t="shared" si="16"/>
        <v>2</v>
      </c>
      <c r="C23" s="40"/>
      <c r="D23" s="43">
        <v>108007485.523725</v>
      </c>
      <c r="E23" s="40"/>
      <c r="F23" s="43">
        <v>19631639.0028462</v>
      </c>
      <c r="G23" s="57">
        <v>101425</v>
      </c>
      <c r="H23" s="57">
        <v>558010.42478702799</v>
      </c>
      <c r="I23" s="57">
        <v>3137</v>
      </c>
      <c r="J23" s="57">
        <v>17258.8484353651</v>
      </c>
      <c r="K23" s="40"/>
      <c r="L23" s="55">
        <v>3372117.0810181801</v>
      </c>
      <c r="M23" s="43"/>
      <c r="N23" s="55">
        <v>813786.919793598</v>
      </c>
      <c r="O23" s="40"/>
      <c r="P23" s="55">
        <v>21975147.090518899</v>
      </c>
      <c r="Q23" s="43"/>
      <c r="R23" s="55">
        <v>21831989.668235499</v>
      </c>
      <c r="S23" s="43"/>
      <c r="T23" s="43">
        <v>83476504.712157398</v>
      </c>
      <c r="U23" s="40"/>
      <c r="V23" s="55">
        <v>95910.331959445393</v>
      </c>
      <c r="W23" s="43"/>
      <c r="X23" s="55">
        <v>240899.10216613999</v>
      </c>
      <c r="Y23" s="40"/>
      <c r="Z23" s="40">
        <f t="shared" si="9"/>
        <v>-1889643.0034630336</v>
      </c>
      <c r="AA23" s="40"/>
      <c r="AB23" s="40">
        <f t="shared" si="10"/>
        <v>-46506127.902086504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-8.0525657428867168E-3</v>
      </c>
      <c r="AI23" s="45">
        <f t="shared" si="4"/>
        <v>2034</v>
      </c>
      <c r="AJ23" s="46">
        <f>SUM(AB90:AB93)/AVERAGE(AF90:AF93)</f>
        <v>-3.3644082531779716E-2</v>
      </c>
      <c r="AK23" s="40">
        <v>11734173</v>
      </c>
      <c r="AL23" s="46">
        <f>AK23/AVERAGE(AF90:AF93)</f>
        <v>1.9713893318272406E-3</v>
      </c>
      <c r="AM23" s="46">
        <f>(AF93-AF89)/AF89</f>
        <v>-7.2744943424102966E-3</v>
      </c>
      <c r="AN23" s="46"/>
      <c r="AO23" s="40">
        <f t="shared" si="5"/>
        <v>598776268.15947759</v>
      </c>
      <c r="AP23" s="40">
        <f t="shared" si="8"/>
        <v>251247155.79380751</v>
      </c>
      <c r="AQ23" s="47">
        <f>AO23/AF93</f>
        <v>0.10103933176461728</v>
      </c>
      <c r="AR23" s="47">
        <f>AP23/AF93</f>
        <v>4.2396210536530081E-2</v>
      </c>
      <c r="AT23" s="39">
        <v>11136575</v>
      </c>
      <c r="AV23" s="39">
        <f t="shared" si="13"/>
        <v>1.7988449323164018E-3</v>
      </c>
      <c r="AW23" s="56">
        <v>6551.3566988074999</v>
      </c>
      <c r="AX23" s="44">
        <f t="shared" si="14"/>
        <v>-4.9655371093414334E-3</v>
      </c>
      <c r="BB23" s="44">
        <f t="shared" si="6"/>
        <v>1.3169053220677466E-2</v>
      </c>
      <c r="BC23" s="39">
        <f t="shared" si="7"/>
        <v>2034</v>
      </c>
      <c r="BD23" s="44">
        <f>SUM(T90:T93)/AVERAGE(AF90:AF93)</f>
        <v>5.3150569577444753E-2</v>
      </c>
      <c r="BE23" s="44">
        <f>SUM(P90:P93)/AVERAGE(AF90:AF93)</f>
        <v>1.1089228024587228E-2</v>
      </c>
      <c r="BF23" s="44">
        <f>SUM(D90:D93)/AVERAGE(AF90:AF93)</f>
        <v>7.5705424084637249E-2</v>
      </c>
      <c r="BG23" s="44">
        <f>(SUM(H90:H93)+SUM(J90:J93))/AVERAGE(AF90:AF93)</f>
        <v>1.9176496860592238E-2</v>
      </c>
      <c r="BH23" s="46">
        <f t="shared" si="2"/>
        <v>-5.2820579392371954E-2</v>
      </c>
    </row>
    <row r="24" spans="1:60" s="39" customFormat="1">
      <c r="A24" s="39">
        <f t="shared" si="15"/>
        <v>2017</v>
      </c>
      <c r="B24" s="39">
        <f t="shared" si="16"/>
        <v>3</v>
      </c>
      <c r="C24" s="40"/>
      <c r="D24" s="43">
        <v>103134839.36607701</v>
      </c>
      <c r="E24" s="40"/>
      <c r="F24" s="43">
        <v>18745977.8850848</v>
      </c>
      <c r="G24" s="57">
        <v>122031</v>
      </c>
      <c r="H24" s="57">
        <v>671378.55703412101</v>
      </c>
      <c r="I24" s="57">
        <v>3774</v>
      </c>
      <c r="J24" s="57">
        <v>20763.434489980202</v>
      </c>
      <c r="K24" s="40"/>
      <c r="L24" s="55">
        <v>2993524.0450095101</v>
      </c>
      <c r="M24" s="43"/>
      <c r="N24" s="55">
        <v>777925.37423239998</v>
      </c>
      <c r="O24" s="40"/>
      <c r="P24" s="55">
        <v>19813326.384103201</v>
      </c>
      <c r="Q24" s="43"/>
      <c r="R24" s="55">
        <v>19582424.0254253</v>
      </c>
      <c r="S24" s="43"/>
      <c r="T24" s="43">
        <v>74875095.503194004</v>
      </c>
      <c r="U24" s="40"/>
      <c r="V24" s="55">
        <v>104659.772014402</v>
      </c>
      <c r="W24" s="43"/>
      <c r="X24" s="55">
        <v>262875.17305062898</v>
      </c>
      <c r="Y24" s="40"/>
      <c r="Z24" s="40">
        <f t="shared" si="9"/>
        <v>-2830343.5068870094</v>
      </c>
      <c r="AA24" s="40"/>
      <c r="AB24" s="40">
        <f t="shared" si="10"/>
        <v>-48073070.246986203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-8.4174914314766956E-3</v>
      </c>
      <c r="AI24" s="45">
        <f t="shared" si="4"/>
        <v>2035</v>
      </c>
      <c r="AJ24" s="46">
        <f>SUM(AB94:AB97)/AVERAGE(AF94:AF97)</f>
        <v>-3.4168627355909309E-2</v>
      </c>
      <c r="AK24" s="40">
        <v>10619434</v>
      </c>
      <c r="AL24" s="46">
        <f>AK24/AVERAGE(AF94:AF97)</f>
        <v>1.7920854809022112E-3</v>
      </c>
      <c r="AM24" s="46">
        <f>(AF97-AF93)/AF93</f>
        <v>5.32869836400371E-4</v>
      </c>
      <c r="AN24" s="46"/>
      <c r="AO24" s="40">
        <f t="shared" si="5"/>
        <v>599095337.97153223</v>
      </c>
      <c r="AP24" s="40">
        <f t="shared" si="8"/>
        <v>240759010.46838939</v>
      </c>
      <c r="AQ24" s="47">
        <f>AO24/AF97</f>
        <v>0.1010393317646173</v>
      </c>
      <c r="AR24" s="47">
        <f>AP24/AF97</f>
        <v>4.0604771882221675E-2</v>
      </c>
      <c r="AT24" s="39">
        <v>11137097</v>
      </c>
      <c r="AV24" s="39">
        <f t="shared" si="13"/>
        <v>4.6872579765322821E-5</v>
      </c>
      <c r="AW24" s="56">
        <v>6734.1800242166</v>
      </c>
      <c r="AX24" s="44">
        <f t="shared" si="14"/>
        <v>2.7906177882571746E-2</v>
      </c>
      <c r="BB24" s="44">
        <f t="shared" si="6"/>
        <v>1.5020200751564442E-2</v>
      </c>
      <c r="BC24" s="39">
        <f t="shared" si="7"/>
        <v>2035</v>
      </c>
      <c r="BD24" s="44">
        <f>SUM(T94:T97)/AVERAGE(AF94:AF97)</f>
        <v>5.3034994372244959E-2</v>
      </c>
      <c r="BE24" s="44">
        <f>SUM(P94:P97)/AVERAGE(AF94:AF97)</f>
        <v>1.1118846141618373E-2</v>
      </c>
      <c r="BF24" s="44">
        <f>SUM(D94:D97)/AVERAGE(AF94:AF97)</f>
        <v>7.608477558653591E-2</v>
      </c>
      <c r="BG24" s="44">
        <f>(SUM(H94:H97)+SUM(J94:J97))/AVERAGE(AF94:AF97)</f>
        <v>2.0708702227406315E-2</v>
      </c>
      <c r="BH24" s="46">
        <f t="shared" si="2"/>
        <v>-5.487732958331562E-2</v>
      </c>
    </row>
    <row r="25" spans="1:60">
      <c r="A25" s="39">
        <f t="shared" si="15"/>
        <v>2017</v>
      </c>
      <c r="B25" s="39">
        <f t="shared" si="16"/>
        <v>4</v>
      </c>
      <c r="C25" s="40"/>
      <c r="D25" s="43">
        <v>111712934.36590201</v>
      </c>
      <c r="E25" s="40"/>
      <c r="F25" s="43">
        <v>20305148.192143701</v>
      </c>
      <c r="G25" s="57">
        <v>168974</v>
      </c>
      <c r="H25" s="57">
        <v>929645.09260993998</v>
      </c>
      <c r="I25" s="57">
        <v>5226</v>
      </c>
      <c r="J25" s="57">
        <v>28751.910080719801</v>
      </c>
      <c r="K25" s="40"/>
      <c r="L25" s="55">
        <v>3407298.6874624598</v>
      </c>
      <c r="M25" s="43"/>
      <c r="N25" s="55">
        <v>844752.11853869294</v>
      </c>
      <c r="O25" s="40"/>
      <c r="P25" s="55">
        <v>22328066.000889398</v>
      </c>
      <c r="Q25" s="43"/>
      <c r="R25" s="55">
        <v>22462383.100120299</v>
      </c>
      <c r="S25" s="43"/>
      <c r="T25" s="43">
        <v>85886868.636239499</v>
      </c>
      <c r="U25" s="40"/>
      <c r="V25" s="55">
        <v>107767.707848416</v>
      </c>
      <c r="W25" s="43"/>
      <c r="X25" s="55">
        <v>270681.41182290699</v>
      </c>
      <c r="Y25" s="40"/>
      <c r="Z25" s="40">
        <f t="shared" si="9"/>
        <v>-1987048.1901761405</v>
      </c>
      <c r="AA25" s="40"/>
      <c r="AB25" s="40">
        <f t="shared" si="10"/>
        <v>-48154131.730551906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-8.3789674683725536E-3</v>
      </c>
      <c r="AI25" s="45">
        <f t="shared" si="4"/>
        <v>2036</v>
      </c>
      <c r="AJ25" s="46">
        <f>SUM(AB98:AB101)/AVERAGE(AF98:AF101)</f>
        <v>-3.4269710598780576E-2</v>
      </c>
      <c r="AK25" s="40">
        <v>9565382</v>
      </c>
      <c r="AL25" s="46">
        <f>AK25/AVERAGE(AF98:AF101)</f>
        <v>1.6128968136832668E-3</v>
      </c>
      <c r="AM25" s="46">
        <f>(AF101-AF97)/AF97</f>
        <v>-7.1682622192330639E-3</v>
      </c>
      <c r="AN25" s="46"/>
      <c r="AO25" s="40">
        <f t="shared" si="5"/>
        <v>594800865.49463224</v>
      </c>
      <c r="AP25" s="40">
        <f t="shared" si="8"/>
        <v>229499272.18860671</v>
      </c>
      <c r="AQ25" s="47">
        <f>AO25/AF101</f>
        <v>0.1010393317646173</v>
      </c>
      <c r="AR25" s="47">
        <f>AP25/AF101</f>
        <v>3.8985237661212022E-2</v>
      </c>
      <c r="AS25" s="39"/>
      <c r="AT25" s="39">
        <v>11182588</v>
      </c>
      <c r="AU25" s="39"/>
      <c r="AV25" s="39">
        <f t="shared" si="13"/>
        <v>4.0846371365895438E-3</v>
      </c>
      <c r="AW25" s="56">
        <v>6721.2591396848002</v>
      </c>
      <c r="AX25" s="44">
        <f t="shared" si="14"/>
        <v>-1.9187019778704191E-3</v>
      </c>
      <c r="AY25" s="39">
        <v>100</v>
      </c>
      <c r="AZ25">
        <v>100</v>
      </c>
      <c r="BB25" s="44">
        <f t="shared" si="6"/>
        <v>1.3161366695941562E-2</v>
      </c>
      <c r="BC25" s="39">
        <f t="shared" si="7"/>
        <v>2036</v>
      </c>
      <c r="BD25" s="44">
        <f>SUM(T98:T101)/AVERAGE(AF98:AF101)</f>
        <v>5.2785253076642377E-2</v>
      </c>
      <c r="BE25" s="44">
        <f>SUM(P98:P101)/AVERAGE(AF98:AF101)</f>
        <v>1.1103773339372408E-2</v>
      </c>
      <c r="BF25" s="44">
        <f>SUM(D98:D101)/AVERAGE(AF98:AF101)</f>
        <v>7.5951190336050536E-2</v>
      </c>
      <c r="BG25" s="44">
        <f>(SUM(H98:H101)+SUM(J98:J101))/AVERAGE(AF98:AF101)</f>
        <v>2.2513732519727714E-2</v>
      </c>
      <c r="BH25" s="46">
        <f t="shared" si="2"/>
        <v>-5.6783443118508289E-2</v>
      </c>
    </row>
    <row r="26" spans="1:60" s="29" customFormat="1">
      <c r="A26" s="29">
        <f t="shared" si="15"/>
        <v>2018</v>
      </c>
      <c r="B26" s="29">
        <f t="shared" si="16"/>
        <v>1</v>
      </c>
      <c r="C26" s="30">
        <f>D26*0.081</f>
        <v>8464673.9804976191</v>
      </c>
      <c r="D26" s="33">
        <v>104502147.907378</v>
      </c>
      <c r="E26" s="30"/>
      <c r="F26" s="33">
        <v>18994502.397605099</v>
      </c>
      <c r="G26" s="59">
        <v>183168</v>
      </c>
      <c r="H26" s="59">
        <v>1007736.29270289</v>
      </c>
      <c r="I26" s="59">
        <v>5665</v>
      </c>
      <c r="J26" s="59">
        <v>31167.1585547795</v>
      </c>
      <c r="K26" s="30"/>
      <c r="L26" s="52">
        <v>3657759.7665794101</v>
      </c>
      <c r="M26" s="33"/>
      <c r="N26" s="52">
        <v>793463.31020703504</v>
      </c>
      <c r="O26" s="30"/>
      <c r="P26" s="52">
        <v>23345533.840273399</v>
      </c>
      <c r="Q26" s="33"/>
      <c r="R26" s="52">
        <v>19516704.044538099</v>
      </c>
      <c r="S26" s="33"/>
      <c r="T26" s="33">
        <v>74623809.460209504</v>
      </c>
      <c r="U26" s="30"/>
      <c r="V26" s="52">
        <v>93461.478518864606</v>
      </c>
      <c r="W26" s="33"/>
      <c r="X26" s="52">
        <v>234748.288347439</v>
      </c>
      <c r="Y26" s="30"/>
      <c r="Z26" s="30">
        <f t="shared" si="9"/>
        <v>-3835559.9513345789</v>
      </c>
      <c r="AA26" s="30"/>
      <c r="AB26" s="30">
        <f t="shared" si="10"/>
        <v>-53223872.287441894</v>
      </c>
      <c r="AC26" s="17"/>
      <c r="AD26" s="30"/>
      <c r="AE26" s="30"/>
      <c r="AF26" s="30">
        <f>AZ26/100*AF25</f>
        <v>5687390252.2625837</v>
      </c>
      <c r="AG26" s="34">
        <f t="shared" ref="AG26:AG57" si="17">(AF26-AF25)/AF25</f>
        <v>-1.0376551480576656E-2</v>
      </c>
      <c r="AH26" s="34">
        <f t="shared" si="12"/>
        <v>-9.3582240582608389E-3</v>
      </c>
      <c r="AI26" s="35">
        <f t="shared" si="4"/>
        <v>2037</v>
      </c>
      <c r="AJ26" s="36">
        <f>SUM(AB102:AB105)/AVERAGE(AF102:AF105)</f>
        <v>-3.488027794631425E-2</v>
      </c>
      <c r="AK26" s="30">
        <v>8568343</v>
      </c>
      <c r="AL26" s="36">
        <f>AK26/AVERAGE(AF102:AF105)</f>
        <v>1.4517954013948955E-3</v>
      </c>
      <c r="AM26" s="36">
        <f>(AF105-AF101)/AF101</f>
        <v>1.1387261498274795E-3</v>
      </c>
      <c r="AN26" s="36"/>
      <c r="AO26" s="30">
        <f t="shared" si="5"/>
        <v>595478180.79411101</v>
      </c>
      <c r="AP26" s="30">
        <f t="shared" si="8"/>
        <v>221187794.97353262</v>
      </c>
      <c r="AQ26" s="37">
        <f>AO26/AF105</f>
        <v>0.10103933176461731</v>
      </c>
      <c r="AR26" s="37">
        <f>AP26/AF105</f>
        <v>3.7530622816123058E-2</v>
      </c>
      <c r="AT26" s="29">
        <v>11191499</v>
      </c>
      <c r="AV26" s="29">
        <f t="shared" si="13"/>
        <v>7.968638386749114E-4</v>
      </c>
      <c r="AW26" s="53">
        <v>6646.2195162112002</v>
      </c>
      <c r="AX26" s="34">
        <f t="shared" si="14"/>
        <v>-1.1164518718008987E-2</v>
      </c>
      <c r="AY26" s="29">
        <f t="shared" ref="AY26:AY57" si="18">AY25*((1+AX26))</f>
        <v>98.883548128199109</v>
      </c>
      <c r="AZ26" s="29">
        <f>AZ25*(1+AV26)*(1+AX26)</f>
        <v>98.962344851942333</v>
      </c>
      <c r="BB26" s="34">
        <f t="shared" si="6"/>
        <v>1.4996586172212438E-2</v>
      </c>
      <c r="BC26" s="29">
        <f t="shared" si="7"/>
        <v>2037</v>
      </c>
      <c r="BD26" s="34">
        <f>SUM(T102:T105)/AVERAGE(AF102:AF105)</f>
        <v>5.2342311164771525E-2</v>
      </c>
      <c r="BE26" s="34">
        <f>SUM(P102:P105)/AVERAGE(AF102:AF105)</f>
        <v>1.1199204002314599E-2</v>
      </c>
      <c r="BF26" s="34">
        <f>SUM(D102:D105)/AVERAGE(AF102:AF105)</f>
        <v>7.6023385108771185E-2</v>
      </c>
      <c r="BG26" s="34">
        <f>(SUM(H102:H105)+SUM(J102:J105))/AVERAGE(AF102:AF105)</f>
        <v>2.4376464666897101E-2</v>
      </c>
      <c r="BH26" s="36">
        <f t="shared" si="2"/>
        <v>-5.9256742613211351E-2</v>
      </c>
    </row>
    <row r="27" spans="1:60" s="39" customFormat="1">
      <c r="A27" s="39">
        <f t="shared" si="15"/>
        <v>2018</v>
      </c>
      <c r="B27" s="39">
        <f t="shared" si="16"/>
        <v>2</v>
      </c>
      <c r="C27" s="40">
        <f>D27*0.081</f>
        <v>8319136.4056563927</v>
      </c>
      <c r="D27" s="43">
        <v>102705387.724153</v>
      </c>
      <c r="E27" s="40"/>
      <c r="F27" s="43">
        <v>18667919.9656494</v>
      </c>
      <c r="G27" s="57">
        <v>219481</v>
      </c>
      <c r="H27" s="57">
        <v>1207519.70463576</v>
      </c>
      <c r="I27" s="57">
        <v>6788</v>
      </c>
      <c r="J27" s="57">
        <v>37345.573216212397</v>
      </c>
      <c r="K27" s="40"/>
      <c r="L27" s="55">
        <v>2726730.2086314699</v>
      </c>
      <c r="M27" s="43"/>
      <c r="N27" s="55">
        <v>781884.19253287103</v>
      </c>
      <c r="O27" s="40"/>
      <c r="P27" s="55">
        <v>18450712.149101999</v>
      </c>
      <c r="Q27" s="43"/>
      <c r="R27" s="55">
        <v>22274519.893396098</v>
      </c>
      <c r="S27" s="43"/>
      <c r="T27" s="43">
        <v>85168557.382905796</v>
      </c>
      <c r="U27" s="40"/>
      <c r="V27" s="55">
        <v>96132.090605756297</v>
      </c>
      <c r="W27" s="43"/>
      <c r="X27" s="55">
        <v>241456.09595088099</v>
      </c>
      <c r="Y27" s="40"/>
      <c r="Z27" s="40">
        <f t="shared" si="9"/>
        <v>194117.61718811467</v>
      </c>
      <c r="AA27" s="40"/>
      <c r="AB27" s="40">
        <f t="shared" si="10"/>
        <v>-35987542.490349203</v>
      </c>
      <c r="AC27" s="17"/>
      <c r="AD27" s="40"/>
      <c r="AE27" s="40"/>
      <c r="AF27" s="40">
        <f>AZ27/100*AF25</f>
        <v>5692905887.7714777</v>
      </c>
      <c r="AG27" s="44">
        <f t="shared" si="17"/>
        <v>9.6980078106996635E-4</v>
      </c>
      <c r="AH27" s="44">
        <f t="shared" si="12"/>
        <v>-6.3214715296192507E-3</v>
      </c>
      <c r="AI27" s="45">
        <f t="shared" si="4"/>
        <v>2038</v>
      </c>
      <c r="AJ27" s="46">
        <f>SUM(AB106:AB109)/AVERAGE(AF106:AF109)</f>
        <v>-3.5251872837727898E-2</v>
      </c>
      <c r="AK27" s="40">
        <v>7625832</v>
      </c>
      <c r="AL27" s="46">
        <f>AK27/AVERAGE(AF106:AF109)</f>
        <v>1.3046156404072284E-3</v>
      </c>
      <c r="AM27" s="46">
        <f>(AF109-AF105)/AF105</f>
        <v>-9.9523542419715193E-3</v>
      </c>
      <c r="AN27" s="46"/>
      <c r="AO27" s="40">
        <f t="shared" si="5"/>
        <v>589551770.99548328</v>
      </c>
      <c r="AP27" s="40">
        <f t="shared" si="8"/>
        <v>211395471.7041738</v>
      </c>
      <c r="AQ27" s="47">
        <f>AO27/AF109</f>
        <v>0.10103933176461731</v>
      </c>
      <c r="AR27" s="47">
        <f>AP27/AF109</f>
        <v>3.6229654883386697E-2</v>
      </c>
      <c r="AT27" s="39">
        <v>11272418</v>
      </c>
      <c r="AV27" s="39">
        <f t="shared" si="13"/>
        <v>7.2303987160254402E-3</v>
      </c>
      <c r="AW27" s="56">
        <v>6604.9089002573</v>
      </c>
      <c r="AX27" s="44">
        <f t="shared" si="14"/>
        <v>-6.2156562619000095E-3</v>
      </c>
      <c r="AY27" s="39">
        <f t="shared" si="18"/>
        <v>98.268921983077178</v>
      </c>
      <c r="AZ27" s="39">
        <f t="shared" ref="AZ27:AZ90" si="19">AZ26*(1+AV27)*(1+AX27)</f>
        <v>99.058318611276263</v>
      </c>
      <c r="BB27" s="44">
        <f t="shared" si="6"/>
        <v>1.3108293731675963E-2</v>
      </c>
      <c r="BC27" s="39">
        <f t="shared" si="7"/>
        <v>2038</v>
      </c>
      <c r="BD27" s="44">
        <f>SUM(T106:T109)/AVERAGE(AF106:AF109)</f>
        <v>5.2166170878415928E-2</v>
      </c>
      <c r="BE27" s="44">
        <f>SUM(P106:P109)/AVERAGE(AF106:AF109)</f>
        <v>1.119187594652195E-2</v>
      </c>
      <c r="BF27" s="44">
        <f>SUM(D106:D109)/AVERAGE(AF106:AF109)</f>
        <v>7.6226167769621878E-2</v>
      </c>
      <c r="BG27" s="44">
        <f>(SUM(H106:H109)+SUM(J106:J109))/AVERAGE(AF106:AF109)</f>
        <v>2.6683647893788843E-2</v>
      </c>
      <c r="BH27" s="46">
        <f t="shared" si="2"/>
        <v>-6.1935520731516744E-2</v>
      </c>
    </row>
    <row r="28" spans="1:60" s="39" customFormat="1">
      <c r="A28" s="39">
        <f t="shared" si="15"/>
        <v>2018</v>
      </c>
      <c r="B28" s="39">
        <f t="shared" si="16"/>
        <v>3</v>
      </c>
      <c r="C28" s="40">
        <f>D28*0.081</f>
        <v>8230340.5235281</v>
      </c>
      <c r="D28" s="43">
        <v>101609142.265779</v>
      </c>
      <c r="E28" s="40"/>
      <c r="F28" s="43">
        <v>18468664.377085801</v>
      </c>
      <c r="G28" s="57">
        <v>248434</v>
      </c>
      <c r="H28" s="57">
        <v>1366810.5681197001</v>
      </c>
      <c r="I28" s="57">
        <v>7684</v>
      </c>
      <c r="J28" s="57">
        <v>42275.100853473203</v>
      </c>
      <c r="K28" s="40"/>
      <c r="L28" s="55">
        <v>2587695.9452494802</v>
      </c>
      <c r="M28" s="43"/>
      <c r="N28" s="55">
        <v>775630.92998890602</v>
      </c>
      <c r="O28" s="40"/>
      <c r="P28" s="55">
        <v>17694859.0899655</v>
      </c>
      <c r="Q28" s="43"/>
      <c r="R28" s="55">
        <v>19840494.248834498</v>
      </c>
      <c r="S28" s="43"/>
      <c r="T28" s="43">
        <v>75861849.369784102</v>
      </c>
      <c r="U28" s="40"/>
      <c r="V28" s="55">
        <v>96443.312088815495</v>
      </c>
      <c r="W28" s="43"/>
      <c r="X28" s="55">
        <v>242237.794588683</v>
      </c>
      <c r="Y28" s="40"/>
      <c r="Z28" s="40">
        <f t="shared" si="9"/>
        <v>-1895053.6914008707</v>
      </c>
      <c r="AA28" s="40"/>
      <c r="AB28" s="40">
        <f t="shared" si="10"/>
        <v>-43442151.985960402</v>
      </c>
      <c r="AC28" s="17"/>
      <c r="AD28" s="40"/>
      <c r="AE28" s="40"/>
      <c r="AF28" s="40">
        <f>AZ28/100*AF25</f>
        <v>5774396438.1330109</v>
      </c>
      <c r="AG28" s="44">
        <f t="shared" si="17"/>
        <v>1.431440321832426E-2</v>
      </c>
      <c r="AH28" s="44">
        <f t="shared" si="12"/>
        <v>-7.5232368354685051E-3</v>
      </c>
      <c r="AI28" s="45">
        <f t="shared" si="4"/>
        <v>2039</v>
      </c>
      <c r="AJ28" s="46">
        <f>SUM(AB110:AB113)/AVERAGE(AF110:AF113)</f>
        <v>-3.5525376062948436E-2</v>
      </c>
      <c r="AK28" s="40">
        <v>6769869</v>
      </c>
      <c r="AL28" s="46">
        <f>AK28/AVERAGE(AF110:AF113)</f>
        <v>1.1625607218208652E-3</v>
      </c>
      <c r="AM28" s="46">
        <f>(AF113-AF109)/AF109</f>
        <v>-8.8258463952525941E-4</v>
      </c>
      <c r="AN28" s="46"/>
      <c r="AO28" s="40">
        <f t="shared" si="5"/>
        <v>589031441.65819776</v>
      </c>
      <c r="AP28" s="40">
        <f t="shared" si="8"/>
        <v>204441767.27817166</v>
      </c>
      <c r="AQ28" s="47">
        <f>AO28/AF113</f>
        <v>0.10103933176461731</v>
      </c>
      <c r="AR28" s="47">
        <f>AP28/AF113</f>
        <v>3.5068857262377656E-2</v>
      </c>
      <c r="AT28" s="39">
        <v>11324479</v>
      </c>
      <c r="AV28" s="39">
        <f t="shared" si="13"/>
        <v>4.6184412252987779E-3</v>
      </c>
      <c r="AW28" s="56">
        <v>6668.6554362916004</v>
      </c>
      <c r="AX28" s="44">
        <f t="shared" si="14"/>
        <v>9.6513876265298722E-3</v>
      </c>
      <c r="AY28" s="39">
        <f t="shared" si="18"/>
        <v>99.217353440777075</v>
      </c>
      <c r="AZ28" s="39">
        <f t="shared" si="19"/>
        <v>100.47627932600732</v>
      </c>
      <c r="BB28" s="44">
        <f t="shared" si="6"/>
        <v>1.4928359562727804E-2</v>
      </c>
      <c r="BC28" s="39">
        <f t="shared" si="7"/>
        <v>2039</v>
      </c>
      <c r="BD28" s="44">
        <f>SUM(T110:T113)/AVERAGE(AF110:AF113)</f>
        <v>5.1840392965776493E-2</v>
      </c>
      <c r="BE28" s="44">
        <f>SUM(P110:P113)/AVERAGE(AF110:AF113)</f>
        <v>1.1163682828517192E-2</v>
      </c>
      <c r="BF28" s="44">
        <f>SUM(D110:D113)/AVERAGE(AF110:AF113)</f>
        <v>7.6202086200207741E-2</v>
      </c>
      <c r="BG28" s="44">
        <f>(SUM(H110:H113)+SUM(J110:J113))/AVERAGE(AF110:AF113)</f>
        <v>2.8931421647359422E-2</v>
      </c>
      <c r="BH28" s="46">
        <f t="shared" si="2"/>
        <v>-6.445679771030785E-2</v>
      </c>
    </row>
    <row r="29" spans="1:60" s="39" customFormat="1">
      <c r="A29" s="39">
        <f t="shared" si="15"/>
        <v>2018</v>
      </c>
      <c r="B29" s="39">
        <f t="shared" si="16"/>
        <v>4</v>
      </c>
      <c r="C29" s="40">
        <f>D29*0.081</f>
        <v>8222947.2957019322</v>
      </c>
      <c r="D29" s="43">
        <v>101517867.84817199</v>
      </c>
      <c r="E29" s="40"/>
      <c r="F29" s="43">
        <v>18452074.171249799</v>
      </c>
      <c r="G29" s="57">
        <v>263812</v>
      </c>
      <c r="H29" s="57">
        <v>1451415.78687617</v>
      </c>
      <c r="I29" s="57">
        <v>8159</v>
      </c>
      <c r="J29" s="57">
        <v>44888.410705815702</v>
      </c>
      <c r="K29" s="40"/>
      <c r="L29" s="55">
        <v>2634583.82503878</v>
      </c>
      <c r="M29" s="43"/>
      <c r="N29" s="55">
        <v>776727.69623619295</v>
      </c>
      <c r="O29" s="40"/>
      <c r="P29" s="55">
        <v>17944194.605381999</v>
      </c>
      <c r="Q29" s="43"/>
      <c r="R29" s="55">
        <v>22608859.445646901</v>
      </c>
      <c r="S29" s="43"/>
      <c r="T29" s="43">
        <v>86446933.638714194</v>
      </c>
      <c r="U29" s="40"/>
      <c r="V29" s="55">
        <v>103925.72875736</v>
      </c>
      <c r="W29" s="43"/>
      <c r="X29" s="55">
        <v>261031.46801948201</v>
      </c>
      <c r="Y29" s="40"/>
      <c r="Z29" s="40">
        <f t="shared" si="9"/>
        <v>849399.48187948763</v>
      </c>
      <c r="AA29" s="40"/>
      <c r="AB29" s="40">
        <f t="shared" si="10"/>
        <v>-33015128.814839795</v>
      </c>
      <c r="AC29" s="17"/>
      <c r="AD29" s="40"/>
      <c r="AE29" s="40"/>
      <c r="AF29" s="40">
        <f>AZ29/100*AF25</f>
        <v>5773156105.477849</v>
      </c>
      <c r="AG29" s="44">
        <f t="shared" si="17"/>
        <v>-2.1479866657074975E-4</v>
      </c>
      <c r="AH29" s="44">
        <f t="shared" si="12"/>
        <v>-5.7187313510392431E-3</v>
      </c>
      <c r="AI29" s="45">
        <f t="shared" si="4"/>
        <v>2040</v>
      </c>
      <c r="AJ29" s="46">
        <f>SUM(AB114:AB117)/AVERAGE(AF114:AF117)</f>
        <v>-3.6452704394906742E-2</v>
      </c>
      <c r="AK29" s="40">
        <v>5968393</v>
      </c>
      <c r="AL29" s="46">
        <f>AK29/AVERAGE(AF114:AF117)</f>
        <v>1.0305312583627957E-3</v>
      </c>
      <c r="AM29" s="46">
        <f>(AF117-AF113)/AF113</f>
        <v>-1.0543081530461913E-2</v>
      </c>
      <c r="AN29" s="46"/>
      <c r="AO29" s="40">
        <f t="shared" si="5"/>
        <v>582821235.14478981</v>
      </c>
      <c r="AP29" s="40">
        <f t="shared" si="8"/>
        <v>196346823.99188694</v>
      </c>
      <c r="AQ29" s="47">
        <f>AO29/AF117</f>
        <v>0.1010393317646173</v>
      </c>
      <c r="AR29" s="47">
        <f>AP29/AF117</f>
        <v>3.4039171351257745E-2</v>
      </c>
      <c r="AT29" s="39">
        <v>11306951</v>
      </c>
      <c r="AV29" s="39">
        <f t="shared" si="13"/>
        <v>-1.5477974748330586E-3</v>
      </c>
      <c r="AW29" s="56">
        <v>6677.5585262209997</v>
      </c>
      <c r="AX29" s="44">
        <f t="shared" si="14"/>
        <v>1.3350652188367244E-3</v>
      </c>
      <c r="AY29" s="39">
        <f t="shared" si="18"/>
        <v>99.349815078460878</v>
      </c>
      <c r="AZ29" s="39">
        <f>AZ28*(1+AV29)*(1+AX29)</f>
        <v>100.45469715518608</v>
      </c>
      <c r="BB29" s="44">
        <f t="shared" si="6"/>
        <v>1.3043541867676232E-2</v>
      </c>
      <c r="BC29" s="39">
        <f t="shared" si="7"/>
        <v>2040</v>
      </c>
      <c r="BD29" s="44">
        <f>SUM(T114:T117)/AVERAGE(AF114:AF117)</f>
        <v>5.164043195283767E-2</v>
      </c>
      <c r="BE29" s="44">
        <f>SUM(P114:P117)/AVERAGE(AF114:AF117)</f>
        <v>1.1401697939640659E-2</v>
      </c>
      <c r="BF29" s="44">
        <f>SUM(D114:D117)/AVERAGE(AF114:AF117)</f>
        <v>7.669143840810376E-2</v>
      </c>
      <c r="BG29" s="44">
        <f>(SUM(H114:H117)+SUM(J114:J117))/AVERAGE(AF114:AF117)</f>
        <v>3.0961412546024494E-2</v>
      </c>
      <c r="BH29" s="46">
        <f t="shared" si="2"/>
        <v>-6.7414116940931232E-2</v>
      </c>
    </row>
    <row r="30" spans="1:60" s="29" customFormat="1">
      <c r="A30" s="29">
        <f t="shared" si="15"/>
        <v>2019</v>
      </c>
      <c r="B30" s="29">
        <f t="shared" si="16"/>
        <v>1</v>
      </c>
      <c r="C30" s="30"/>
      <c r="D30" s="33">
        <v>101829148.544634</v>
      </c>
      <c r="E30" s="30"/>
      <c r="F30" s="33">
        <v>18508653.1225315</v>
      </c>
      <c r="G30" s="59">
        <v>296529</v>
      </c>
      <c r="H30" s="59">
        <v>1631415.06780057</v>
      </c>
      <c r="I30" s="59">
        <v>9171</v>
      </c>
      <c r="J30" s="59">
        <v>50456.136117543298</v>
      </c>
      <c r="K30" s="30"/>
      <c r="L30" s="52">
        <v>3066886.8035948998</v>
      </c>
      <c r="M30" s="33"/>
      <c r="N30" s="52">
        <v>781044.31751130905</v>
      </c>
      <c r="O30" s="30"/>
      <c r="P30" s="52">
        <v>20211165.592838202</v>
      </c>
      <c r="Q30" s="33"/>
      <c r="R30" s="52">
        <v>20064111.957184099</v>
      </c>
      <c r="S30" s="33"/>
      <c r="T30" s="33">
        <v>76716871.058985904</v>
      </c>
      <c r="U30" s="30"/>
      <c r="V30" s="52">
        <v>102795.51540851399</v>
      </c>
      <c r="W30" s="33"/>
      <c r="X30" s="52">
        <v>258192.697936732</v>
      </c>
      <c r="Y30" s="30"/>
      <c r="Z30" s="30">
        <f t="shared" si="9"/>
        <v>-2189676.7710450981</v>
      </c>
      <c r="AA30" s="30"/>
      <c r="AB30" s="30">
        <f t="shared" si="10"/>
        <v>-45323443.078486294</v>
      </c>
      <c r="AC30" s="17"/>
      <c r="AD30" s="30"/>
      <c r="AE30" s="30"/>
      <c r="AF30" s="30">
        <f>AZ30/100*AF25</f>
        <v>5825541880.1503859</v>
      </c>
      <c r="AG30" s="34">
        <f t="shared" si="17"/>
        <v>9.0740270513091966E-3</v>
      </c>
      <c r="AH30" s="34">
        <f t="shared" si="12"/>
        <v>-7.7801248383294209E-3</v>
      </c>
      <c r="AK30" s="30"/>
      <c r="AP30" s="49">
        <f>(AP29-AP6)/AP6</f>
        <v>-0.66186481566867672</v>
      </c>
      <c r="AT30" s="29">
        <v>11392957</v>
      </c>
      <c r="AV30" s="29">
        <f t="shared" si="13"/>
        <v>7.6064714528257882E-3</v>
      </c>
      <c r="AW30" s="53">
        <v>6687.2842362844003</v>
      </c>
      <c r="AX30" s="34">
        <f t="shared" si="14"/>
        <v>1.4564769481555725E-3</v>
      </c>
      <c r="AY30" s="29">
        <f t="shared" si="18"/>
        <v>99.494515793926169</v>
      </c>
      <c r="AZ30" s="29">
        <f t="shared" si="19"/>
        <v>101.36622579460332</v>
      </c>
      <c r="BB30" s="34">
        <f t="shared" si="6"/>
        <v>1.4862853270999708E-2</v>
      </c>
    </row>
    <row r="31" spans="1:60" s="39" customFormat="1">
      <c r="A31" s="39">
        <f t="shared" si="15"/>
        <v>2019</v>
      </c>
      <c r="B31" s="39">
        <f t="shared" si="16"/>
        <v>2</v>
      </c>
      <c r="C31" s="40"/>
      <c r="D31" s="43">
        <v>102277655.21654999</v>
      </c>
      <c r="E31" s="40"/>
      <c r="F31" s="43">
        <v>18590174.519226599</v>
      </c>
      <c r="G31" s="57">
        <v>320781</v>
      </c>
      <c r="H31" s="57">
        <v>1764842.4163037499</v>
      </c>
      <c r="I31" s="57">
        <v>9922</v>
      </c>
      <c r="J31" s="57">
        <v>54587.916536720601</v>
      </c>
      <c r="K31" s="40"/>
      <c r="L31" s="55">
        <v>2596863.5535578402</v>
      </c>
      <c r="M31" s="43"/>
      <c r="N31" s="55">
        <v>785952.09439283202</v>
      </c>
      <c r="O31" s="40"/>
      <c r="P31" s="55">
        <v>17799213.854373202</v>
      </c>
      <c r="Q31" s="43"/>
      <c r="R31" s="55">
        <v>22883477.735555898</v>
      </c>
      <c r="S31" s="43"/>
      <c r="T31" s="43">
        <v>87496960.471815407</v>
      </c>
      <c r="U31" s="40"/>
      <c r="V31" s="55">
        <v>106784.797209796</v>
      </c>
      <c r="W31" s="43"/>
      <c r="X31" s="55">
        <v>268212.62367969297</v>
      </c>
      <c r="Y31" s="40"/>
      <c r="Z31" s="40">
        <f t="shared" si="9"/>
        <v>1017272.3655884229</v>
      </c>
      <c r="AA31" s="40"/>
      <c r="AB31" s="40">
        <f t="shared" si="10"/>
        <v>-32579908.599107787</v>
      </c>
      <c r="AC31" s="17"/>
      <c r="AD31" s="40"/>
      <c r="AE31" s="40"/>
      <c r="AF31" s="40">
        <f>AZ31/100*AF25</f>
        <v>5825285688.1890936</v>
      </c>
      <c r="AG31" s="44">
        <f t="shared" si="17"/>
        <v>-4.3977361516393951E-5</v>
      </c>
      <c r="AH31" s="44">
        <f t="shared" si="12"/>
        <v>-5.592843054060736E-3</v>
      </c>
      <c r="AT31" s="39">
        <v>11414360</v>
      </c>
      <c r="AV31" s="39">
        <f t="shared" si="13"/>
        <v>1.8786167629703159E-3</v>
      </c>
      <c r="AW31" s="56">
        <v>6674.4514108638996</v>
      </c>
      <c r="AX31" s="44">
        <f t="shared" si="14"/>
        <v>-1.918989079433976E-3</v>
      </c>
      <c r="AY31" s="39">
        <f t="shared" si="18"/>
        <v>99.303586904654054</v>
      </c>
      <c r="AZ31" s="39">
        <f t="shared" si="19"/>
        <v>101.36176797544601</v>
      </c>
      <c r="BB31" s="44">
        <f t="shared" si="6"/>
        <v>1.2985802574845509E-2</v>
      </c>
    </row>
    <row r="32" spans="1:60" s="39" customFormat="1">
      <c r="A32" s="39">
        <f t="shared" si="15"/>
        <v>2019</v>
      </c>
      <c r="B32" s="39">
        <f t="shared" si="16"/>
        <v>3</v>
      </c>
      <c r="C32" s="40">
        <f>SUM(C26:C29)</f>
        <v>33237098.205384042</v>
      </c>
      <c r="D32" s="43">
        <v>102748795.66801301</v>
      </c>
      <c r="E32" s="40"/>
      <c r="F32" s="43">
        <v>18675809.873275399</v>
      </c>
      <c r="G32" s="57">
        <v>351904</v>
      </c>
      <c r="H32" s="57">
        <v>1936071.9795341799</v>
      </c>
      <c r="I32" s="57">
        <v>10883</v>
      </c>
      <c r="J32" s="57">
        <v>59875.054995880899</v>
      </c>
      <c r="K32" s="40"/>
      <c r="L32" s="55">
        <v>2478462.71773938</v>
      </c>
      <c r="M32" s="43"/>
      <c r="N32" s="55">
        <v>791435.40224038099</v>
      </c>
      <c r="O32" s="40"/>
      <c r="P32" s="55">
        <v>17214998.896397199</v>
      </c>
      <c r="Q32" s="43"/>
      <c r="R32" s="55">
        <v>20186574.611500699</v>
      </c>
      <c r="S32" s="43"/>
      <c r="T32" s="43">
        <v>77185117.6318115</v>
      </c>
      <c r="U32" s="40"/>
      <c r="V32" s="55">
        <v>109415.569390499</v>
      </c>
      <c r="W32" s="43"/>
      <c r="X32" s="55">
        <v>274820.36492495303</v>
      </c>
      <c r="Y32" s="40"/>
      <c r="Z32" s="40">
        <f t="shared" si="9"/>
        <v>-1649717.8123639636</v>
      </c>
      <c r="AA32" s="40"/>
      <c r="AB32" s="40">
        <f t="shared" si="10"/>
        <v>-42778676.93259871</v>
      </c>
      <c r="AC32" s="17"/>
      <c r="AD32" s="40"/>
      <c r="AE32" s="40"/>
      <c r="AF32" s="40">
        <f>AZ32/100*AF25</f>
        <v>5864521475.2364807</v>
      </c>
      <c r="AG32" s="44">
        <f t="shared" si="17"/>
        <v>6.7354270927756591E-3</v>
      </c>
      <c r="AH32" s="44">
        <f t="shared" si="12"/>
        <v>-7.2944872166017102E-3</v>
      </c>
      <c r="AT32" s="39">
        <v>11425392</v>
      </c>
      <c r="AV32" s="39">
        <f t="shared" si="13"/>
        <v>9.6650184504431256E-4</v>
      </c>
      <c r="AW32" s="56">
        <v>6712.9186434715002</v>
      </c>
      <c r="AX32" s="44">
        <f t="shared" si="14"/>
        <v>5.7633549545342598E-3</v>
      </c>
      <c r="AY32" s="39">
        <f t="shared" si="18"/>
        <v>99.875908724244013</v>
      </c>
      <c r="AZ32" s="39">
        <f t="shared" si="19"/>
        <v>102.04448277363946</v>
      </c>
      <c r="BB32" s="44">
        <f t="shared" si="6"/>
        <v>1.4841002747477159E-2</v>
      </c>
    </row>
    <row r="33" spans="1:54" s="39" customFormat="1">
      <c r="A33" s="39">
        <f t="shared" si="15"/>
        <v>2019</v>
      </c>
      <c r="B33" s="39">
        <f t="shared" si="16"/>
        <v>4</v>
      </c>
      <c r="C33" s="40"/>
      <c r="D33" s="43">
        <v>102941322.01653901</v>
      </c>
      <c r="E33" s="40"/>
      <c r="F33" s="43">
        <v>18710803.8160978</v>
      </c>
      <c r="G33" s="57">
        <v>392598</v>
      </c>
      <c r="H33" s="57">
        <v>2159958.3608630798</v>
      </c>
      <c r="I33" s="57">
        <v>12142</v>
      </c>
      <c r="J33" s="57">
        <v>66801.701530826598</v>
      </c>
      <c r="K33" s="40"/>
      <c r="L33" s="55">
        <v>2549203.9134991998</v>
      </c>
      <c r="M33" s="43"/>
      <c r="N33" s="55">
        <v>793839.50521133805</v>
      </c>
      <c r="O33" s="40"/>
      <c r="P33" s="55">
        <v>17595301.9627055</v>
      </c>
      <c r="Q33" s="43"/>
      <c r="R33" s="55">
        <v>23021148.698868498</v>
      </c>
      <c r="S33" s="43"/>
      <c r="T33" s="43">
        <v>88023357.332217395</v>
      </c>
      <c r="U33" s="40"/>
      <c r="V33" s="55">
        <v>105266.48317395701</v>
      </c>
      <c r="W33" s="43"/>
      <c r="X33" s="55">
        <v>264399.05656374799</v>
      </c>
      <c r="Y33" s="40"/>
      <c r="Z33" s="40">
        <f t="shared" si="9"/>
        <v>1072567.9472341165</v>
      </c>
      <c r="AA33" s="40"/>
      <c r="AB33" s="40">
        <f t="shared" si="10"/>
        <v>-32513266.647027105</v>
      </c>
      <c r="AC33" s="17"/>
      <c r="AD33" s="40"/>
      <c r="AE33" s="40"/>
      <c r="AF33" s="40">
        <f>AZ33/100*AF25</f>
        <v>5869559666.5405188</v>
      </c>
      <c r="AG33" s="44">
        <f t="shared" si="17"/>
        <v>8.590967439222973E-4</v>
      </c>
      <c r="AH33" s="44">
        <f t="shared" si="12"/>
        <v>-5.5393025191258034E-3</v>
      </c>
      <c r="AT33" s="39">
        <v>11490725</v>
      </c>
      <c r="AV33" s="39">
        <f t="shared" si="13"/>
        <v>5.7182283111161525E-3</v>
      </c>
      <c r="AW33" s="56">
        <v>6680.4851506996001</v>
      </c>
      <c r="AX33" s="44">
        <f t="shared" si="14"/>
        <v>-4.8315039246665924E-3</v>
      </c>
      <c r="AY33" s="39">
        <f t="shared" si="18"/>
        <v>99.393357879263192</v>
      </c>
      <c r="AZ33" s="39">
        <f t="shared" si="19"/>
        <v>102.13214885652552</v>
      </c>
      <c r="BB33" s="44">
        <f t="shared" si="6"/>
        <v>1.3035965613246766E-2</v>
      </c>
    </row>
    <row r="34" spans="1:54" s="29" customFormat="1">
      <c r="A34" s="29">
        <f t="shared" si="15"/>
        <v>2020</v>
      </c>
      <c r="B34" s="29">
        <f t="shared" si="16"/>
        <v>1</v>
      </c>
      <c r="C34" s="30"/>
      <c r="D34" s="33">
        <v>105057786.060424</v>
      </c>
      <c r="E34" s="30"/>
      <c r="F34" s="33">
        <v>19095496.209134899</v>
      </c>
      <c r="G34" s="59">
        <v>427210</v>
      </c>
      <c r="H34" s="59">
        <v>2350383.3726720801</v>
      </c>
      <c r="I34" s="59">
        <v>13213</v>
      </c>
      <c r="J34" s="59">
        <v>72694.0275347399</v>
      </c>
      <c r="K34" s="30"/>
      <c r="L34" s="52">
        <v>3030979.4355936502</v>
      </c>
      <c r="M34" s="33"/>
      <c r="N34" s="52">
        <v>810811.19855373004</v>
      </c>
      <c r="O34" s="30"/>
      <c r="P34" s="52">
        <v>20188610.6864288</v>
      </c>
      <c r="Q34" s="33"/>
      <c r="R34" s="52">
        <v>20066190.065769099</v>
      </c>
      <c r="S34" s="33"/>
      <c r="T34" s="33">
        <v>76724816.887273803</v>
      </c>
      <c r="U34" s="30"/>
      <c r="V34" s="52">
        <v>110432.89419555799</v>
      </c>
      <c r="W34" s="33"/>
      <c r="X34" s="52">
        <v>277375.59153238201</v>
      </c>
      <c r="Y34" s="30"/>
      <c r="Z34" s="30">
        <f t="shared" si="9"/>
        <v>-2760663.8833176233</v>
      </c>
      <c r="AA34" s="30"/>
      <c r="AB34" s="30">
        <f t="shared" si="10"/>
        <v>-48521579.859578997</v>
      </c>
      <c r="AC34" s="17"/>
      <c r="AD34" s="30"/>
      <c r="AE34" s="30"/>
      <c r="AF34" s="30">
        <f>AZ34/100*AF25</f>
        <v>5853150566.9475212</v>
      </c>
      <c r="AG34" s="34">
        <f t="shared" si="17"/>
        <v>-2.7956270189291679E-3</v>
      </c>
      <c r="AH34" s="34">
        <f t="shared" si="12"/>
        <v>-8.2898226014512903E-3</v>
      </c>
      <c r="AT34" s="29">
        <v>11500729</v>
      </c>
      <c r="AV34" s="29">
        <f t="shared" si="13"/>
        <v>8.706152135744263E-4</v>
      </c>
      <c r="AW34" s="53">
        <v>6656.0141787069997</v>
      </c>
      <c r="AX34" s="34">
        <f t="shared" si="14"/>
        <v>-3.6630531227268355E-3</v>
      </c>
      <c r="AY34" s="29">
        <f t="shared" si="18"/>
        <v>99.029274729305243</v>
      </c>
      <c r="AZ34" s="29">
        <f t="shared" si="19"/>
        <v>101.84662546168093</v>
      </c>
      <c r="BB34" s="34">
        <f t="shared" si="6"/>
        <v>1.4883635020829396E-2</v>
      </c>
    </row>
    <row r="35" spans="1:54" s="39" customFormat="1">
      <c r="A35" s="39">
        <f t="shared" si="15"/>
        <v>2020</v>
      </c>
      <c r="B35" s="39">
        <f t="shared" si="16"/>
        <v>2</v>
      </c>
      <c r="C35" s="40"/>
      <c r="D35" s="43">
        <v>105068414.71691801</v>
      </c>
      <c r="E35" s="40"/>
      <c r="F35" s="43">
        <v>19097428.093266599</v>
      </c>
      <c r="G35" s="57">
        <v>450984</v>
      </c>
      <c r="H35" s="57">
        <v>2481180.9062080602</v>
      </c>
      <c r="I35" s="57">
        <v>13948</v>
      </c>
      <c r="J35" s="57">
        <v>76737.780674680398</v>
      </c>
      <c r="K35" s="40"/>
      <c r="L35" s="55">
        <v>2523480.8483531699</v>
      </c>
      <c r="M35" s="43"/>
      <c r="N35" s="55">
        <v>812496.90604729205</v>
      </c>
      <c r="O35" s="40"/>
      <c r="P35" s="55">
        <v>17564472.369956698</v>
      </c>
      <c r="Q35" s="43"/>
      <c r="R35" s="55">
        <v>22751210.854238801</v>
      </c>
      <c r="S35" s="43"/>
      <c r="T35" s="43">
        <v>86991226.587303802</v>
      </c>
      <c r="U35" s="40"/>
      <c r="V35" s="55">
        <v>108517.020211015</v>
      </c>
      <c r="W35" s="43"/>
      <c r="X35" s="55">
        <v>272563.46844500699</v>
      </c>
      <c r="Y35" s="40"/>
      <c r="Z35" s="40">
        <f t="shared" si="9"/>
        <v>426322.02678275481</v>
      </c>
      <c r="AA35" s="40"/>
      <c r="AB35" s="40">
        <f t="shared" si="10"/>
        <v>-35641660.499570906</v>
      </c>
      <c r="AC35" s="17"/>
      <c r="AD35" s="40"/>
      <c r="AE35" s="40"/>
      <c r="AF35" s="40">
        <f>AZ35/100*AF25</f>
        <v>5827246203.5613117</v>
      </c>
      <c r="AG35" s="44">
        <f t="shared" si="17"/>
        <v>-4.4257128002977179E-3</v>
      </c>
      <c r="AH35" s="44">
        <f t="shared" si="12"/>
        <v>-6.1163814355035427E-3</v>
      </c>
      <c r="AT35" s="39">
        <v>11534468</v>
      </c>
      <c r="AV35" s="39">
        <f t="shared" si="13"/>
        <v>2.9336401196828478E-3</v>
      </c>
      <c r="AW35" s="56">
        <v>6607.1735022932999</v>
      </c>
      <c r="AX35" s="44">
        <f t="shared" si="14"/>
        <v>-7.3378263781264438E-3</v>
      </c>
      <c r="AY35" s="39">
        <f t="shared" si="18"/>
        <v>98.302615104989826</v>
      </c>
      <c r="AZ35" s="39">
        <f t="shared" si="19"/>
        <v>101.39588154770804</v>
      </c>
      <c r="BB35" s="44">
        <f t="shared" si="6"/>
        <v>1.3010989082094287E-2</v>
      </c>
    </row>
    <row r="36" spans="1:54" s="39" customFormat="1">
      <c r="A36" s="39">
        <f t="shared" si="15"/>
        <v>2020</v>
      </c>
      <c r="B36" s="39">
        <f t="shared" si="16"/>
        <v>3</v>
      </c>
      <c r="C36" s="40"/>
      <c r="D36" s="43">
        <v>105608780.731548</v>
      </c>
      <c r="E36" s="40"/>
      <c r="F36" s="43">
        <v>19195646.012859698</v>
      </c>
      <c r="G36" s="57">
        <v>468505</v>
      </c>
      <c r="H36" s="57">
        <v>2577576.2786773099</v>
      </c>
      <c r="I36" s="57">
        <v>14490</v>
      </c>
      <c r="J36" s="57">
        <v>79719.704758827007</v>
      </c>
      <c r="K36" s="40"/>
      <c r="L36" s="55">
        <v>2468063.8737393799</v>
      </c>
      <c r="M36" s="43"/>
      <c r="N36" s="55">
        <v>818757.17756971403</v>
      </c>
      <c r="O36" s="40"/>
      <c r="P36" s="55">
        <v>17311355.592082199</v>
      </c>
      <c r="Q36" s="43"/>
      <c r="R36" s="55">
        <v>19812401.9138081</v>
      </c>
      <c r="S36" s="43"/>
      <c r="T36" s="43">
        <v>75754435.892000407</v>
      </c>
      <c r="U36" s="40"/>
      <c r="V36" s="55">
        <v>104824.11714965</v>
      </c>
      <c r="W36" s="43"/>
      <c r="X36" s="55">
        <v>263287.96064835403</v>
      </c>
      <c r="Y36" s="40"/>
      <c r="Z36" s="40">
        <f t="shared" si="9"/>
        <v>-2565241.0332110412</v>
      </c>
      <c r="AA36" s="40"/>
      <c r="AB36" s="40">
        <f t="shared" si="10"/>
        <v>-47165700.431629792</v>
      </c>
      <c r="AC36" s="17"/>
      <c r="AD36" s="40"/>
      <c r="AE36" s="40"/>
      <c r="AF36" s="40">
        <f>AZ36/100*AF25</f>
        <v>5807811763.1324329</v>
      </c>
      <c r="AG36" s="44">
        <f t="shared" si="17"/>
        <v>-3.3350985611353538E-3</v>
      </c>
      <c r="AH36" s="44">
        <f t="shared" si="12"/>
        <v>-8.121079393625363E-3</v>
      </c>
      <c r="AT36" s="39">
        <v>11511270</v>
      </c>
      <c r="AV36" s="39">
        <f t="shared" si="13"/>
        <v>-2.011189419399317E-3</v>
      </c>
      <c r="AW36" s="56">
        <v>6598.4085769675003</v>
      </c>
      <c r="AX36" s="44">
        <f t="shared" si="14"/>
        <v>-1.3265771396433522E-3</v>
      </c>
      <c r="AY36" s="39">
        <f t="shared" si="18"/>
        <v>98.172209103024386</v>
      </c>
      <c r="AZ36" s="39">
        <f t="shared" si="19"/>
        <v>101.05771628905323</v>
      </c>
      <c r="BB36" s="44">
        <f t="shared" si="6"/>
        <v>1.4823079726204983E-2</v>
      </c>
    </row>
    <row r="37" spans="1:54" s="39" customFormat="1">
      <c r="A37" s="39">
        <f t="shared" si="15"/>
        <v>2020</v>
      </c>
      <c r="B37" s="39">
        <f t="shared" si="16"/>
        <v>4</v>
      </c>
      <c r="C37" s="40"/>
      <c r="D37" s="43">
        <v>105885813.061432</v>
      </c>
      <c r="E37" s="40"/>
      <c r="F37" s="43">
        <v>19245999.918110199</v>
      </c>
      <c r="G37" s="57">
        <v>480966</v>
      </c>
      <c r="H37" s="57">
        <v>2646133.0240879199</v>
      </c>
      <c r="I37" s="57">
        <v>14875</v>
      </c>
      <c r="J37" s="57">
        <v>81837.861165462498</v>
      </c>
      <c r="K37" s="40"/>
      <c r="L37" s="55">
        <v>2486950.31892699</v>
      </c>
      <c r="M37" s="43"/>
      <c r="N37" s="55">
        <v>822725.13735356904</v>
      </c>
      <c r="O37" s="40"/>
      <c r="P37" s="55">
        <v>17431187.9899364</v>
      </c>
      <c r="Q37" s="43"/>
      <c r="R37" s="55">
        <v>22674034.004886001</v>
      </c>
      <c r="S37" s="43"/>
      <c r="T37" s="43">
        <v>86696134.214754596</v>
      </c>
      <c r="U37" s="40"/>
      <c r="V37" s="55">
        <v>107558.233414127</v>
      </c>
      <c r="W37" s="43"/>
      <c r="X37" s="55">
        <v>270155.27243712801</v>
      </c>
      <c r="Y37" s="40"/>
      <c r="Z37" s="40">
        <f t="shared" si="9"/>
        <v>225916.8639093712</v>
      </c>
      <c r="AA37" s="40"/>
      <c r="AB37" s="40">
        <f t="shared" si="10"/>
        <v>-36620866.836613804</v>
      </c>
      <c r="AC37" s="17"/>
      <c r="AD37" s="40"/>
      <c r="AE37" s="40"/>
      <c r="AF37" s="40">
        <f>AZ37/100*AF25</f>
        <v>5833074755.8354406</v>
      </c>
      <c r="AG37" s="44">
        <f t="shared" si="17"/>
        <v>4.3498298039504899E-3</v>
      </c>
      <c r="AH37" s="44">
        <f t="shared" si="12"/>
        <v>-6.278141181026025E-3</v>
      </c>
      <c r="AT37" s="39">
        <v>11526132</v>
      </c>
      <c r="AV37" s="39">
        <f t="shared" si="13"/>
        <v>1.291082565173087E-3</v>
      </c>
      <c r="AW37" s="56">
        <v>6618.5654168380997</v>
      </c>
      <c r="AX37" s="44">
        <f t="shared" si="14"/>
        <v>3.0548032355800494E-3</v>
      </c>
      <c r="AY37" s="39">
        <f t="shared" si="18"/>
        <v>98.472105885036342</v>
      </c>
      <c r="AZ37" s="39">
        <f t="shared" si="19"/>
        <v>101.49730015528654</v>
      </c>
      <c r="BB37" s="44">
        <f t="shared" si="6"/>
        <v>1.2939839234516168E-2</v>
      </c>
    </row>
    <row r="38" spans="1:54" s="29" customFormat="1">
      <c r="A38" s="29">
        <f t="shared" si="15"/>
        <v>2021</v>
      </c>
      <c r="B38" s="29">
        <f t="shared" si="16"/>
        <v>1</v>
      </c>
      <c r="C38" s="30"/>
      <c r="D38" s="33">
        <v>106167328.670678</v>
      </c>
      <c r="E38" s="30"/>
      <c r="F38" s="33">
        <v>19297168.7124542</v>
      </c>
      <c r="G38" s="59">
        <v>516449</v>
      </c>
      <c r="H38" s="59">
        <v>2841350.0209103799</v>
      </c>
      <c r="I38" s="59">
        <v>15972</v>
      </c>
      <c r="J38" s="59">
        <v>87873.231498135603</v>
      </c>
      <c r="K38" s="30"/>
      <c r="L38" s="52">
        <v>3009277.2477043401</v>
      </c>
      <c r="M38" s="33"/>
      <c r="N38" s="52">
        <v>827265.63875053497</v>
      </c>
      <c r="O38" s="30"/>
      <c r="P38" s="52">
        <v>20166525.405421399</v>
      </c>
      <c r="Q38" s="33"/>
      <c r="R38" s="52">
        <v>19911160.377507299</v>
      </c>
      <c r="S38" s="33"/>
      <c r="T38" s="33">
        <v>76132047.437518194</v>
      </c>
      <c r="U38" s="30"/>
      <c r="V38" s="52">
        <v>111164.270759208</v>
      </c>
      <c r="W38" s="33"/>
      <c r="X38" s="52">
        <v>279212.598598557</v>
      </c>
      <c r="Y38" s="30"/>
      <c r="Z38" s="30">
        <f t="shared" si="9"/>
        <v>-3111386.950642569</v>
      </c>
      <c r="AA38" s="30"/>
      <c r="AB38" s="30">
        <f t="shared" si="10"/>
        <v>-50201806.638581209</v>
      </c>
      <c r="AC38" s="17"/>
      <c r="AD38" s="30"/>
      <c r="AE38" s="30"/>
      <c r="AF38" s="30">
        <f>AZ38/100*AF25</f>
        <v>5862714067.8229456</v>
      </c>
      <c r="AG38" s="34">
        <f t="shared" si="17"/>
        <v>5.0812501516209144E-3</v>
      </c>
      <c r="AH38" s="34">
        <f t="shared" si="12"/>
        <v>-8.5628952832801381E-3</v>
      </c>
      <c r="AT38" s="29">
        <v>11604275</v>
      </c>
      <c r="AV38" s="29">
        <f t="shared" si="13"/>
        <v>6.7796377830828241E-3</v>
      </c>
      <c r="AW38" s="53">
        <v>6607.4002231650002</v>
      </c>
      <c r="AX38" s="34">
        <f t="shared" si="14"/>
        <v>-1.686950716645411E-3</v>
      </c>
      <c r="AY38" s="29">
        <f t="shared" si="18"/>
        <v>98.305988295443996</v>
      </c>
      <c r="AZ38" s="29">
        <f t="shared" si="19"/>
        <v>102.01303332708969</v>
      </c>
      <c r="BB38" s="34">
        <f t="shared" si="6"/>
        <v>1.473276427443814E-2</v>
      </c>
    </row>
    <row r="39" spans="1:54" s="39" customFormat="1">
      <c r="A39" s="39">
        <f t="shared" si="15"/>
        <v>2021</v>
      </c>
      <c r="B39" s="39">
        <f t="shared" si="16"/>
        <v>2</v>
      </c>
      <c r="C39" s="40"/>
      <c r="D39" s="43">
        <v>106531037.450293</v>
      </c>
      <c r="E39" s="40"/>
      <c r="F39" s="43">
        <v>19363277.088452</v>
      </c>
      <c r="G39" s="57">
        <v>544874</v>
      </c>
      <c r="H39" s="57">
        <v>2997735.9841795098</v>
      </c>
      <c r="I39" s="57">
        <v>16852</v>
      </c>
      <c r="J39" s="57">
        <v>92714.731856159604</v>
      </c>
      <c r="K39" s="40"/>
      <c r="L39" s="55">
        <v>2482375.0033237902</v>
      </c>
      <c r="M39" s="43"/>
      <c r="N39" s="55">
        <v>831860.66116381797</v>
      </c>
      <c r="O39" s="40"/>
      <c r="P39" s="55">
        <v>17457707.61211</v>
      </c>
      <c r="Q39" s="43"/>
      <c r="R39" s="55">
        <v>22742455.388641499</v>
      </c>
      <c r="S39" s="43"/>
      <c r="T39" s="43">
        <v>86957749.305741504</v>
      </c>
      <c r="U39" s="40"/>
      <c r="V39" s="55">
        <v>106629.84619306101</v>
      </c>
      <c r="W39" s="43"/>
      <c r="X39" s="55">
        <v>267823.431399272</v>
      </c>
      <c r="Y39" s="40"/>
      <c r="Z39" s="40">
        <f t="shared" si="9"/>
        <v>171572.48189495131</v>
      </c>
      <c r="AA39" s="40"/>
      <c r="AB39" s="40">
        <f t="shared" si="10"/>
        <v>-37030995.756661505</v>
      </c>
      <c r="AC39" s="17"/>
      <c r="AD39" s="40"/>
      <c r="AE39" s="40"/>
      <c r="AF39" s="40">
        <f>AZ39/100*AF25</f>
        <v>5859290695.200738</v>
      </c>
      <c r="AG39" s="44">
        <f t="shared" si="17"/>
        <v>-5.8392283549978303E-4</v>
      </c>
      <c r="AH39" s="44">
        <f t="shared" si="12"/>
        <v>-6.3200475421014814E-3</v>
      </c>
      <c r="AT39" s="39">
        <v>11602719</v>
      </c>
      <c r="AV39" s="39">
        <f t="shared" si="13"/>
        <v>-1.3408851479303964E-4</v>
      </c>
      <c r="AW39" s="56">
        <v>6604.4275891778998</v>
      </c>
      <c r="AX39" s="44">
        <f t="shared" si="14"/>
        <v>-4.4989464641154484E-4</v>
      </c>
      <c r="AY39" s="39">
        <f t="shared" si="18"/>
        <v>98.261760957599677</v>
      </c>
      <c r="AZ39" s="39">
        <f t="shared" si="19"/>
        <v>101.95346558741142</v>
      </c>
      <c r="BB39" s="44">
        <f t="shared" ref="BB39:BB70" si="20">T46/AF46</f>
        <v>1.2902294783628658E-2</v>
      </c>
    </row>
    <row r="40" spans="1:54" s="39" customFormat="1">
      <c r="A40" s="39">
        <f t="shared" si="15"/>
        <v>2021</v>
      </c>
      <c r="B40" s="39">
        <f t="shared" si="16"/>
        <v>3</v>
      </c>
      <c r="C40" s="40"/>
      <c r="D40" s="43">
        <v>106428309.01379301</v>
      </c>
      <c r="E40" s="40"/>
      <c r="F40" s="43">
        <v>19344604.979098499</v>
      </c>
      <c r="G40" s="57">
        <v>584924</v>
      </c>
      <c r="H40" s="57">
        <v>3218079.2675191299</v>
      </c>
      <c r="I40" s="57">
        <v>18090</v>
      </c>
      <c r="J40" s="57">
        <v>99525.842587107007</v>
      </c>
      <c r="K40" s="40"/>
      <c r="L40" s="55">
        <v>2474303.8419904402</v>
      </c>
      <c r="M40" s="43"/>
      <c r="N40" s="55">
        <v>831974.39244961005</v>
      </c>
      <c r="O40" s="40"/>
      <c r="P40" s="55">
        <v>17416452.033560801</v>
      </c>
      <c r="Q40" s="43"/>
      <c r="R40" s="55">
        <v>20014090.495055102</v>
      </c>
      <c r="S40" s="43"/>
      <c r="T40" s="43">
        <v>76525609.663090393</v>
      </c>
      <c r="U40" s="40"/>
      <c r="V40" s="55">
        <v>105761.554995642</v>
      </c>
      <c r="W40" s="43"/>
      <c r="X40" s="55">
        <v>265642.53424665501</v>
      </c>
      <c r="Y40" s="40"/>
      <c r="Z40" s="40">
        <f t="shared" si="9"/>
        <v>-2531031.1634878069</v>
      </c>
      <c r="AA40" s="40"/>
      <c r="AB40" s="40">
        <f t="shared" si="10"/>
        <v>-47319151.384263411</v>
      </c>
      <c r="AC40" s="17"/>
      <c r="AD40" s="40"/>
      <c r="AE40" s="40"/>
      <c r="AF40" s="40">
        <f>AZ40/100*AF25</f>
        <v>5870344547.8045225</v>
      </c>
      <c r="AG40" s="44">
        <f t="shared" si="17"/>
        <v>1.8865513214489623E-3</v>
      </c>
      <c r="AH40" s="44">
        <f t="shared" si="12"/>
        <v>-8.0607110875562694E-3</v>
      </c>
      <c r="AT40" s="39">
        <v>11643693</v>
      </c>
      <c r="AV40" s="39">
        <f t="shared" si="13"/>
        <v>3.5314136281331988E-3</v>
      </c>
      <c r="AW40" s="56">
        <v>6593.6024432471004</v>
      </c>
      <c r="AX40" s="44">
        <f t="shared" si="14"/>
        <v>-1.6390740582177979E-3</v>
      </c>
      <c r="AY40" s="39">
        <f t="shared" si="18"/>
        <v>98.100702654299269</v>
      </c>
      <c r="AZ40" s="39">
        <f t="shared" si="19"/>
        <v>102.14580603264163</v>
      </c>
      <c r="BB40" s="44">
        <f t="shared" si="20"/>
        <v>1.4759195653106476E-2</v>
      </c>
    </row>
    <row r="41" spans="1:54" s="39" customFormat="1">
      <c r="A41" s="39">
        <f t="shared" si="15"/>
        <v>2021</v>
      </c>
      <c r="B41" s="39">
        <f t="shared" si="16"/>
        <v>4</v>
      </c>
      <c r="C41" s="40"/>
      <c r="D41" s="43">
        <v>106789066.17889699</v>
      </c>
      <c r="E41" s="40"/>
      <c r="F41" s="43">
        <v>19410176.8642198</v>
      </c>
      <c r="G41" s="57">
        <v>626465</v>
      </c>
      <c r="H41" s="57">
        <v>3446625.5929426202</v>
      </c>
      <c r="I41" s="57">
        <v>19375</v>
      </c>
      <c r="J41" s="57">
        <v>106595.533450813</v>
      </c>
      <c r="K41" s="40"/>
      <c r="L41" s="55">
        <v>2453550.03848748</v>
      </c>
      <c r="M41" s="43"/>
      <c r="N41" s="55">
        <v>837684.50405930704</v>
      </c>
      <c r="O41" s="40"/>
      <c r="P41" s="55">
        <v>17340175.797845799</v>
      </c>
      <c r="Q41" s="43"/>
      <c r="R41" s="55">
        <v>22762650.731867999</v>
      </c>
      <c r="S41" s="43"/>
      <c r="T41" s="43">
        <v>87034967.950932905</v>
      </c>
      <c r="U41" s="40"/>
      <c r="V41" s="55">
        <v>104376.54095894699</v>
      </c>
      <c r="W41" s="43"/>
      <c r="X41" s="55">
        <v>262163.77829710301</v>
      </c>
      <c r="Y41" s="40"/>
      <c r="Z41" s="40">
        <f t="shared" si="9"/>
        <v>165615.86606036127</v>
      </c>
      <c r="AA41" s="40"/>
      <c r="AB41" s="40">
        <f t="shared" si="10"/>
        <v>-37094274.025809884</v>
      </c>
      <c r="AC41" s="17"/>
      <c r="AD41" s="40"/>
      <c r="AE41" s="40"/>
      <c r="AF41" s="40">
        <f>AZ41/100*AF25</f>
        <v>5847695662.3250256</v>
      </c>
      <c r="AG41" s="44">
        <f t="shared" si="17"/>
        <v>-3.8581867376025684E-3</v>
      </c>
      <c r="AH41" s="44">
        <f t="shared" si="12"/>
        <v>-6.3434002328126146E-3</v>
      </c>
      <c r="AT41" s="39">
        <v>11617214</v>
      </c>
      <c r="AV41" s="39">
        <f t="shared" si="13"/>
        <v>-2.2741066773230797E-3</v>
      </c>
      <c r="AW41" s="56">
        <v>6583.1338423761999</v>
      </c>
      <c r="AX41" s="44">
        <f t="shared" si="14"/>
        <v>-1.5876906381612316E-3</v>
      </c>
      <c r="AY41" s="39">
        <f t="shared" si="18"/>
        <v>97.944949087097996</v>
      </c>
      <c r="AZ41" s="39">
        <f t="shared" si="19"/>
        <v>101.75170843850476</v>
      </c>
      <c r="BB41" s="44">
        <f t="shared" si="20"/>
        <v>1.2894909836825634E-2</v>
      </c>
    </row>
    <row r="42" spans="1:54" s="29" customFormat="1">
      <c r="A42" s="29">
        <f t="shared" si="15"/>
        <v>2022</v>
      </c>
      <c r="B42" s="29">
        <f t="shared" si="16"/>
        <v>1</v>
      </c>
      <c r="C42" s="30"/>
      <c r="D42" s="33">
        <v>106448326.54471999</v>
      </c>
      <c r="E42" s="30"/>
      <c r="F42" s="33">
        <v>19348243.402296402</v>
      </c>
      <c r="G42" s="59">
        <v>664483</v>
      </c>
      <c r="H42" s="59">
        <v>3655789.41181916</v>
      </c>
      <c r="I42" s="59">
        <v>20551</v>
      </c>
      <c r="J42" s="59">
        <v>113065.538474717</v>
      </c>
      <c r="K42" s="30"/>
      <c r="L42" s="52">
        <v>2934714.0594762899</v>
      </c>
      <c r="M42" s="33"/>
      <c r="N42" s="52">
        <v>836146.23146959394</v>
      </c>
      <c r="O42" s="30"/>
      <c r="P42" s="52">
        <v>19828475.068189401</v>
      </c>
      <c r="Q42" s="33"/>
      <c r="R42" s="52">
        <v>19901353.719874401</v>
      </c>
      <c r="S42" s="33"/>
      <c r="T42" s="33">
        <v>76094550.832099006</v>
      </c>
      <c r="U42" s="30"/>
      <c r="V42" s="52">
        <v>101013.69465352601</v>
      </c>
      <c r="W42" s="33"/>
      <c r="X42" s="52">
        <v>253717.27791337899</v>
      </c>
      <c r="Y42" s="30"/>
      <c r="Z42" s="30">
        <f t="shared" si="9"/>
        <v>-3116736.2787143588</v>
      </c>
      <c r="AA42" s="30"/>
      <c r="AB42" s="30">
        <f t="shared" si="10"/>
        <v>-50182250.780810386</v>
      </c>
      <c r="AC42" s="17"/>
      <c r="AD42" s="30"/>
      <c r="AE42" s="30"/>
      <c r="AF42" s="30">
        <f>AZ42/100*AF25</f>
        <v>5848483182.3293333</v>
      </c>
      <c r="AG42" s="34">
        <f t="shared" si="17"/>
        <v>1.3467185191963827E-4</v>
      </c>
      <c r="AH42" s="34">
        <f t="shared" si="12"/>
        <v>-8.5803872929705177E-3</v>
      </c>
      <c r="AT42" s="29">
        <v>11596591</v>
      </c>
      <c r="AV42" s="29">
        <f t="shared" si="13"/>
        <v>-1.7752104764533045E-3</v>
      </c>
      <c r="AW42" s="53">
        <v>6595.7292128006002</v>
      </c>
      <c r="AX42" s="34">
        <f t="shared" si="14"/>
        <v>1.9132788009447353E-3</v>
      </c>
      <c r="AY42" s="29">
        <f t="shared" si="18"/>
        <v>98.132345081845955</v>
      </c>
      <c r="AZ42" s="29">
        <f t="shared" si="19"/>
        <v>101.76541152951617</v>
      </c>
      <c r="BB42" s="34">
        <f t="shared" si="20"/>
        <v>1.4677317958090547E-2</v>
      </c>
    </row>
    <row r="43" spans="1:54" s="39" customFormat="1">
      <c r="A43" s="39">
        <f t="shared" si="15"/>
        <v>2022</v>
      </c>
      <c r="B43" s="39">
        <f t="shared" si="16"/>
        <v>2</v>
      </c>
      <c r="C43" s="40"/>
      <c r="D43" s="43">
        <v>106459981.338081</v>
      </c>
      <c r="E43" s="40"/>
      <c r="F43" s="43">
        <v>19350361.798950199</v>
      </c>
      <c r="G43" s="57">
        <v>697106</v>
      </c>
      <c r="H43" s="57">
        <v>3835271.5324780401</v>
      </c>
      <c r="I43" s="57">
        <v>21560</v>
      </c>
      <c r="J43" s="57">
        <v>118616.75877158801</v>
      </c>
      <c r="K43" s="40"/>
      <c r="L43" s="55">
        <v>2396380.6668546102</v>
      </c>
      <c r="M43" s="43"/>
      <c r="N43" s="55">
        <v>837778.78256488196</v>
      </c>
      <c r="O43" s="40"/>
      <c r="P43" s="55">
        <v>17044042.349192102</v>
      </c>
      <c r="Q43" s="43"/>
      <c r="R43" s="55">
        <v>22636958.541751798</v>
      </c>
      <c r="S43" s="43"/>
      <c r="T43" s="43">
        <v>86554372.968067601</v>
      </c>
      <c r="U43" s="40"/>
      <c r="V43" s="55">
        <v>109109.148143194</v>
      </c>
      <c r="W43" s="43"/>
      <c r="X43" s="55">
        <v>274050.72309541999</v>
      </c>
      <c r="Y43" s="40"/>
      <c r="Z43" s="40">
        <f t="shared" si="9"/>
        <v>161546.44152530283</v>
      </c>
      <c r="AA43" s="40"/>
      <c r="AB43" s="40">
        <f t="shared" si="10"/>
        <v>-36949650.719205499</v>
      </c>
      <c r="AC43" s="17"/>
      <c r="AD43" s="40"/>
      <c r="AE43" s="40"/>
      <c r="AF43" s="40">
        <f>AZ43/100*AF25</f>
        <v>5839162614.4364891</v>
      </c>
      <c r="AG43" s="44">
        <f t="shared" si="17"/>
        <v>-1.5936726843988299E-3</v>
      </c>
      <c r="AH43" s="44">
        <f t="shared" si="12"/>
        <v>-6.3279023310384959E-3</v>
      </c>
      <c r="AT43" s="39">
        <v>11571319</v>
      </c>
      <c r="AV43" s="39">
        <f t="shared" si="13"/>
        <v>-2.1792611294129457E-3</v>
      </c>
      <c r="AW43" s="56">
        <v>6599.6000311380003</v>
      </c>
      <c r="AX43" s="44">
        <f t="shared" si="14"/>
        <v>5.8686738228850709E-4</v>
      </c>
      <c r="AY43" s="39">
        <f t="shared" si="18"/>
        <v>98.189935754321965</v>
      </c>
      <c r="AZ43" s="39">
        <f t="shared" si="19"/>
        <v>101.60323077294497</v>
      </c>
      <c r="BB43" s="44">
        <f t="shared" si="20"/>
        <v>1.2828747326924496E-2</v>
      </c>
    </row>
    <row r="44" spans="1:54" s="39" customFormat="1">
      <c r="A44" s="39">
        <f t="shared" si="15"/>
        <v>2022</v>
      </c>
      <c r="B44" s="39">
        <f t="shared" si="16"/>
        <v>3</v>
      </c>
      <c r="C44" s="40"/>
      <c r="D44" s="43">
        <v>106818093.29940499</v>
      </c>
      <c r="E44" s="40"/>
      <c r="F44" s="43">
        <v>19415452.886972699</v>
      </c>
      <c r="G44" s="57">
        <v>729985</v>
      </c>
      <c r="H44" s="57">
        <v>4016162.08960472</v>
      </c>
      <c r="I44" s="57">
        <v>22577</v>
      </c>
      <c r="J44" s="57">
        <v>124211.992708077</v>
      </c>
      <c r="K44" s="40"/>
      <c r="L44" s="55">
        <v>2328855.5522644198</v>
      </c>
      <c r="M44" s="43"/>
      <c r="N44" s="55">
        <v>843091.480243303</v>
      </c>
      <c r="O44" s="40"/>
      <c r="P44" s="55">
        <v>16722883.1037101</v>
      </c>
      <c r="Q44" s="43"/>
      <c r="R44" s="55">
        <v>19741575.383679502</v>
      </c>
      <c r="S44" s="43"/>
      <c r="T44" s="43">
        <v>75483624.515397906</v>
      </c>
      <c r="U44" s="40"/>
      <c r="V44" s="55">
        <v>110556.61979387399</v>
      </c>
      <c r="W44" s="43"/>
      <c r="X44" s="55">
        <v>277686.35456427099</v>
      </c>
      <c r="Y44" s="40"/>
      <c r="Z44" s="40">
        <f t="shared" si="9"/>
        <v>-2735267.9160070475</v>
      </c>
      <c r="AA44" s="40"/>
      <c r="AB44" s="40">
        <f t="shared" si="10"/>
        <v>-48057351.887717187</v>
      </c>
      <c r="AC44" s="17"/>
      <c r="AD44" s="40"/>
      <c r="AE44" s="40"/>
      <c r="AF44" s="40">
        <f>AZ44/100*AF25</f>
        <v>5833428309.8394537</v>
      </c>
      <c r="AG44" s="44">
        <f t="shared" si="17"/>
        <v>-9.820422851143356E-4</v>
      </c>
      <c r="AH44" s="44">
        <f t="shared" si="12"/>
        <v>-8.238269047835407E-3</v>
      </c>
      <c r="AT44" s="39">
        <v>11609761</v>
      </c>
      <c r="AV44" s="39">
        <f t="shared" si="13"/>
        <v>3.3221796063180008E-3</v>
      </c>
      <c r="AW44" s="56">
        <v>6571.2879460410004</v>
      </c>
      <c r="AX44" s="44">
        <f t="shared" si="14"/>
        <v>-4.2899698411144353E-3</v>
      </c>
      <c r="AY44" s="39">
        <f t="shared" si="18"/>
        <v>97.768703891234964</v>
      </c>
      <c r="AZ44" s="39">
        <f t="shared" si="19"/>
        <v>101.50345210402172</v>
      </c>
      <c r="BB44" s="44">
        <f t="shared" si="20"/>
        <v>1.4657338337023916E-2</v>
      </c>
    </row>
    <row r="45" spans="1:54" s="39" customFormat="1">
      <c r="A45" s="39">
        <f t="shared" si="15"/>
        <v>2022</v>
      </c>
      <c r="B45" s="39">
        <f t="shared" si="16"/>
        <v>4</v>
      </c>
      <c r="C45" s="40"/>
      <c r="D45" s="43">
        <v>107077468.00009701</v>
      </c>
      <c r="E45" s="40"/>
      <c r="F45" s="43">
        <v>19462597.309100199</v>
      </c>
      <c r="G45" s="57">
        <v>769698</v>
      </c>
      <c r="H45" s="57">
        <v>4234651.29837541</v>
      </c>
      <c r="I45" s="57">
        <v>23805</v>
      </c>
      <c r="J45" s="57">
        <v>130968.086389501</v>
      </c>
      <c r="K45" s="40"/>
      <c r="L45" s="55">
        <v>2320592.9436427802</v>
      </c>
      <c r="M45" s="43"/>
      <c r="N45" s="55">
        <v>847200.27859822998</v>
      </c>
      <c r="O45" s="40"/>
      <c r="P45" s="55">
        <v>16702613.784551</v>
      </c>
      <c r="Q45" s="43"/>
      <c r="R45" s="55">
        <v>22579567.251713902</v>
      </c>
      <c r="S45" s="43"/>
      <c r="T45" s="43">
        <v>86334932.396406993</v>
      </c>
      <c r="U45" s="40"/>
      <c r="V45" s="55">
        <v>116055.388167517</v>
      </c>
      <c r="W45" s="43"/>
      <c r="X45" s="55">
        <v>291497.67537994997</v>
      </c>
      <c r="Y45" s="40"/>
      <c r="Z45" s="40">
        <f t="shared" si="9"/>
        <v>65232.108540207148</v>
      </c>
      <c r="AA45" s="40"/>
      <c r="AB45" s="40">
        <f t="shared" si="10"/>
        <v>-37445149.388241008</v>
      </c>
      <c r="AC45" s="17"/>
      <c r="AD45" s="40"/>
      <c r="AE45" s="40"/>
      <c r="AF45" s="40">
        <f>AZ45/100*AF25</f>
        <v>5860063379.0225716</v>
      </c>
      <c r="AG45" s="44">
        <f t="shared" si="17"/>
        <v>4.5659375187986004E-3</v>
      </c>
      <c r="AH45" s="44">
        <f t="shared" si="12"/>
        <v>-6.3898881234432424E-3</v>
      </c>
      <c r="AT45" s="39">
        <v>11686047</v>
      </c>
      <c r="AV45" s="39">
        <f t="shared" si="13"/>
        <v>6.5708501665107492E-3</v>
      </c>
      <c r="AW45" s="56">
        <v>6558.1990926209</v>
      </c>
      <c r="AX45" s="44">
        <f t="shared" si="14"/>
        <v>-1.9918246662720025E-3</v>
      </c>
      <c r="AY45" s="39">
        <f t="shared" si="18"/>
        <v>97.573965775234953</v>
      </c>
      <c r="AZ45" s="39">
        <f t="shared" si="19"/>
        <v>101.96691052427106</v>
      </c>
      <c r="BB45" s="44">
        <f t="shared" si="20"/>
        <v>1.2743461240636559E-2</v>
      </c>
    </row>
    <row r="46" spans="1:54" s="29" customFormat="1">
      <c r="A46" s="29">
        <f t="shared" si="15"/>
        <v>2023</v>
      </c>
      <c r="B46" s="29">
        <f t="shared" si="16"/>
        <v>1</v>
      </c>
      <c r="C46" s="30"/>
      <c r="D46" s="33">
        <v>107408514.17319299</v>
      </c>
      <c r="E46" s="30"/>
      <c r="F46" s="33">
        <v>19522768.869728401</v>
      </c>
      <c r="G46" s="59">
        <v>794062</v>
      </c>
      <c r="H46" s="59">
        <v>4368694.8378332397</v>
      </c>
      <c r="I46" s="59">
        <v>24559</v>
      </c>
      <c r="J46" s="59">
        <v>135116.371923536</v>
      </c>
      <c r="K46" s="30"/>
      <c r="L46" s="52">
        <v>2850131.6636339501</v>
      </c>
      <c r="M46" s="33"/>
      <c r="N46" s="52">
        <v>852562.49483063805</v>
      </c>
      <c r="O46" s="30"/>
      <c r="P46" s="52">
        <v>19479894.051507398</v>
      </c>
      <c r="Q46" s="33"/>
      <c r="R46" s="52">
        <v>19799083.2601199</v>
      </c>
      <c r="S46" s="33"/>
      <c r="T46" s="33">
        <v>75703510.865273103</v>
      </c>
      <c r="U46" s="30"/>
      <c r="V46" s="52">
        <v>113302.48640435599</v>
      </c>
      <c r="W46" s="33"/>
      <c r="X46" s="52">
        <v>284583.17983449099</v>
      </c>
      <c r="Y46" s="30"/>
      <c r="Z46" s="30">
        <f t="shared" ref="Z46:Z77" si="21">R46+V46-N46-L46-F46</f>
        <v>-3313077.2816687338</v>
      </c>
      <c r="AA46" s="30"/>
      <c r="AB46" s="30">
        <f t="shared" ref="AB46:AB77" si="22">T46-P46-D46</f>
        <v>-51184897.359427288</v>
      </c>
      <c r="AC46" s="17"/>
      <c r="AD46" s="30"/>
      <c r="AE46" s="30"/>
      <c r="AF46" s="30">
        <f>AZ46/100*AF25</f>
        <v>5867445453.2949486</v>
      </c>
      <c r="AG46" s="34">
        <f t="shared" si="17"/>
        <v>1.2597260123163219E-3</v>
      </c>
      <c r="AH46" s="34">
        <f t="shared" ref="AH46:AH77" si="23">AB46/AF46</f>
        <v>-8.7235403834361458E-3</v>
      </c>
      <c r="AT46" s="29">
        <v>11671431</v>
      </c>
      <c r="AV46" s="29">
        <f t="shared" si="13"/>
        <v>-1.2507223357907083E-3</v>
      </c>
      <c r="AW46" s="53">
        <v>6574.6837304042001</v>
      </c>
      <c r="AX46" s="34">
        <f t="shared" si="14"/>
        <v>2.5135921539570379E-3</v>
      </c>
      <c r="AY46" s="29">
        <f t="shared" si="18"/>
        <v>97.819226930038056</v>
      </c>
      <c r="AZ46" s="29">
        <f t="shared" si="19"/>
        <v>102.09536089385399</v>
      </c>
      <c r="BB46" s="34">
        <f t="shared" si="20"/>
        <v>1.4555597565568542E-2</v>
      </c>
    </row>
    <row r="47" spans="1:54" s="39" customFormat="1">
      <c r="A47" s="39">
        <f t="shared" si="15"/>
        <v>2023</v>
      </c>
      <c r="B47" s="39">
        <f t="shared" si="16"/>
        <v>2</v>
      </c>
      <c r="C47" s="40"/>
      <c r="D47" s="43">
        <v>107876327.31150199</v>
      </c>
      <c r="E47" s="40"/>
      <c r="F47" s="43">
        <v>19607799.445225399</v>
      </c>
      <c r="G47" s="57">
        <v>812878</v>
      </c>
      <c r="H47" s="57">
        <v>4472214.91821572</v>
      </c>
      <c r="I47" s="57">
        <v>25141</v>
      </c>
      <c r="J47" s="57">
        <v>138318.36420577401</v>
      </c>
      <c r="K47" s="40"/>
      <c r="L47" s="55">
        <v>2377767.2664274699</v>
      </c>
      <c r="M47" s="43"/>
      <c r="N47" s="55">
        <v>857622.00760048605</v>
      </c>
      <c r="O47" s="40"/>
      <c r="P47" s="55">
        <v>17056628.895339198</v>
      </c>
      <c r="Q47" s="43"/>
      <c r="R47" s="55">
        <v>22644082.769035898</v>
      </c>
      <c r="S47" s="43"/>
      <c r="T47" s="43">
        <v>86581613.068557307</v>
      </c>
      <c r="U47" s="40"/>
      <c r="V47" s="55">
        <v>113847.83853435901</v>
      </c>
      <c r="W47" s="43"/>
      <c r="X47" s="55">
        <v>285952.94715567899</v>
      </c>
      <c r="Y47" s="40"/>
      <c r="Z47" s="40">
        <f t="shared" si="21"/>
        <v>-85258.111683096737</v>
      </c>
      <c r="AA47" s="40"/>
      <c r="AB47" s="40">
        <f t="shared" si="22"/>
        <v>-38351343.138283893</v>
      </c>
      <c r="AC47" s="17"/>
      <c r="AD47" s="40"/>
      <c r="AE47" s="40"/>
      <c r="AF47" s="40">
        <f>AZ47/100*AF25</f>
        <v>5866282628.3716784</v>
      </c>
      <c r="AG47" s="44">
        <f t="shared" si="17"/>
        <v>-1.9818248546600879E-4</v>
      </c>
      <c r="AH47" s="44">
        <f t="shared" si="23"/>
        <v>-6.537588719779973E-3</v>
      </c>
      <c r="AT47" s="39">
        <v>11683277</v>
      </c>
      <c r="AV47" s="39">
        <f t="shared" ref="AV47:AV78" si="24">(AT47-AT46)/AT46</f>
        <v>1.0149569491521649E-3</v>
      </c>
      <c r="AW47" s="56">
        <v>6566.7158093975004</v>
      </c>
      <c r="AX47" s="44">
        <f t="shared" ref="AX47:AX78" si="25">(AW47-AW46)/AW46</f>
        <v>-1.2119093987521543E-3</v>
      </c>
      <c r="AY47" s="39">
        <f t="shared" si="18"/>
        <v>97.700678889542871</v>
      </c>
      <c r="AZ47" s="39">
        <f t="shared" si="19"/>
        <v>102.07512738147751</v>
      </c>
      <c r="BB47" s="44">
        <f t="shared" si="20"/>
        <v>1.2713510829827015E-2</v>
      </c>
    </row>
    <row r="48" spans="1:54" s="39" customFormat="1">
      <c r="A48" s="39">
        <f t="shared" si="15"/>
        <v>2023</v>
      </c>
      <c r="B48" s="39">
        <f t="shared" si="16"/>
        <v>3</v>
      </c>
      <c r="C48" s="40"/>
      <c r="D48" s="43">
        <v>108209521.63527399</v>
      </c>
      <c r="E48" s="40"/>
      <c r="F48" s="43">
        <v>19668361.457667101</v>
      </c>
      <c r="G48" s="57">
        <v>839699</v>
      </c>
      <c r="H48" s="57">
        <v>4619776.1467413604</v>
      </c>
      <c r="I48" s="57">
        <v>25970</v>
      </c>
      <c r="J48" s="57">
        <v>142879.27761123099</v>
      </c>
      <c r="K48" s="40"/>
      <c r="L48" s="55">
        <v>2363819.4186187801</v>
      </c>
      <c r="M48" s="43"/>
      <c r="N48" s="55">
        <v>862238.64512638398</v>
      </c>
      <c r="O48" s="40"/>
      <c r="P48" s="55">
        <v>17009652.8242939</v>
      </c>
      <c r="Q48" s="43"/>
      <c r="R48" s="55">
        <v>19736498.728400499</v>
      </c>
      <c r="S48" s="43"/>
      <c r="T48" s="43">
        <v>75464213.483936101</v>
      </c>
      <c r="U48" s="40"/>
      <c r="V48" s="55">
        <v>112957.78449658101</v>
      </c>
      <c r="W48" s="43"/>
      <c r="X48" s="55">
        <v>283717.38802247797</v>
      </c>
      <c r="Y48" s="40"/>
      <c r="Z48" s="40">
        <f t="shared" si="21"/>
        <v>-3044963.0085151866</v>
      </c>
      <c r="AA48" s="40"/>
      <c r="AB48" s="40">
        <f t="shared" si="22"/>
        <v>-49754960.975631788</v>
      </c>
      <c r="AC48" s="17"/>
      <c r="AD48" s="40"/>
      <c r="AE48" s="40"/>
      <c r="AF48" s="40">
        <f>AZ48/100*AF25</f>
        <v>5852248246.7014503</v>
      </c>
      <c r="AG48" s="44">
        <f t="shared" si="17"/>
        <v>-2.3923807561456634E-3</v>
      </c>
      <c r="AH48" s="44">
        <f t="shared" si="23"/>
        <v>-8.5018541384801263E-3</v>
      </c>
      <c r="AT48" s="39">
        <v>11679857</v>
      </c>
      <c r="AV48" s="39">
        <f t="shared" si="24"/>
        <v>-2.9272609046246184E-4</v>
      </c>
      <c r="AW48" s="56">
        <v>6552.9239366690999</v>
      </c>
      <c r="AX48" s="44">
        <f t="shared" si="25"/>
        <v>-2.1002694693537925E-3</v>
      </c>
      <c r="AY48" s="39">
        <f t="shared" si="18"/>
        <v>97.495481136536029</v>
      </c>
      <c r="AZ48" s="39">
        <f t="shared" si="19"/>
        <v>101.83092481104894</v>
      </c>
      <c r="BB48" s="44">
        <f t="shared" si="20"/>
        <v>1.4506095803264568E-2</v>
      </c>
    </row>
    <row r="49" spans="1:54" s="39" customFormat="1">
      <c r="A49" s="39">
        <f t="shared" si="15"/>
        <v>2023</v>
      </c>
      <c r="B49" s="39">
        <f t="shared" si="16"/>
        <v>4</v>
      </c>
      <c r="C49" s="40"/>
      <c r="D49" s="43">
        <v>108437263.399635</v>
      </c>
      <c r="E49" s="40"/>
      <c r="F49" s="43">
        <v>19709756.219170298</v>
      </c>
      <c r="G49" s="57">
        <v>882762</v>
      </c>
      <c r="H49" s="57">
        <v>4856696.0671022497</v>
      </c>
      <c r="I49" s="57">
        <v>27302</v>
      </c>
      <c r="J49" s="57">
        <v>150207.548607695</v>
      </c>
      <c r="K49" s="40"/>
      <c r="L49" s="55">
        <v>2385491.84685393</v>
      </c>
      <c r="M49" s="43"/>
      <c r="N49" s="55">
        <v>866887.14726310596</v>
      </c>
      <c r="O49" s="40"/>
      <c r="P49" s="55">
        <v>17147685.844658799</v>
      </c>
      <c r="Q49" s="43"/>
      <c r="R49" s="55">
        <v>22487276.1396644</v>
      </c>
      <c r="S49" s="43"/>
      <c r="T49" s="43">
        <v>85982049.330458403</v>
      </c>
      <c r="U49" s="40"/>
      <c r="V49" s="55">
        <v>114590.580841471</v>
      </c>
      <c r="W49" s="43"/>
      <c r="X49" s="55">
        <v>287818.50169259403</v>
      </c>
      <c r="Y49" s="40"/>
      <c r="Z49" s="40">
        <f t="shared" si="21"/>
        <v>-360268.49278146401</v>
      </c>
      <c r="AA49" s="40"/>
      <c r="AB49" s="40">
        <f t="shared" si="22"/>
        <v>-39602899.913835391</v>
      </c>
      <c r="AC49" s="17"/>
      <c r="AD49" s="40"/>
      <c r="AE49" s="40"/>
      <c r="AF49" s="40">
        <f>AZ49/100*AF25</f>
        <v>5858158116.8964663</v>
      </c>
      <c r="AG49" s="44">
        <f t="shared" si="17"/>
        <v>1.0098461216758764E-3</v>
      </c>
      <c r="AH49" s="44">
        <f t="shared" si="23"/>
        <v>-6.7602989068543968E-3</v>
      </c>
      <c r="AT49" s="39">
        <v>11706019</v>
      </c>
      <c r="AV49" s="39">
        <f t="shared" si="24"/>
        <v>2.239924684009402E-3</v>
      </c>
      <c r="AW49" s="56">
        <v>6544.8813402243004</v>
      </c>
      <c r="AX49" s="44">
        <f t="shared" si="25"/>
        <v>-1.2273294368326882E-3</v>
      </c>
      <c r="AY49" s="39">
        <f t="shared" si="18"/>
        <v>97.37582206257899</v>
      </c>
      <c r="AZ49" s="39">
        <f t="shared" si="19"/>
        <v>101.93375837553604</v>
      </c>
      <c r="BB49" s="44">
        <f t="shared" si="20"/>
        <v>1.2765731209260535E-2</v>
      </c>
    </row>
    <row r="50" spans="1:54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33">
        <v>108404872.095953</v>
      </c>
      <c r="E50" s="30"/>
      <c r="F50" s="33">
        <v>19703868.716302998</v>
      </c>
      <c r="G50" s="59">
        <v>904798</v>
      </c>
      <c r="H50" s="59">
        <v>4977931.6374311401</v>
      </c>
      <c r="I50" s="59">
        <v>27984</v>
      </c>
      <c r="J50" s="59">
        <v>153959.71138516301</v>
      </c>
      <c r="K50" s="30"/>
      <c r="L50" s="52">
        <v>2937870.9505283302</v>
      </c>
      <c r="M50" s="33"/>
      <c r="N50" s="52">
        <v>868662.37989646604</v>
      </c>
      <c r="O50" s="30"/>
      <c r="P50" s="52">
        <v>20023750.445695501</v>
      </c>
      <c r="Q50" s="33"/>
      <c r="R50" s="52">
        <v>19681382.7967733</v>
      </c>
      <c r="S50" s="33"/>
      <c r="T50" s="33">
        <v>75253472.942368194</v>
      </c>
      <c r="U50" s="30"/>
      <c r="V50" s="52">
        <v>115473.859436157</v>
      </c>
      <c r="W50" s="33"/>
      <c r="X50" s="52">
        <v>290037.04286616098</v>
      </c>
      <c r="Y50" s="30"/>
      <c r="Z50" s="30">
        <f t="shared" si="21"/>
        <v>-3713545.3905183375</v>
      </c>
      <c r="AA50" s="30"/>
      <c r="AB50" s="30">
        <f t="shared" si="22"/>
        <v>-53175149.599280313</v>
      </c>
      <c r="AC50" s="17"/>
      <c r="AD50" s="30"/>
      <c r="AE50" s="30"/>
      <c r="AF50" s="30">
        <f>AZ50/100*AF25</f>
        <v>5866003205.5062008</v>
      </c>
      <c r="AG50" s="34">
        <f t="shared" si="17"/>
        <v>1.3391732440794384E-3</v>
      </c>
      <c r="AH50" s="34">
        <f t="shared" si="23"/>
        <v>-9.0649711117386979E-3</v>
      </c>
      <c r="AT50" s="29">
        <v>11770023</v>
      </c>
      <c r="AV50" s="29">
        <f t="shared" si="24"/>
        <v>5.4676145664892565E-3</v>
      </c>
      <c r="AW50" s="53">
        <v>6518.0081140917</v>
      </c>
      <c r="AX50" s="34">
        <f t="shared" si="25"/>
        <v>-4.105991344325796E-3</v>
      </c>
      <c r="AY50" s="29">
        <f t="shared" si="18"/>
        <v>96.975997780043429</v>
      </c>
      <c r="AZ50" s="29">
        <f t="shared" si="19"/>
        <v>102.07026533742102</v>
      </c>
      <c r="BB50" s="34">
        <f t="shared" si="20"/>
        <v>1.4585458406867475E-2</v>
      </c>
    </row>
    <row r="51" spans="1:54" s="39" customFormat="1">
      <c r="A51" s="39">
        <f t="shared" si="26"/>
        <v>2024</v>
      </c>
      <c r="B51" s="39">
        <f t="shared" si="27"/>
        <v>2</v>
      </c>
      <c r="C51" s="40"/>
      <c r="D51" s="43">
        <v>108404985.462955</v>
      </c>
      <c r="E51" s="40"/>
      <c r="F51" s="43">
        <v>19703889.322097398</v>
      </c>
      <c r="G51" s="57">
        <v>943350</v>
      </c>
      <c r="H51" s="57">
        <v>5190033.3667521998</v>
      </c>
      <c r="I51" s="57">
        <v>29176</v>
      </c>
      <c r="J51" s="57">
        <v>160517.743688305</v>
      </c>
      <c r="K51" s="40"/>
      <c r="L51" s="55">
        <v>2352285.3781959699</v>
      </c>
      <c r="M51" s="43"/>
      <c r="N51" s="55">
        <v>870110.44608042797</v>
      </c>
      <c r="O51" s="40"/>
      <c r="P51" s="55">
        <v>16993110.9600018</v>
      </c>
      <c r="Q51" s="43"/>
      <c r="R51" s="55">
        <v>22528535.586133599</v>
      </c>
      <c r="S51" s="43"/>
      <c r="T51" s="43">
        <v>86139808.4000597</v>
      </c>
      <c r="U51" s="40"/>
      <c r="V51" s="55">
        <v>117174.151954627</v>
      </c>
      <c r="W51" s="43"/>
      <c r="X51" s="55">
        <v>294307.68746462202</v>
      </c>
      <c r="Y51" s="40"/>
      <c r="Z51" s="40">
        <f t="shared" si="21"/>
        <v>-280575.4082855694</v>
      </c>
      <c r="AA51" s="40"/>
      <c r="AB51" s="40">
        <f t="shared" si="22"/>
        <v>-39258288.022897094</v>
      </c>
      <c r="AC51" s="17"/>
      <c r="AD51" s="40"/>
      <c r="AE51" s="40"/>
      <c r="AF51" s="40">
        <f>AZ51/100*AF25</f>
        <v>5876906599.2338867</v>
      </c>
      <c r="AG51" s="44">
        <f t="shared" si="17"/>
        <v>1.8587432269814165E-3</v>
      </c>
      <c r="AH51" s="44">
        <f t="shared" si="23"/>
        <v>-6.6800939167579766E-3</v>
      </c>
      <c r="AT51" s="39">
        <v>11772455</v>
      </c>
      <c r="AV51" s="39">
        <f t="shared" si="24"/>
        <v>2.0662661406863861E-4</v>
      </c>
      <c r="AW51" s="56">
        <v>6528.7743989790997</v>
      </c>
      <c r="AX51" s="44">
        <f t="shared" si="25"/>
        <v>1.6517753121729603E-3</v>
      </c>
      <c r="AY51" s="39">
        <f t="shared" si="18"/>
        <v>97.136180339049844</v>
      </c>
      <c r="AZ51" s="39">
        <f t="shared" si="19"/>
        <v>102.25998775179315</v>
      </c>
      <c r="BB51" s="44">
        <f t="shared" si="20"/>
        <v>1.2726016733492915E-2</v>
      </c>
    </row>
    <row r="52" spans="1:54" s="39" customFormat="1">
      <c r="A52" s="39">
        <f t="shared" si="26"/>
        <v>2024</v>
      </c>
      <c r="B52" s="39">
        <f t="shared" si="27"/>
        <v>3</v>
      </c>
      <c r="C52" s="40"/>
      <c r="D52" s="43">
        <v>108764614.21417999</v>
      </c>
      <c r="E52" s="40"/>
      <c r="F52" s="43">
        <v>19769256.104639102</v>
      </c>
      <c r="G52" s="57">
        <v>985171</v>
      </c>
      <c r="H52" s="57">
        <v>5420120.1695623398</v>
      </c>
      <c r="I52" s="57">
        <v>30470</v>
      </c>
      <c r="J52" s="57">
        <v>167636.94989658101</v>
      </c>
      <c r="K52" s="40"/>
      <c r="L52" s="55">
        <v>2312976.54581354</v>
      </c>
      <c r="M52" s="43"/>
      <c r="N52" s="55">
        <v>874893.64233879</v>
      </c>
      <c r="O52" s="40"/>
      <c r="P52" s="55">
        <v>16815452.9764455</v>
      </c>
      <c r="Q52" s="43"/>
      <c r="R52" s="55">
        <v>19548125.207603902</v>
      </c>
      <c r="S52" s="43"/>
      <c r="T52" s="43">
        <v>74743951.0005171</v>
      </c>
      <c r="U52" s="40"/>
      <c r="V52" s="55">
        <v>114085.28546601201</v>
      </c>
      <c r="W52" s="43"/>
      <c r="X52" s="55">
        <v>286549.34539014101</v>
      </c>
      <c r="Y52" s="40"/>
      <c r="Z52" s="40">
        <f t="shared" si="21"/>
        <v>-3294915.7997215185</v>
      </c>
      <c r="AA52" s="40"/>
      <c r="AB52" s="40">
        <f t="shared" si="22"/>
        <v>-50836116.190108389</v>
      </c>
      <c r="AC52" s="17"/>
      <c r="AD52" s="40"/>
      <c r="AE52" s="40"/>
      <c r="AF52" s="40">
        <f>AZ52/100*AF25</f>
        <v>5865278638.9126654</v>
      </c>
      <c r="AG52" s="44">
        <f t="shared" si="17"/>
        <v>-1.9785851833577163E-3</v>
      </c>
      <c r="AH52" s="44">
        <f t="shared" si="23"/>
        <v>-8.6672977227101773E-3</v>
      </c>
      <c r="AT52" s="39">
        <v>11783914</v>
      </c>
      <c r="AV52" s="39">
        <f t="shared" si="24"/>
        <v>9.7337386297080769E-4</v>
      </c>
      <c r="AW52" s="56">
        <v>6509.5204656060996</v>
      </c>
      <c r="AX52" s="44">
        <f t="shared" si="25"/>
        <v>-2.9490884806818926E-3</v>
      </c>
      <c r="AY52" s="39">
        <f t="shared" si="18"/>
        <v>96.849717148554518</v>
      </c>
      <c r="AZ52" s="39">
        <f t="shared" si="19"/>
        <v>102.05765765517711</v>
      </c>
      <c r="BB52" s="44">
        <f t="shared" si="20"/>
        <v>1.4622842496015013E-2</v>
      </c>
    </row>
    <row r="53" spans="1:54" s="39" customFormat="1">
      <c r="A53" s="39">
        <f t="shared" si="26"/>
        <v>2024</v>
      </c>
      <c r="B53" s="39">
        <f t="shared" si="27"/>
        <v>4</v>
      </c>
      <c r="C53" s="40"/>
      <c r="D53" s="43">
        <v>108963427.949551</v>
      </c>
      <c r="E53" s="40"/>
      <c r="F53" s="43">
        <v>19805392.8544457</v>
      </c>
      <c r="G53" s="57">
        <v>1089701</v>
      </c>
      <c r="H53" s="57">
        <v>5995213.3882262604</v>
      </c>
      <c r="I53" s="57">
        <v>33702</v>
      </c>
      <c r="J53" s="57">
        <v>185418.46030241501</v>
      </c>
      <c r="K53" s="40"/>
      <c r="L53" s="55">
        <v>2334536.6266919798</v>
      </c>
      <c r="M53" s="43"/>
      <c r="N53" s="55">
        <v>878147.24077502603</v>
      </c>
      <c r="O53" s="40"/>
      <c r="P53" s="55">
        <v>16945228.677245401</v>
      </c>
      <c r="Q53" s="43"/>
      <c r="R53" s="55">
        <v>22449367.922621999</v>
      </c>
      <c r="S53" s="43"/>
      <c r="T53" s="43">
        <v>85837103.977026895</v>
      </c>
      <c r="U53" s="40"/>
      <c r="V53" s="55">
        <v>113990.378434193</v>
      </c>
      <c r="W53" s="43"/>
      <c r="X53" s="55">
        <v>286310.966288667</v>
      </c>
      <c r="Y53" s="40"/>
      <c r="Z53" s="40">
        <f t="shared" si="21"/>
        <v>-454718.42085651308</v>
      </c>
      <c r="AA53" s="40"/>
      <c r="AB53" s="40">
        <f t="shared" si="22"/>
        <v>-40071552.6497695</v>
      </c>
      <c r="AC53" s="17"/>
      <c r="AD53" s="40"/>
      <c r="AE53" s="40"/>
      <c r="AF53" s="40">
        <f>AZ53/100*AF25</f>
        <v>5897188596.3703547</v>
      </c>
      <c r="AG53" s="44">
        <f t="shared" si="17"/>
        <v>5.4404844888332384E-3</v>
      </c>
      <c r="AH53" s="44">
        <f t="shared" si="23"/>
        <v>-6.7950264765880199E-3</v>
      </c>
      <c r="AT53" s="39">
        <v>11887374</v>
      </c>
      <c r="AV53" s="39">
        <f t="shared" si="24"/>
        <v>8.7797653648864042E-3</v>
      </c>
      <c r="AW53" s="56">
        <v>6487.9725341849999</v>
      </c>
      <c r="AX53" s="44">
        <f t="shared" si="25"/>
        <v>-3.3102179392400797E-3</v>
      </c>
      <c r="AY53" s="39">
        <f t="shared" si="18"/>
        <v>96.529123477439043</v>
      </c>
      <c r="AZ53" s="39">
        <f t="shared" si="19"/>
        <v>102.61290075861675</v>
      </c>
      <c r="BB53" s="44">
        <f t="shared" si="20"/>
        <v>1.2730924891189798E-2</v>
      </c>
    </row>
    <row r="54" spans="1:54" s="29" customFormat="1">
      <c r="A54" s="29">
        <f t="shared" si="26"/>
        <v>2025</v>
      </c>
      <c r="B54" s="29">
        <f t="shared" si="27"/>
        <v>1</v>
      </c>
      <c r="C54" s="30"/>
      <c r="D54" s="33">
        <v>109179531.820757</v>
      </c>
      <c r="E54" s="30"/>
      <c r="F54" s="33">
        <v>19844672.291107599</v>
      </c>
      <c r="G54" s="59">
        <v>1197641</v>
      </c>
      <c r="H54" s="59">
        <v>6589067.4207775202</v>
      </c>
      <c r="I54" s="59">
        <v>37041</v>
      </c>
      <c r="J54" s="59">
        <v>203788.653138144</v>
      </c>
      <c r="K54" s="30"/>
      <c r="L54" s="52">
        <v>2775456.7251533498</v>
      </c>
      <c r="M54" s="33"/>
      <c r="N54" s="52">
        <v>881535.04295867705</v>
      </c>
      <c r="O54" s="30"/>
      <c r="P54" s="52">
        <v>19251803.852258701</v>
      </c>
      <c r="Q54" s="33"/>
      <c r="R54" s="52">
        <v>19554738.767740902</v>
      </c>
      <c r="S54" s="33"/>
      <c r="T54" s="33">
        <v>74769238.520909399</v>
      </c>
      <c r="U54" s="30"/>
      <c r="V54" s="52">
        <v>117168.363795229</v>
      </c>
      <c r="W54" s="33"/>
      <c r="X54" s="52">
        <v>294293.14927698602</v>
      </c>
      <c r="Y54" s="30"/>
      <c r="Z54" s="30">
        <f t="shared" si="21"/>
        <v>-3829756.927683495</v>
      </c>
      <c r="AA54" s="30"/>
      <c r="AB54" s="30">
        <f t="shared" si="22"/>
        <v>-53662097.1521063</v>
      </c>
      <c r="AC54" s="17"/>
      <c r="AD54" s="30"/>
      <c r="AE54" s="30"/>
      <c r="AF54" s="30">
        <f>AZ54/100*AF25</f>
        <v>5881085053.6654425</v>
      </c>
      <c r="AG54" s="34">
        <f t="shared" si="17"/>
        <v>-2.7307152284096379E-3</v>
      </c>
      <c r="AH54" s="34">
        <f t="shared" si="23"/>
        <v>-9.1245232235947493E-3</v>
      </c>
      <c r="AT54" s="29">
        <v>11798542</v>
      </c>
      <c r="AV54" s="29">
        <f t="shared" si="24"/>
        <v>-7.4728026559945033E-3</v>
      </c>
      <c r="AW54" s="53">
        <v>6518.9707104236004</v>
      </c>
      <c r="AX54" s="34">
        <f t="shared" si="25"/>
        <v>4.7777909162333466E-3</v>
      </c>
      <c r="AY54" s="29">
        <f t="shared" si="18"/>
        <v>96.990319446741523</v>
      </c>
      <c r="AZ54" s="29">
        <f t="shared" si="19"/>
        <v>102.3326941478839</v>
      </c>
      <c r="BB54" s="34">
        <f t="shared" si="20"/>
        <v>1.4590663304003826E-2</v>
      </c>
    </row>
    <row r="55" spans="1:54" s="39" customFormat="1">
      <c r="A55" s="39">
        <f t="shared" si="26"/>
        <v>2025</v>
      </c>
      <c r="B55" s="39">
        <f t="shared" si="27"/>
        <v>2</v>
      </c>
      <c r="C55" s="40"/>
      <c r="D55" s="43">
        <v>109351778.24983799</v>
      </c>
      <c r="E55" s="40"/>
      <c r="F55" s="43">
        <v>19875980.118512701</v>
      </c>
      <c r="G55" s="57">
        <v>1292509</v>
      </c>
      <c r="H55" s="57">
        <v>7111003.1661923202</v>
      </c>
      <c r="I55" s="57">
        <v>39975</v>
      </c>
      <c r="J55" s="57">
        <v>219930.655468193</v>
      </c>
      <c r="K55" s="40"/>
      <c r="L55" s="55">
        <v>2352260.4759589098</v>
      </c>
      <c r="M55" s="43"/>
      <c r="N55" s="55">
        <v>884205.49994652404</v>
      </c>
      <c r="O55" s="40"/>
      <c r="P55" s="55">
        <v>17070528.569833301</v>
      </c>
      <c r="Q55" s="43"/>
      <c r="R55" s="55">
        <v>22396398.881329201</v>
      </c>
      <c r="S55" s="43"/>
      <c r="T55" s="43">
        <v>85634572.256727293</v>
      </c>
      <c r="U55" s="40"/>
      <c r="V55" s="55">
        <v>120246.622853647</v>
      </c>
      <c r="W55" s="43"/>
      <c r="X55" s="55">
        <v>302024.84854501899</v>
      </c>
      <c r="Y55" s="40"/>
      <c r="Z55" s="40">
        <f t="shared" si="21"/>
        <v>-595800.59023528546</v>
      </c>
      <c r="AA55" s="40"/>
      <c r="AB55" s="40">
        <f t="shared" si="22"/>
        <v>-40787734.562943995</v>
      </c>
      <c r="AC55" s="17"/>
      <c r="AD55" s="40"/>
      <c r="AE55" s="40"/>
      <c r="AF55" s="40">
        <f>AZ55/100*AF25</f>
        <v>5903350799.4242945</v>
      </c>
      <c r="AG55" s="44">
        <f t="shared" si="17"/>
        <v>3.7859928152160741E-3</v>
      </c>
      <c r="AH55" s="44">
        <f t="shared" si="23"/>
        <v>-6.9092513639747938E-3</v>
      </c>
      <c r="AT55" s="39">
        <v>11908255</v>
      </c>
      <c r="AV55" s="39">
        <f t="shared" si="24"/>
        <v>9.2988608253460475E-3</v>
      </c>
      <c r="AW55" s="56">
        <v>6483.3635909832001</v>
      </c>
      <c r="AX55" s="44">
        <f t="shared" si="25"/>
        <v>-5.4620769170608185E-3</v>
      </c>
      <c r="AY55" s="39">
        <f t="shared" si="18"/>
        <v>96.460550861713116</v>
      </c>
      <c r="AZ55" s="39">
        <f t="shared" si="19"/>
        <v>102.72012499268951</v>
      </c>
      <c r="BB55" s="44">
        <f t="shared" si="20"/>
        <v>1.2732554228002305E-2</v>
      </c>
    </row>
    <row r="56" spans="1:54" s="39" customFormat="1">
      <c r="A56" s="39">
        <f t="shared" si="26"/>
        <v>2025</v>
      </c>
      <c r="B56" s="39">
        <f t="shared" si="27"/>
        <v>3</v>
      </c>
      <c r="C56" s="40"/>
      <c r="D56" s="43">
        <v>109182980.949816</v>
      </c>
      <c r="E56" s="40"/>
      <c r="F56" s="43">
        <v>19845299.2111421</v>
      </c>
      <c r="G56" s="57">
        <v>1417833</v>
      </c>
      <c r="H56" s="57">
        <v>7800498.8376343697</v>
      </c>
      <c r="I56" s="57">
        <v>43850</v>
      </c>
      <c r="J56" s="57">
        <v>241249.76215835501</v>
      </c>
      <c r="K56" s="40"/>
      <c r="L56" s="55">
        <v>2291894.9859934901</v>
      </c>
      <c r="M56" s="43"/>
      <c r="N56" s="55">
        <v>884438.68769734004</v>
      </c>
      <c r="O56" s="40"/>
      <c r="P56" s="55">
        <v>16758574.6856407</v>
      </c>
      <c r="Q56" s="43"/>
      <c r="R56" s="55">
        <v>19659747.538970999</v>
      </c>
      <c r="S56" s="43"/>
      <c r="T56" s="43">
        <v>75170748.658996403</v>
      </c>
      <c r="U56" s="40"/>
      <c r="V56" s="55">
        <v>117185.243224027</v>
      </c>
      <c r="W56" s="43"/>
      <c r="X56" s="55">
        <v>294335.54553565098</v>
      </c>
      <c r="Y56" s="40"/>
      <c r="Z56" s="40">
        <f t="shared" si="21"/>
        <v>-3244700.1026379019</v>
      </c>
      <c r="AA56" s="40"/>
      <c r="AB56" s="40">
        <f t="shared" si="22"/>
        <v>-50770806.9764603</v>
      </c>
      <c r="AC56" s="17"/>
      <c r="AD56" s="40"/>
      <c r="AE56" s="40"/>
      <c r="AF56" s="40">
        <f>AZ56/100*AF25</f>
        <v>5888479666.9121418</v>
      </c>
      <c r="AG56" s="44">
        <f t="shared" si="17"/>
        <v>-2.5191002563498227E-3</v>
      </c>
      <c r="AH56" s="44">
        <f t="shared" si="23"/>
        <v>-8.6220569397132667E-3</v>
      </c>
      <c r="AT56" s="39">
        <v>11898110</v>
      </c>
      <c r="AV56" s="39">
        <f t="shared" si="24"/>
        <v>-8.5193002669156821E-4</v>
      </c>
      <c r="AW56" s="56">
        <v>6472.5455039630997</v>
      </c>
      <c r="AX56" s="44">
        <f t="shared" si="25"/>
        <v>-1.6685917530748623E-3</v>
      </c>
      <c r="AY56" s="39">
        <f t="shared" si="18"/>
        <v>96.299597582048207</v>
      </c>
      <c r="AZ56" s="39">
        <f t="shared" si="19"/>
        <v>102.46136269948813</v>
      </c>
      <c r="BB56" s="44">
        <f t="shared" si="20"/>
        <v>1.4571708078656289E-2</v>
      </c>
    </row>
    <row r="57" spans="1:54" s="39" customFormat="1">
      <c r="A57" s="39">
        <f t="shared" si="26"/>
        <v>2025</v>
      </c>
      <c r="B57" s="39">
        <f t="shared" si="27"/>
        <v>4</v>
      </c>
      <c r="C57" s="40"/>
      <c r="D57" s="43">
        <v>109690412.47404601</v>
      </c>
      <c r="E57" s="40"/>
      <c r="F57" s="43">
        <v>19937530.897252101</v>
      </c>
      <c r="G57" s="57">
        <v>1504383</v>
      </c>
      <c r="H57" s="57">
        <v>8276671.4012559298</v>
      </c>
      <c r="I57" s="57">
        <v>46527</v>
      </c>
      <c r="J57" s="57">
        <v>255977.82631566201</v>
      </c>
      <c r="K57" s="40"/>
      <c r="L57" s="55">
        <v>2286696.6359969</v>
      </c>
      <c r="M57" s="43"/>
      <c r="N57" s="55">
        <v>890494.85027265898</v>
      </c>
      <c r="O57" s="40"/>
      <c r="P57" s="55">
        <v>16764919.6424291</v>
      </c>
      <c r="Q57" s="43"/>
      <c r="R57" s="55">
        <v>22680229.4540185</v>
      </c>
      <c r="S57" s="43"/>
      <c r="T57" s="43">
        <v>86719823.051482901</v>
      </c>
      <c r="U57" s="40"/>
      <c r="V57" s="55">
        <v>117389.86775324499</v>
      </c>
      <c r="W57" s="43"/>
      <c r="X57" s="55">
        <v>294849.50335815997</v>
      </c>
      <c r="Y57" s="40"/>
      <c r="Z57" s="40">
        <f t="shared" si="21"/>
        <v>-317103.06174991652</v>
      </c>
      <c r="AA57" s="40"/>
      <c r="AB57" s="40">
        <f t="shared" si="22"/>
        <v>-39735509.064992204</v>
      </c>
      <c r="AC57" s="17"/>
      <c r="AD57" s="40"/>
      <c r="AE57" s="40"/>
      <c r="AF57" s="40">
        <f>AZ57/100*AF25</f>
        <v>5945635758.0541592</v>
      </c>
      <c r="AG57" s="44">
        <f t="shared" si="17"/>
        <v>9.7064258306235156E-3</v>
      </c>
      <c r="AH57" s="44">
        <f t="shared" si="23"/>
        <v>-6.6831388066726323E-3</v>
      </c>
      <c r="AT57" s="39">
        <v>11968454</v>
      </c>
      <c r="AV57" s="39">
        <f t="shared" si="24"/>
        <v>5.9121995005929516E-3</v>
      </c>
      <c r="AW57" s="56">
        <v>6496.9594663204998</v>
      </c>
      <c r="AX57" s="44">
        <f t="shared" si="25"/>
        <v>3.7719259513048775E-3</v>
      </c>
      <c r="AY57" s="39">
        <f t="shared" si="18"/>
        <v>96.662832533268158</v>
      </c>
      <c r="AZ57" s="39">
        <f t="shared" si="19"/>
        <v>103.45589631703533</v>
      </c>
      <c r="BB57" s="44">
        <f t="shared" si="20"/>
        <v>1.2698217284360783E-2</v>
      </c>
    </row>
    <row r="58" spans="1:54" s="29" customFormat="1">
      <c r="A58" s="29">
        <f t="shared" si="26"/>
        <v>2026</v>
      </c>
      <c r="B58" s="29">
        <f t="shared" si="27"/>
        <v>1</v>
      </c>
      <c r="C58" s="30"/>
      <c r="D58" s="33">
        <v>109671286.046275</v>
      </c>
      <c r="E58" s="30"/>
      <c r="F58" s="33">
        <v>19934054.442600802</v>
      </c>
      <c r="G58" s="59">
        <v>1601842</v>
      </c>
      <c r="H58" s="59">
        <v>8812862.0642021392</v>
      </c>
      <c r="I58" s="59">
        <v>49541</v>
      </c>
      <c r="J58" s="59">
        <v>272559.965041894</v>
      </c>
      <c r="K58" s="30"/>
      <c r="L58" s="52">
        <v>2753972.4392881701</v>
      </c>
      <c r="M58" s="33"/>
      <c r="N58" s="52">
        <v>891498.04372094199</v>
      </c>
      <c r="O58" s="30"/>
      <c r="P58" s="52">
        <v>19195135.281405799</v>
      </c>
      <c r="Q58" s="33"/>
      <c r="R58" s="52">
        <v>19690739.8866104</v>
      </c>
      <c r="S58" s="33"/>
      <c r="T58" s="33">
        <v>75289250.586355001</v>
      </c>
      <c r="U58" s="30"/>
      <c r="V58" s="52">
        <v>120513.901049747</v>
      </c>
      <c r="W58" s="33"/>
      <c r="X58" s="52">
        <v>302696.17431518203</v>
      </c>
      <c r="Y58" s="30"/>
      <c r="Z58" s="30">
        <f t="shared" si="21"/>
        <v>-3768271.1379497647</v>
      </c>
      <c r="AA58" s="30"/>
      <c r="AB58" s="30">
        <f t="shared" si="22"/>
        <v>-53577170.741325803</v>
      </c>
      <c r="AC58" s="17"/>
      <c r="AD58" s="30"/>
      <c r="AE58" s="30"/>
      <c r="AF58" s="30">
        <f>AZ58/100*AF25</f>
        <v>5916167812.9972353</v>
      </c>
      <c r="AG58" s="34">
        <f t="shared" ref="AG58:AG89" si="28">(AF58-AF57)/AF57</f>
        <v>-4.9562311342408747E-3</v>
      </c>
      <c r="AH58" s="34">
        <f t="shared" si="23"/>
        <v>-9.0560600095930446E-3</v>
      </c>
      <c r="AT58" s="29">
        <v>11964471</v>
      </c>
      <c r="AV58" s="29">
        <f t="shared" si="24"/>
        <v>-3.3279152010777665E-4</v>
      </c>
      <c r="AW58" s="53">
        <v>6466.9111667331999</v>
      </c>
      <c r="AX58" s="34">
        <f t="shared" si="25"/>
        <v>-4.6249787678477681E-3</v>
      </c>
      <c r="AY58" s="29">
        <f t="shared" ref="AY58:AY89" si="29">AY57*((1+AX58))</f>
        <v>96.215768985161773</v>
      </c>
      <c r="AZ58" s="29">
        <f t="shared" si="19"/>
        <v>102.94314498268804</v>
      </c>
      <c r="BB58" s="34">
        <f t="shared" si="20"/>
        <v>1.4507457542188767E-2</v>
      </c>
    </row>
    <row r="59" spans="1:54" s="39" customFormat="1">
      <c r="A59" s="39">
        <f t="shared" si="26"/>
        <v>2026</v>
      </c>
      <c r="B59" s="39">
        <f t="shared" si="27"/>
        <v>2</v>
      </c>
      <c r="C59" s="40"/>
      <c r="D59" s="43">
        <v>109499257.05569801</v>
      </c>
      <c r="E59" s="40"/>
      <c r="F59" s="43">
        <v>19902786.1372177</v>
      </c>
      <c r="G59" s="57">
        <v>1697262</v>
      </c>
      <c r="H59" s="57">
        <v>9337834.7507505994</v>
      </c>
      <c r="I59" s="57">
        <v>52492</v>
      </c>
      <c r="J59" s="57">
        <v>288795.49635613197</v>
      </c>
      <c r="K59" s="40"/>
      <c r="L59" s="55">
        <v>2282893.0679971199</v>
      </c>
      <c r="M59" s="43"/>
      <c r="N59" s="55">
        <v>890988.45741866203</v>
      </c>
      <c r="O59" s="40"/>
      <c r="P59" s="55">
        <v>16747898.590876499</v>
      </c>
      <c r="Q59" s="43"/>
      <c r="R59" s="55">
        <v>22638799.427568998</v>
      </c>
      <c r="S59" s="43"/>
      <c r="T59" s="43">
        <v>86561411.754542306</v>
      </c>
      <c r="U59" s="40"/>
      <c r="V59" s="55">
        <v>114104.144303009</v>
      </c>
      <c r="W59" s="43"/>
      <c r="X59" s="55">
        <v>286596.71335152199</v>
      </c>
      <c r="Y59" s="40"/>
      <c r="Z59" s="40">
        <f t="shared" si="21"/>
        <v>-323764.09076147527</v>
      </c>
      <c r="AA59" s="40"/>
      <c r="AB59" s="40">
        <f t="shared" si="22"/>
        <v>-39685743.892032206</v>
      </c>
      <c r="AC59" s="17"/>
      <c r="AD59" s="40"/>
      <c r="AE59" s="40"/>
      <c r="AF59" s="40">
        <f>AZ59/100*AF25</f>
        <v>5919602278.2938299</v>
      </c>
      <c r="AG59" s="44">
        <f t="shared" si="28"/>
        <v>5.805219535945954E-4</v>
      </c>
      <c r="AH59" s="44">
        <f t="shared" si="23"/>
        <v>-6.7041233559817096E-3</v>
      </c>
      <c r="AT59" s="39">
        <v>11948764</v>
      </c>
      <c r="AV59" s="39">
        <f t="shared" si="24"/>
        <v>-1.312803549776668E-3</v>
      </c>
      <c r="AW59" s="56">
        <v>6479.1712296272999</v>
      </c>
      <c r="AX59" s="44">
        <f t="shared" si="25"/>
        <v>1.8958143351601381E-3</v>
      </c>
      <c r="AY59" s="39">
        <f t="shared" si="29"/>
        <v>96.398176219272301</v>
      </c>
      <c r="AZ59" s="39">
        <f t="shared" si="19"/>
        <v>103.00290573832255</v>
      </c>
      <c r="BB59" s="44">
        <f t="shared" si="20"/>
        <v>1.2697535631072884E-2</v>
      </c>
    </row>
    <row r="60" spans="1:54" s="39" customFormat="1">
      <c r="A60" s="39">
        <f t="shared" si="26"/>
        <v>2026</v>
      </c>
      <c r="B60" s="39">
        <f t="shared" si="27"/>
        <v>3</v>
      </c>
      <c r="C60" s="40"/>
      <c r="D60" s="43">
        <v>109621312.43263599</v>
      </c>
      <c r="E60" s="40"/>
      <c r="F60" s="43">
        <v>19924971.146772999</v>
      </c>
      <c r="G60" s="57">
        <v>1832488</v>
      </c>
      <c r="H60" s="57">
        <v>10081808.3046303</v>
      </c>
      <c r="I60" s="57">
        <v>56675</v>
      </c>
      <c r="J60" s="57">
        <v>311809.12817160197</v>
      </c>
      <c r="K60" s="40"/>
      <c r="L60" s="55">
        <v>2245217.0341270599</v>
      </c>
      <c r="M60" s="43"/>
      <c r="N60" s="55">
        <v>893717.44677297398</v>
      </c>
      <c r="O60" s="40"/>
      <c r="P60" s="55">
        <v>16567411.5662659</v>
      </c>
      <c r="Q60" s="43"/>
      <c r="R60" s="55">
        <v>19667802.224678401</v>
      </c>
      <c r="S60" s="43"/>
      <c r="T60" s="43">
        <v>75201546.447911903</v>
      </c>
      <c r="U60" s="40"/>
      <c r="V60" s="55">
        <v>113322.690019039</v>
      </c>
      <c r="W60" s="43"/>
      <c r="X60" s="55">
        <v>284633.92548971297</v>
      </c>
      <c r="Y60" s="40"/>
      <c r="Z60" s="40">
        <f t="shared" si="21"/>
        <v>-3282780.7129755951</v>
      </c>
      <c r="AA60" s="40"/>
      <c r="AB60" s="40">
        <f t="shared" si="22"/>
        <v>-50987177.550989985</v>
      </c>
      <c r="AC60" s="17"/>
      <c r="AD60" s="40"/>
      <c r="AE60" s="40"/>
      <c r="AF60" s="40">
        <f>AZ60/100*AF25</f>
        <v>5906997888.2644844</v>
      </c>
      <c r="AG60" s="44">
        <f t="shared" si="28"/>
        <v>-2.1292629870698675E-3</v>
      </c>
      <c r="AH60" s="44">
        <f t="shared" si="23"/>
        <v>-8.631656641064139E-3</v>
      </c>
      <c r="AT60" s="39">
        <v>11988149</v>
      </c>
      <c r="AV60" s="39">
        <f t="shared" si="24"/>
        <v>3.2961568242539565E-3</v>
      </c>
      <c r="AW60" s="56">
        <v>6444.1344922581002</v>
      </c>
      <c r="AX60" s="44">
        <f t="shared" si="25"/>
        <v>-5.4075955284199426E-3</v>
      </c>
      <c r="AY60" s="39">
        <f t="shared" si="29"/>
        <v>95.87689387260113</v>
      </c>
      <c r="AZ60" s="39">
        <f t="shared" si="19"/>
        <v>102.7835854635733</v>
      </c>
      <c r="BB60" s="44">
        <f t="shared" si="20"/>
        <v>1.4444142818672118E-2</v>
      </c>
    </row>
    <row r="61" spans="1:54" s="39" customFormat="1">
      <c r="A61" s="39">
        <f t="shared" si="26"/>
        <v>2026</v>
      </c>
      <c r="B61" s="39">
        <f t="shared" si="27"/>
        <v>4</v>
      </c>
      <c r="C61" s="40"/>
      <c r="D61" s="43">
        <v>109843013.022499</v>
      </c>
      <c r="E61" s="40"/>
      <c r="F61" s="43">
        <v>19965267.853300501</v>
      </c>
      <c r="G61" s="57">
        <v>1933565</v>
      </c>
      <c r="H61" s="57">
        <v>10637904.136094</v>
      </c>
      <c r="I61" s="57">
        <v>59801</v>
      </c>
      <c r="J61" s="57">
        <v>329007.45785249199</v>
      </c>
      <c r="K61" s="40"/>
      <c r="L61" s="55">
        <v>2199045.1168374801</v>
      </c>
      <c r="M61" s="43"/>
      <c r="N61" s="55">
        <v>897754.19986314001</v>
      </c>
      <c r="O61" s="40"/>
      <c r="P61" s="55">
        <v>16350034.2924255</v>
      </c>
      <c r="Q61" s="43"/>
      <c r="R61" s="55">
        <v>22624419.504860502</v>
      </c>
      <c r="S61" s="43"/>
      <c r="T61" s="43">
        <v>86506428.873733997</v>
      </c>
      <c r="U61" s="40"/>
      <c r="V61" s="55">
        <v>115496.457316659</v>
      </c>
      <c r="W61" s="43"/>
      <c r="X61" s="55">
        <v>290093.80222683202</v>
      </c>
      <c r="Y61" s="40"/>
      <c r="Z61" s="40">
        <f t="shared" si="21"/>
        <v>-322151.20782395825</v>
      </c>
      <c r="AA61" s="40"/>
      <c r="AB61" s="40">
        <f t="shared" si="22"/>
        <v>-39686618.441190496</v>
      </c>
      <c r="AC61" s="17"/>
      <c r="AD61" s="40"/>
      <c r="AE61" s="40"/>
      <c r="AF61" s="40">
        <f>AZ61/100*AF25</f>
        <v>5928889391.2037401</v>
      </c>
      <c r="AG61" s="44">
        <f t="shared" si="28"/>
        <v>3.7060285704093227E-3</v>
      </c>
      <c r="AH61" s="44">
        <f t="shared" si="23"/>
        <v>-6.6937694098443854E-3</v>
      </c>
      <c r="AT61" s="39">
        <v>11964982</v>
      </c>
      <c r="AV61" s="39">
        <f t="shared" si="24"/>
        <v>-1.9324918300565E-3</v>
      </c>
      <c r="AW61" s="56">
        <v>6480.5402298464996</v>
      </c>
      <c r="AX61" s="44">
        <f t="shared" si="25"/>
        <v>5.6494378930385209E-3</v>
      </c>
      <c r="AY61" s="39">
        <f t="shared" si="29"/>
        <v>96.418544429911833</v>
      </c>
      <c r="AZ61" s="39">
        <f t="shared" si="19"/>
        <v>103.16450436787041</v>
      </c>
      <c r="BB61" s="44">
        <f t="shared" si="20"/>
        <v>1.2677352945041992E-2</v>
      </c>
    </row>
    <row r="62" spans="1:54" s="29" customFormat="1">
      <c r="A62" s="29">
        <f t="shared" si="26"/>
        <v>2027</v>
      </c>
      <c r="B62" s="29">
        <f t="shared" si="27"/>
        <v>1</v>
      </c>
      <c r="C62" s="30"/>
      <c r="D62" s="33">
        <v>109898176.870703</v>
      </c>
      <c r="E62" s="30"/>
      <c r="F62" s="33">
        <v>19975294.535698399</v>
      </c>
      <c r="G62" s="59">
        <v>2029927</v>
      </c>
      <c r="H62" s="59">
        <v>11168059.428707501</v>
      </c>
      <c r="I62" s="59">
        <v>62781</v>
      </c>
      <c r="J62" s="59">
        <v>345402.53861034598</v>
      </c>
      <c r="K62" s="30"/>
      <c r="L62" s="52">
        <v>2697057.1449854602</v>
      </c>
      <c r="M62" s="33"/>
      <c r="N62" s="52">
        <v>899376.95295018703</v>
      </c>
      <c r="O62" s="30"/>
      <c r="P62" s="52">
        <v>18943148.982630402</v>
      </c>
      <c r="Q62" s="33"/>
      <c r="R62" s="52">
        <v>19740603.8643246</v>
      </c>
      <c r="S62" s="33"/>
      <c r="T62" s="33">
        <v>75479909.826940998</v>
      </c>
      <c r="U62" s="30"/>
      <c r="V62" s="52">
        <v>116685.585700745</v>
      </c>
      <c r="W62" s="33"/>
      <c r="X62" s="52">
        <v>293080.54989242897</v>
      </c>
      <c r="Y62" s="30"/>
      <c r="Z62" s="30">
        <f t="shared" si="21"/>
        <v>-3714439.1836086996</v>
      </c>
      <c r="AA62" s="30"/>
      <c r="AB62" s="30">
        <f t="shared" si="22"/>
        <v>-53361416.0263924</v>
      </c>
      <c r="AC62" s="17"/>
      <c r="AD62" s="30"/>
      <c r="AE62" s="30"/>
      <c r="AF62" s="30">
        <f>AZ62/100*AF25</f>
        <v>5928104328.1119833</v>
      </c>
      <c r="AG62" s="34">
        <f t="shared" si="28"/>
        <v>-1.324131789204166E-4</v>
      </c>
      <c r="AH62" s="34">
        <f t="shared" si="23"/>
        <v>-9.0014299804651466E-3</v>
      </c>
      <c r="AT62" s="29">
        <v>11979133</v>
      </c>
      <c r="AV62" s="29">
        <f t="shared" si="24"/>
        <v>1.1827013195673843E-3</v>
      </c>
      <c r="AW62" s="53">
        <v>6472.0276452771996</v>
      </c>
      <c r="AX62" s="34">
        <f t="shared" si="25"/>
        <v>-1.3135609482207813E-3</v>
      </c>
      <c r="AY62" s="29">
        <f t="shared" si="29"/>
        <v>96.291892795264417</v>
      </c>
      <c r="AZ62" s="29">
        <f t="shared" si="19"/>
        <v>103.15084402789532</v>
      </c>
      <c r="BB62" s="34">
        <f t="shared" si="20"/>
        <v>1.442513851044463E-2</v>
      </c>
    </row>
    <row r="63" spans="1:54" s="39" customFormat="1">
      <c r="A63" s="39">
        <f t="shared" si="26"/>
        <v>2027</v>
      </c>
      <c r="B63" s="39">
        <f t="shared" si="27"/>
        <v>2</v>
      </c>
      <c r="C63" s="40"/>
      <c r="D63" s="43">
        <v>109810363.65794501</v>
      </c>
      <c r="E63" s="40"/>
      <c r="F63" s="43">
        <v>19959333.444814902</v>
      </c>
      <c r="G63" s="57">
        <v>2098638</v>
      </c>
      <c r="H63" s="57">
        <v>11546087.077685</v>
      </c>
      <c r="I63" s="57">
        <v>64906</v>
      </c>
      <c r="J63" s="57">
        <v>357093.66163398401</v>
      </c>
      <c r="K63" s="40"/>
      <c r="L63" s="55">
        <v>2234027.6902634799</v>
      </c>
      <c r="M63" s="43"/>
      <c r="N63" s="55">
        <v>900172.54447885603</v>
      </c>
      <c r="O63" s="40"/>
      <c r="P63" s="55">
        <v>16544864.050781799</v>
      </c>
      <c r="Q63" s="43"/>
      <c r="R63" s="55">
        <v>22688100.962239102</v>
      </c>
      <c r="S63" s="43"/>
      <c r="T63" s="43">
        <v>86749920.445401505</v>
      </c>
      <c r="U63" s="40"/>
      <c r="V63" s="55">
        <v>114198.01298056899</v>
      </c>
      <c r="W63" s="43"/>
      <c r="X63" s="55">
        <v>286832.484406462</v>
      </c>
      <c r="Y63" s="40"/>
      <c r="Z63" s="40">
        <f t="shared" si="21"/>
        <v>-291234.70433756709</v>
      </c>
      <c r="AA63" s="40"/>
      <c r="AB63" s="40">
        <f t="shared" si="22"/>
        <v>-39605307.263325304</v>
      </c>
      <c r="AC63" s="17"/>
      <c r="AD63" s="40"/>
      <c r="AE63" s="40"/>
      <c r="AF63" s="40">
        <f>AZ63/100*AF25</f>
        <v>5953311717.2768011</v>
      </c>
      <c r="AG63" s="44">
        <f t="shared" si="28"/>
        <v>4.252183795970069E-3</v>
      </c>
      <c r="AH63" s="44">
        <f t="shared" si="23"/>
        <v>-6.6526513551085813E-3</v>
      </c>
      <c r="AT63" s="39">
        <v>11969677</v>
      </c>
      <c r="AV63" s="39">
        <f t="shared" si="24"/>
        <v>-7.8937265326296986E-4</v>
      </c>
      <c r="AW63" s="56">
        <v>6504.6825148528997</v>
      </c>
      <c r="AX63" s="44">
        <f t="shared" si="25"/>
        <v>5.0455392599457107E-3</v>
      </c>
      <c r="AY63" s="39">
        <f t="shared" si="29"/>
        <v>96.777737320777419</v>
      </c>
      <c r="AZ63" s="39">
        <f t="shared" si="19"/>
        <v>103.58946037541136</v>
      </c>
      <c r="BB63" s="44">
        <f t="shared" si="20"/>
        <v>1.2620563109520486E-2</v>
      </c>
    </row>
    <row r="64" spans="1:54" s="39" customFormat="1">
      <c r="A64" s="39">
        <f t="shared" si="26"/>
        <v>2027</v>
      </c>
      <c r="B64" s="39">
        <f t="shared" si="27"/>
        <v>3</v>
      </c>
      <c r="C64" s="40"/>
      <c r="D64" s="43">
        <v>109944945.061077</v>
      </c>
      <c r="E64" s="40"/>
      <c r="F64" s="43">
        <v>19983795.207904499</v>
      </c>
      <c r="G64" s="57">
        <v>2238096</v>
      </c>
      <c r="H64" s="57">
        <v>12313343.8469228</v>
      </c>
      <c r="I64" s="57">
        <v>69219</v>
      </c>
      <c r="J64" s="57">
        <v>380822.51509325398</v>
      </c>
      <c r="K64" s="40"/>
      <c r="L64" s="55">
        <v>2208602.4495603298</v>
      </c>
      <c r="M64" s="43"/>
      <c r="N64" s="55">
        <v>902124.31348873302</v>
      </c>
      <c r="O64" s="40"/>
      <c r="P64" s="55">
        <v>16423670.4131341</v>
      </c>
      <c r="Q64" s="43"/>
      <c r="R64" s="55">
        <v>19767453.384282101</v>
      </c>
      <c r="S64" s="43"/>
      <c r="T64" s="43">
        <v>75582571.293592095</v>
      </c>
      <c r="U64" s="40"/>
      <c r="V64" s="55">
        <v>117616.03583402</v>
      </c>
      <c r="W64" s="43"/>
      <c r="X64" s="55">
        <v>295417.57237099903</v>
      </c>
      <c r="Y64" s="40"/>
      <c r="Z64" s="40">
        <f t="shared" si="21"/>
        <v>-3209452.5508374423</v>
      </c>
      <c r="AA64" s="40"/>
      <c r="AB64" s="40">
        <f t="shared" si="22"/>
        <v>-50786044.180619001</v>
      </c>
      <c r="AC64" s="17"/>
      <c r="AD64" s="40"/>
      <c r="AE64" s="40"/>
      <c r="AF64" s="40">
        <f>AZ64/100*AF25</f>
        <v>5952219087.2162933</v>
      </c>
      <c r="AG64" s="44">
        <f t="shared" si="28"/>
        <v>-1.8353315136126816E-4</v>
      </c>
      <c r="AH64" s="44">
        <f t="shared" si="23"/>
        <v>-8.53228744380281E-3</v>
      </c>
      <c r="AT64" s="39">
        <v>12017123</v>
      </c>
      <c r="AV64" s="39">
        <f t="shared" si="24"/>
        <v>3.9638496510808101E-3</v>
      </c>
      <c r="AW64" s="56">
        <v>6477.8116186480001</v>
      </c>
      <c r="AX64" s="44">
        <f t="shared" si="25"/>
        <v>-4.1310081073967957E-3</v>
      </c>
      <c r="AY64" s="39">
        <f t="shared" si="29"/>
        <v>96.377947703289777</v>
      </c>
      <c r="AZ64" s="39">
        <f t="shared" si="19"/>
        <v>103.57044827530086</v>
      </c>
      <c r="BB64" s="44">
        <f t="shared" si="20"/>
        <v>1.4406256854692561E-2</v>
      </c>
    </row>
    <row r="65" spans="1:54" s="39" customFormat="1">
      <c r="A65" s="39">
        <f t="shared" si="26"/>
        <v>2027</v>
      </c>
      <c r="B65" s="39">
        <f t="shared" si="27"/>
        <v>4</v>
      </c>
      <c r="C65" s="40"/>
      <c r="D65" s="43">
        <v>110031273.380582</v>
      </c>
      <c r="E65" s="40"/>
      <c r="F65" s="43">
        <v>19999486.4018622</v>
      </c>
      <c r="G65" s="57">
        <v>2351459</v>
      </c>
      <c r="H65" s="57">
        <v>12937033.6254304</v>
      </c>
      <c r="I65" s="57">
        <v>72725</v>
      </c>
      <c r="J65" s="57">
        <v>400111.49265601701</v>
      </c>
      <c r="K65" s="40"/>
      <c r="L65" s="55">
        <v>2095089.0347621101</v>
      </c>
      <c r="M65" s="43"/>
      <c r="N65" s="55">
        <v>904116.72200573597</v>
      </c>
      <c r="O65" s="40"/>
      <c r="P65" s="55">
        <v>15845610.407931</v>
      </c>
      <c r="Q65" s="43"/>
      <c r="R65" s="55">
        <v>22644441.288512699</v>
      </c>
      <c r="S65" s="43"/>
      <c r="T65" s="43">
        <v>86582983.898850396</v>
      </c>
      <c r="U65" s="40"/>
      <c r="V65" s="55">
        <v>115459.32852750301</v>
      </c>
      <c r="W65" s="43"/>
      <c r="X65" s="55">
        <v>290000.54541299702</v>
      </c>
      <c r="Y65" s="40"/>
      <c r="Z65" s="40">
        <f t="shared" si="21"/>
        <v>-238791.54158984497</v>
      </c>
      <c r="AA65" s="40"/>
      <c r="AB65" s="40">
        <f t="shared" si="22"/>
        <v>-39293899.889662609</v>
      </c>
      <c r="AC65" s="17"/>
      <c r="AD65" s="40"/>
      <c r="AE65" s="40"/>
      <c r="AF65" s="40">
        <f>AZ65/100*AF25</f>
        <v>5968170759.5600834</v>
      </c>
      <c r="AG65" s="44">
        <f t="shared" si="28"/>
        <v>2.6799538306729667E-3</v>
      </c>
      <c r="AH65" s="44">
        <f t="shared" si="23"/>
        <v>-6.5839101246759537E-3</v>
      </c>
      <c r="AT65" s="39">
        <v>12075127</v>
      </c>
      <c r="AV65" s="39">
        <f t="shared" si="24"/>
        <v>4.8267792549015268E-3</v>
      </c>
      <c r="AW65" s="56">
        <v>6463.9716902509999</v>
      </c>
      <c r="AX65" s="44">
        <f t="shared" si="25"/>
        <v>-2.1365129478539526E-3</v>
      </c>
      <c r="AY65" s="39">
        <f t="shared" si="29"/>
        <v>96.172034970134106</v>
      </c>
      <c r="AZ65" s="39">
        <f t="shared" si="19"/>
        <v>103.84801229490077</v>
      </c>
      <c r="BB65" s="44">
        <f t="shared" si="20"/>
        <v>1.2578352795300528E-2</v>
      </c>
    </row>
    <row r="66" spans="1:54" s="29" customFormat="1">
      <c r="A66" s="29">
        <f t="shared" si="26"/>
        <v>2028</v>
      </c>
      <c r="B66" s="29">
        <f t="shared" si="27"/>
        <v>1</v>
      </c>
      <c r="C66" s="30"/>
      <c r="D66" s="33">
        <v>109886433.267138</v>
      </c>
      <c r="E66" s="30"/>
      <c r="F66" s="33">
        <v>19973159.996738698</v>
      </c>
      <c r="G66" s="59">
        <v>2461450</v>
      </c>
      <c r="H66" s="59">
        <v>13542171.6548388</v>
      </c>
      <c r="I66" s="59">
        <v>76128</v>
      </c>
      <c r="J66" s="59">
        <v>418833.79460869398</v>
      </c>
      <c r="K66" s="30"/>
      <c r="L66" s="52">
        <v>2657205.9614185598</v>
      </c>
      <c r="M66" s="33"/>
      <c r="N66" s="52">
        <v>904695.85600313602</v>
      </c>
      <c r="O66" s="30"/>
      <c r="P66" s="52">
        <v>18765624.036924399</v>
      </c>
      <c r="Q66" s="33"/>
      <c r="R66" s="52">
        <v>19887807.921143401</v>
      </c>
      <c r="S66" s="33"/>
      <c r="T66" s="33">
        <v>76042757.296613604</v>
      </c>
      <c r="U66" s="30"/>
      <c r="V66" s="52">
        <v>118719.784147153</v>
      </c>
      <c r="W66" s="33"/>
      <c r="X66" s="52">
        <v>298189.86991412</v>
      </c>
      <c r="Y66" s="30"/>
      <c r="Z66" s="30">
        <f t="shared" si="21"/>
        <v>-3528534.1088698376</v>
      </c>
      <c r="AA66" s="30"/>
      <c r="AB66" s="30">
        <f t="shared" si="22"/>
        <v>-52609300.0074488</v>
      </c>
      <c r="AC66" s="17"/>
      <c r="AD66" s="30"/>
      <c r="AE66" s="30"/>
      <c r="AF66" s="30">
        <f>AZ66/100*AF25</f>
        <v>5988780776.5252428</v>
      </c>
      <c r="AG66" s="34">
        <f t="shared" si="28"/>
        <v>3.4533222649746351E-3</v>
      </c>
      <c r="AH66" s="34">
        <f t="shared" si="23"/>
        <v>-8.7846428130523933E-3</v>
      </c>
      <c r="AT66" s="29">
        <v>12104000</v>
      </c>
      <c r="AV66" s="29">
        <f t="shared" si="24"/>
        <v>2.3911135675840096E-3</v>
      </c>
      <c r="AW66" s="53">
        <v>6470.8213987690997</v>
      </c>
      <c r="AX66" s="34">
        <f t="shared" si="25"/>
        <v>1.0596748943734594E-3</v>
      </c>
      <c r="AY66" s="29">
        <f t="shared" si="29"/>
        <v>96.273946061132762</v>
      </c>
      <c r="AZ66" s="29">
        <f t="shared" si="19"/>
        <v>104.20663294793211</v>
      </c>
      <c r="BB66" s="34">
        <f t="shared" si="20"/>
        <v>1.4387314000545787E-2</v>
      </c>
    </row>
    <row r="67" spans="1:54" s="39" customFormat="1">
      <c r="A67" s="39">
        <f t="shared" si="26"/>
        <v>2028</v>
      </c>
      <c r="B67" s="39">
        <f t="shared" si="27"/>
        <v>2</v>
      </c>
      <c r="C67" s="40"/>
      <c r="D67" s="43">
        <v>110298948.11981501</v>
      </c>
      <c r="E67" s="40"/>
      <c r="F67" s="43">
        <v>20048139.454243999</v>
      </c>
      <c r="G67" s="57">
        <v>2582625</v>
      </c>
      <c r="H67" s="57">
        <v>14208840.752433799</v>
      </c>
      <c r="I67" s="57">
        <v>79875</v>
      </c>
      <c r="J67" s="57">
        <v>439448.68306496303</v>
      </c>
      <c r="K67" s="40"/>
      <c r="L67" s="55">
        <v>2209996.3230298702</v>
      </c>
      <c r="M67" s="43"/>
      <c r="N67" s="55">
        <v>910627.81941580004</v>
      </c>
      <c r="O67" s="40"/>
      <c r="P67" s="55">
        <v>16477687.0098646</v>
      </c>
      <c r="Q67" s="43"/>
      <c r="R67" s="55">
        <v>22623824.192847699</v>
      </c>
      <c r="S67" s="43"/>
      <c r="T67" s="43">
        <v>86504152.646656498</v>
      </c>
      <c r="U67" s="40"/>
      <c r="V67" s="55">
        <v>116049.814214068</v>
      </c>
      <c r="W67" s="43"/>
      <c r="X67" s="55">
        <v>291483.67521590297</v>
      </c>
      <c r="Y67" s="40"/>
      <c r="Z67" s="40">
        <f t="shared" si="21"/>
        <v>-428889.58962790295</v>
      </c>
      <c r="AA67" s="40"/>
      <c r="AB67" s="40">
        <f t="shared" si="22"/>
        <v>-40272482.483023107</v>
      </c>
      <c r="AC67" s="17"/>
      <c r="AD67" s="40"/>
      <c r="AE67" s="40"/>
      <c r="AF67" s="40">
        <f>AZ67/100*AF25</f>
        <v>5988874087.7604408</v>
      </c>
      <c r="AG67" s="44">
        <f t="shared" si="28"/>
        <v>1.5581006999585172E-5</v>
      </c>
      <c r="AH67" s="44">
        <f t="shared" si="23"/>
        <v>-6.7245498724591039E-3</v>
      </c>
      <c r="AT67" s="39">
        <v>12154479</v>
      </c>
      <c r="AV67" s="39">
        <f t="shared" si="24"/>
        <v>4.1704395241242568E-3</v>
      </c>
      <c r="AW67" s="56">
        <v>6444.0477094198995</v>
      </c>
      <c r="AX67" s="44">
        <f t="shared" si="25"/>
        <v>-4.1376028944784529E-3</v>
      </c>
      <c r="AY67" s="39">
        <f t="shared" si="29"/>
        <v>95.875602703247367</v>
      </c>
      <c r="AZ67" s="39">
        <f t="shared" si="19"/>
        <v>104.20825659220947</v>
      </c>
      <c r="BB67" s="44">
        <f t="shared" si="20"/>
        <v>1.2624734970469084E-2</v>
      </c>
    </row>
    <row r="68" spans="1:54" s="39" customFormat="1">
      <c r="A68" s="39">
        <f t="shared" si="26"/>
        <v>2028</v>
      </c>
      <c r="B68" s="39">
        <f t="shared" si="27"/>
        <v>3</v>
      </c>
      <c r="C68" s="40"/>
      <c r="D68" s="43">
        <v>110347470.062372</v>
      </c>
      <c r="E68" s="40"/>
      <c r="F68" s="43">
        <v>20056958.8916688</v>
      </c>
      <c r="G68" s="57">
        <v>2700146</v>
      </c>
      <c r="H68" s="57">
        <v>14855406.620132999</v>
      </c>
      <c r="I68" s="57">
        <v>83510</v>
      </c>
      <c r="J68" s="57">
        <v>459447.380566573</v>
      </c>
      <c r="K68" s="40"/>
      <c r="L68" s="55">
        <v>2210206.8270063</v>
      </c>
      <c r="M68" s="43"/>
      <c r="N68" s="55">
        <v>912691.82526536996</v>
      </c>
      <c r="O68" s="40"/>
      <c r="P68" s="55">
        <v>16490134.8672031</v>
      </c>
      <c r="Q68" s="43"/>
      <c r="R68" s="55">
        <v>19827006.864653699</v>
      </c>
      <c r="S68" s="43"/>
      <c r="T68" s="43">
        <v>75810279.187394306</v>
      </c>
      <c r="U68" s="40"/>
      <c r="V68" s="55">
        <v>116741.66433417299</v>
      </c>
      <c r="W68" s="43"/>
      <c r="X68" s="55">
        <v>293221.40325168101</v>
      </c>
      <c r="Y68" s="40"/>
      <c r="Z68" s="40">
        <f t="shared" si="21"/>
        <v>-3236109.0149525963</v>
      </c>
      <c r="AA68" s="40"/>
      <c r="AB68" s="40">
        <f t="shared" si="22"/>
        <v>-51027325.742180794</v>
      </c>
      <c r="AC68" s="17"/>
      <c r="AD68" s="40"/>
      <c r="AE68" s="40"/>
      <c r="AF68" s="40">
        <f>AZ68/100*AF25</f>
        <v>5979977012.2392216</v>
      </c>
      <c r="AG68" s="44">
        <f t="shared" si="28"/>
        <v>-1.4856006973668642E-3</v>
      </c>
      <c r="AH68" s="44">
        <f t="shared" si="23"/>
        <v>-8.5330304176325662E-3</v>
      </c>
      <c r="AT68" s="39">
        <v>12153273</v>
      </c>
      <c r="AV68" s="39">
        <f t="shared" si="24"/>
        <v>-9.9222681613913687E-5</v>
      </c>
      <c r="AW68" s="56">
        <v>6435.1129368109996</v>
      </c>
      <c r="AX68" s="44">
        <f t="shared" si="25"/>
        <v>-1.3865155895477171E-3</v>
      </c>
      <c r="AY68" s="39">
        <f t="shared" si="29"/>
        <v>95.742669685442024</v>
      </c>
      <c r="AZ68" s="39">
        <f t="shared" si="19"/>
        <v>104.05344473354471</v>
      </c>
      <c r="BB68" s="44">
        <f t="shared" si="20"/>
        <v>1.4421157598608125E-2</v>
      </c>
    </row>
    <row r="69" spans="1:54" s="39" customFormat="1">
      <c r="A69" s="39">
        <f t="shared" si="26"/>
        <v>2028</v>
      </c>
      <c r="B69" s="39">
        <f t="shared" si="27"/>
        <v>4</v>
      </c>
      <c r="C69" s="40"/>
      <c r="D69" s="43">
        <v>110242084.47772101</v>
      </c>
      <c r="E69" s="40"/>
      <c r="F69" s="43">
        <v>20037803.814185601</v>
      </c>
      <c r="G69" s="57">
        <v>2800026</v>
      </c>
      <c r="H69" s="57">
        <v>15404916.910768799</v>
      </c>
      <c r="I69" s="57">
        <v>86598</v>
      </c>
      <c r="J69" s="57">
        <v>476436.64545927499</v>
      </c>
      <c r="K69" s="40"/>
      <c r="L69" s="55">
        <v>2154701.7970178798</v>
      </c>
      <c r="M69" s="43"/>
      <c r="N69" s="55">
        <v>912744.382819533</v>
      </c>
      <c r="O69" s="40"/>
      <c r="P69" s="55">
        <v>16202408.1588894</v>
      </c>
      <c r="Q69" s="43"/>
      <c r="R69" s="55">
        <v>22660192.972158801</v>
      </c>
      <c r="S69" s="43"/>
      <c r="T69" s="43">
        <v>86643211.826496497</v>
      </c>
      <c r="U69" s="40"/>
      <c r="V69" s="55">
        <v>118564.130970579</v>
      </c>
      <c r="W69" s="43"/>
      <c r="X69" s="55">
        <v>297798.91401062201</v>
      </c>
      <c r="Y69" s="40"/>
      <c r="Z69" s="40">
        <f t="shared" si="21"/>
        <v>-326492.89089363441</v>
      </c>
      <c r="AA69" s="40"/>
      <c r="AB69" s="40">
        <f t="shared" si="22"/>
        <v>-39801280.810113907</v>
      </c>
      <c r="AC69" s="17"/>
      <c r="AD69" s="40"/>
      <c r="AE69" s="40"/>
      <c r="AF69" s="40">
        <f>AZ69/100*AF25</f>
        <v>6006404150.9037733</v>
      </c>
      <c r="AG69" s="44">
        <f t="shared" si="28"/>
        <v>4.4192709454339537E-3</v>
      </c>
      <c r="AH69" s="44">
        <f t="shared" si="23"/>
        <v>-6.6264739784659809E-3</v>
      </c>
      <c r="AT69" s="39">
        <v>12152930</v>
      </c>
      <c r="AV69" s="39">
        <f t="shared" si="24"/>
        <v>-2.8222849926929148E-5</v>
      </c>
      <c r="AW69" s="56">
        <v>6463.7338694341997</v>
      </c>
      <c r="AX69" s="44">
        <f t="shared" si="25"/>
        <v>4.4476193198535524E-3</v>
      </c>
      <c r="AY69" s="39">
        <f t="shared" si="29"/>
        <v>96.168496632869349</v>
      </c>
      <c r="AZ69" s="39">
        <f t="shared" si="19"/>
        <v>104.51328509862797</v>
      </c>
      <c r="BB69" s="44">
        <f t="shared" si="20"/>
        <v>1.2641512945166194E-2</v>
      </c>
    </row>
    <row r="70" spans="1:54" s="29" customFormat="1">
      <c r="A70" s="29">
        <f t="shared" si="26"/>
        <v>2029</v>
      </c>
      <c r="B70" s="29">
        <f t="shared" si="27"/>
        <v>1</v>
      </c>
      <c r="C70" s="30"/>
      <c r="D70" s="33">
        <v>110313968.513328</v>
      </c>
      <c r="E70" s="30"/>
      <c r="F70" s="33">
        <v>20050869.588564701</v>
      </c>
      <c r="G70" s="59">
        <v>2901958</v>
      </c>
      <c r="H70" s="59">
        <v>15965716.6999666</v>
      </c>
      <c r="I70" s="59">
        <v>89751</v>
      </c>
      <c r="J70" s="59">
        <v>493783.521173877</v>
      </c>
      <c r="K70" s="30"/>
      <c r="L70" s="52">
        <v>2665752.54217039</v>
      </c>
      <c r="M70" s="33"/>
      <c r="N70" s="52">
        <v>914833.11350810505</v>
      </c>
      <c r="O70" s="30"/>
      <c r="P70" s="52">
        <v>18865744.484892201</v>
      </c>
      <c r="Q70" s="33"/>
      <c r="R70" s="52">
        <v>19800794.228359502</v>
      </c>
      <c r="S70" s="33"/>
      <c r="T70" s="33">
        <v>75710052.900629804</v>
      </c>
      <c r="U70" s="30"/>
      <c r="V70" s="52">
        <v>123899.96897435001</v>
      </c>
      <c r="W70" s="33"/>
      <c r="X70" s="52">
        <v>311201.00071131199</v>
      </c>
      <c r="Y70" s="30"/>
      <c r="Z70" s="30">
        <f t="shared" si="21"/>
        <v>-3706761.0469093472</v>
      </c>
      <c r="AA70" s="30"/>
      <c r="AB70" s="30">
        <f t="shared" si="22"/>
        <v>-53469660.097590402</v>
      </c>
      <c r="AC70" s="17"/>
      <c r="AD70" s="30"/>
      <c r="AE70" s="30"/>
      <c r="AF70" s="30">
        <f>AZ70/100*AF25</f>
        <v>5998944123.4612532</v>
      </c>
      <c r="AG70" s="34">
        <f t="shared" si="28"/>
        <v>-1.2420122347907014E-3</v>
      </c>
      <c r="AH70" s="34">
        <f t="shared" si="23"/>
        <v>-8.9131785522849043E-3</v>
      </c>
      <c r="AT70" s="29">
        <v>12152424</v>
      </c>
      <c r="AV70" s="29">
        <f t="shared" si="24"/>
        <v>-4.1636049907306307E-5</v>
      </c>
      <c r="AW70" s="53">
        <v>6455.9746341680002</v>
      </c>
      <c r="AX70" s="34">
        <f t="shared" si="25"/>
        <v>-1.2004261658871084E-3</v>
      </c>
      <c r="AY70" s="29">
        <f t="shared" si="29"/>
        <v>96.053053453177228</v>
      </c>
      <c r="AZ70" s="29">
        <f t="shared" si="19"/>
        <v>104.38347831983732</v>
      </c>
      <c r="BB70" s="34">
        <f t="shared" si="20"/>
        <v>1.4404907123372505E-2</v>
      </c>
    </row>
    <row r="71" spans="1:54" s="39" customFormat="1">
      <c r="A71" s="39">
        <f t="shared" si="26"/>
        <v>2029</v>
      </c>
      <c r="B71" s="39">
        <f t="shared" si="27"/>
        <v>2</v>
      </c>
      <c r="C71" s="40"/>
      <c r="D71" s="43">
        <v>110134076.41123401</v>
      </c>
      <c r="E71" s="40"/>
      <c r="F71" s="43">
        <v>20018172.069585901</v>
      </c>
      <c r="G71" s="57">
        <v>2991339</v>
      </c>
      <c r="H71" s="57">
        <v>16457464.5903081</v>
      </c>
      <c r="I71" s="57">
        <v>92515</v>
      </c>
      <c r="J71" s="57">
        <v>508990.23366203503</v>
      </c>
      <c r="K71" s="40"/>
      <c r="L71" s="55">
        <v>2149786.8358976902</v>
      </c>
      <c r="M71" s="43"/>
      <c r="N71" s="55">
        <v>914046.79083025095</v>
      </c>
      <c r="O71" s="40"/>
      <c r="P71" s="55">
        <v>16184069.866874499</v>
      </c>
      <c r="Q71" s="43"/>
      <c r="R71" s="55">
        <v>22582373.150247801</v>
      </c>
      <c r="S71" s="43"/>
      <c r="T71" s="43">
        <v>86345660.992643401</v>
      </c>
      <c r="U71" s="40"/>
      <c r="V71" s="55">
        <v>121503.527210271</v>
      </c>
      <c r="W71" s="43"/>
      <c r="X71" s="55">
        <v>305181.82991327799</v>
      </c>
      <c r="Y71" s="40"/>
      <c r="Z71" s="40">
        <f t="shared" si="21"/>
        <v>-378129.01885576919</v>
      </c>
      <c r="AA71" s="40"/>
      <c r="AB71" s="40">
        <f t="shared" si="22"/>
        <v>-39972485.285465106</v>
      </c>
      <c r="AC71" s="17"/>
      <c r="AD71" s="40"/>
      <c r="AE71" s="40"/>
      <c r="AF71" s="40">
        <f>AZ71/100*AF25</f>
        <v>5993622206.2095165</v>
      </c>
      <c r="AG71" s="44">
        <f t="shared" si="28"/>
        <v>-8.8714232741778174E-4</v>
      </c>
      <c r="AH71" s="44">
        <f t="shared" si="23"/>
        <v>-6.6691699793912243E-3</v>
      </c>
      <c r="AT71" s="39">
        <v>12189036</v>
      </c>
      <c r="AV71" s="39">
        <f t="shared" si="24"/>
        <v>3.0127322746474282E-3</v>
      </c>
      <c r="AW71" s="56">
        <v>6430.8727678634004</v>
      </c>
      <c r="AX71" s="44">
        <f t="shared" si="25"/>
        <v>-3.8881606150911871E-3</v>
      </c>
      <c r="AY71" s="39">
        <f t="shared" si="29"/>
        <v>95.67958375378133</v>
      </c>
      <c r="AZ71" s="39">
        <f t="shared" si="19"/>
        <v>104.29087531793668</v>
      </c>
      <c r="BB71" s="44">
        <f t="shared" ref="BB71:BB102" si="30">T78/AF78</f>
        <v>1.2573299913534735E-2</v>
      </c>
    </row>
    <row r="72" spans="1:54" s="39" customFormat="1">
      <c r="A72" s="39">
        <f t="shared" si="26"/>
        <v>2029</v>
      </c>
      <c r="B72" s="39">
        <f t="shared" si="27"/>
        <v>3</v>
      </c>
      <c r="C72" s="40"/>
      <c r="D72" s="43">
        <v>110370480.74977501</v>
      </c>
      <c r="E72" s="40"/>
      <c r="F72" s="43">
        <v>20061141.356486998</v>
      </c>
      <c r="G72" s="57">
        <v>3076987</v>
      </c>
      <c r="H72" s="57">
        <v>16928674.616062701</v>
      </c>
      <c r="I72" s="57">
        <v>95164</v>
      </c>
      <c r="J72" s="57">
        <v>523564.25008067698</v>
      </c>
      <c r="K72" s="40"/>
      <c r="L72" s="55">
        <v>2100064.1171913501</v>
      </c>
      <c r="M72" s="43"/>
      <c r="N72" s="55">
        <v>916977.31956028903</v>
      </c>
      <c r="O72" s="40"/>
      <c r="P72" s="55">
        <v>15942181.347562401</v>
      </c>
      <c r="Q72" s="43"/>
      <c r="R72" s="55">
        <v>19873452.8472762</v>
      </c>
      <c r="S72" s="43"/>
      <c r="T72" s="43">
        <v>75987869.427503601</v>
      </c>
      <c r="U72" s="40"/>
      <c r="V72" s="55">
        <v>124256.65770182</v>
      </c>
      <c r="W72" s="43"/>
      <c r="X72" s="55">
        <v>312096.89995850401</v>
      </c>
      <c r="Y72" s="40"/>
      <c r="Z72" s="40">
        <f t="shared" si="21"/>
        <v>-3080473.2882606164</v>
      </c>
      <c r="AA72" s="40"/>
      <c r="AB72" s="40">
        <f t="shared" si="22"/>
        <v>-50324792.669833809</v>
      </c>
      <c r="AC72" s="17"/>
      <c r="AD72" s="40"/>
      <c r="AE72" s="40"/>
      <c r="AF72" s="40">
        <f>AZ72/100*AF25</f>
        <v>6041162198.5904131</v>
      </c>
      <c r="AG72" s="44">
        <f t="shared" si="28"/>
        <v>7.931763255222218E-3</v>
      </c>
      <c r="AH72" s="44">
        <f t="shared" si="23"/>
        <v>-8.3303164218262692E-3</v>
      </c>
      <c r="AT72" s="39">
        <v>12297967</v>
      </c>
      <c r="AV72" s="39">
        <f t="shared" si="24"/>
        <v>8.9368018931111539E-3</v>
      </c>
      <c r="AW72" s="56">
        <v>6424.4667416435996</v>
      </c>
      <c r="AX72" s="44">
        <f t="shared" si="25"/>
        <v>-9.9613636454033336E-4</v>
      </c>
      <c r="AY72" s="39">
        <f t="shared" si="29"/>
        <v>95.58427384106011</v>
      </c>
      <c r="AZ72" s="39">
        <f t="shared" si="19"/>
        <v>105.11808585063847</v>
      </c>
      <c r="BB72" s="44">
        <f t="shared" si="30"/>
        <v>1.4416176559456217E-2</v>
      </c>
    </row>
    <row r="73" spans="1:54" s="39" customFormat="1">
      <c r="A73" s="39">
        <f t="shared" si="26"/>
        <v>2029</v>
      </c>
      <c r="B73" s="39">
        <f t="shared" si="27"/>
        <v>4</v>
      </c>
      <c r="C73" s="40"/>
      <c r="D73" s="43">
        <v>110276536.292372</v>
      </c>
      <c r="E73" s="40"/>
      <c r="F73" s="43">
        <v>20044065.8393123</v>
      </c>
      <c r="G73" s="57">
        <v>3165394</v>
      </c>
      <c r="H73" s="57">
        <v>17415063.8457807</v>
      </c>
      <c r="I73" s="57">
        <v>97898</v>
      </c>
      <c r="J73" s="57">
        <v>538605.91142026603</v>
      </c>
      <c r="K73" s="40"/>
      <c r="L73" s="55">
        <v>2130486.6560118399</v>
      </c>
      <c r="M73" s="43"/>
      <c r="N73" s="55">
        <v>916678.65477236395</v>
      </c>
      <c r="O73" s="40"/>
      <c r="P73" s="55">
        <v>16098400.880581699</v>
      </c>
      <c r="Q73" s="43"/>
      <c r="R73" s="55">
        <v>22823166.742247298</v>
      </c>
      <c r="S73" s="43"/>
      <c r="T73" s="43">
        <v>87266356.161643401</v>
      </c>
      <c r="U73" s="40"/>
      <c r="V73" s="55">
        <v>123109.019436833</v>
      </c>
      <c r="W73" s="43"/>
      <c r="X73" s="55">
        <v>309214.36351014802</v>
      </c>
      <c r="Y73" s="40"/>
      <c r="Z73" s="40">
        <f t="shared" si="21"/>
        <v>-144955.38841237128</v>
      </c>
      <c r="AA73" s="40"/>
      <c r="AB73" s="40">
        <f t="shared" si="22"/>
        <v>-39108581.011310294</v>
      </c>
      <c r="AC73" s="17"/>
      <c r="AD73" s="40"/>
      <c r="AE73" s="40"/>
      <c r="AF73" s="40">
        <f>AZ73/100*AF25</f>
        <v>6065507165.432889</v>
      </c>
      <c r="AG73" s="44">
        <f t="shared" si="28"/>
        <v>4.0298482381678664E-3</v>
      </c>
      <c r="AH73" s="44">
        <f t="shared" si="23"/>
        <v>-6.4477017246288518E-3</v>
      </c>
      <c r="AT73" s="39">
        <v>12332737</v>
      </c>
      <c r="AV73" s="39">
        <f t="shared" si="24"/>
        <v>2.8272965767431315E-3</v>
      </c>
      <c r="AW73" s="56">
        <v>6432.1707133846003</v>
      </c>
      <c r="AX73" s="44">
        <f t="shared" si="25"/>
        <v>1.1991612768517148E-3</v>
      </c>
      <c r="AY73" s="39">
        <f t="shared" si="29"/>
        <v>95.698894800926311</v>
      </c>
      <c r="AZ73" s="39">
        <f t="shared" si="19"/>
        <v>105.54169578370323</v>
      </c>
      <c r="BB73" s="44">
        <f t="shared" si="30"/>
        <v>1.2589143071912688E-2</v>
      </c>
    </row>
    <row r="74" spans="1:54" s="29" customFormat="1">
      <c r="A74" s="29">
        <f t="shared" si="26"/>
        <v>2030</v>
      </c>
      <c r="B74" s="29">
        <f t="shared" si="27"/>
        <v>1</v>
      </c>
      <c r="C74" s="30"/>
      <c r="D74" s="33">
        <v>110777945.759174</v>
      </c>
      <c r="E74" s="30"/>
      <c r="F74" s="33">
        <v>20135202.945200302</v>
      </c>
      <c r="G74" s="59">
        <v>3277989</v>
      </c>
      <c r="H74" s="59">
        <v>18034528.314884901</v>
      </c>
      <c r="I74" s="59">
        <v>101381</v>
      </c>
      <c r="J74" s="59">
        <v>557768.34976912604</v>
      </c>
      <c r="K74" s="30"/>
      <c r="L74" s="52">
        <v>2627557.8240132802</v>
      </c>
      <c r="M74" s="33"/>
      <c r="N74" s="52">
        <v>922988.91713305598</v>
      </c>
      <c r="O74" s="30"/>
      <c r="P74" s="52">
        <v>18712422.735998299</v>
      </c>
      <c r="Q74" s="33"/>
      <c r="R74" s="52">
        <v>20009965.437654</v>
      </c>
      <c r="S74" s="33"/>
      <c r="T74" s="33">
        <v>76509837.148591399</v>
      </c>
      <c r="U74" s="30"/>
      <c r="V74" s="52">
        <v>120002.246541068</v>
      </c>
      <c r="W74" s="33"/>
      <c r="X74" s="52">
        <v>301411.04570346698</v>
      </c>
      <c r="Y74" s="30"/>
      <c r="Z74" s="30">
        <f t="shared" si="21"/>
        <v>-3555782.0021515694</v>
      </c>
      <c r="AA74" s="30"/>
      <c r="AB74" s="30">
        <f t="shared" si="22"/>
        <v>-52980531.346580908</v>
      </c>
      <c r="AC74" s="17"/>
      <c r="AD74" s="30"/>
      <c r="AE74" s="30"/>
      <c r="AF74" s="30">
        <f>AZ74/100*AF25</f>
        <v>6060312341.4121542</v>
      </c>
      <c r="AG74" s="34">
        <f t="shared" si="28"/>
        <v>-8.5645336474745356E-4</v>
      </c>
      <c r="AH74" s="34">
        <f t="shared" si="23"/>
        <v>-8.7422113518056E-3</v>
      </c>
      <c r="AT74" s="29">
        <v>12263771</v>
      </c>
      <c r="AV74" s="29">
        <f t="shared" si="24"/>
        <v>-5.592108223827363E-3</v>
      </c>
      <c r="AW74" s="53">
        <v>6462.8025504257002</v>
      </c>
      <c r="AX74" s="34">
        <f t="shared" si="25"/>
        <v>4.7622860782221893E-3</v>
      </c>
      <c r="AY74" s="29">
        <f t="shared" si="29"/>
        <v>96.154640315338014</v>
      </c>
      <c r="AZ74" s="29">
        <f t="shared" si="19"/>
        <v>105.45130424322812</v>
      </c>
      <c r="BB74" s="34">
        <f t="shared" si="30"/>
        <v>1.4352945010789266E-2</v>
      </c>
    </row>
    <row r="75" spans="1:54" s="39" customFormat="1">
      <c r="A75" s="39">
        <f t="shared" si="26"/>
        <v>2030</v>
      </c>
      <c r="B75" s="39">
        <f t="shared" si="27"/>
        <v>2</v>
      </c>
      <c r="C75" s="40"/>
      <c r="D75" s="43">
        <v>111413145.702365</v>
      </c>
      <c r="E75" s="40"/>
      <c r="F75" s="43">
        <v>20250658.053879999</v>
      </c>
      <c r="G75" s="57">
        <v>3388179</v>
      </c>
      <c r="H75" s="57">
        <v>18640761.183578901</v>
      </c>
      <c r="I75" s="57">
        <v>104789</v>
      </c>
      <c r="J75" s="57">
        <v>576518.16024656501</v>
      </c>
      <c r="K75" s="40"/>
      <c r="L75" s="55">
        <v>2143117.1862942898</v>
      </c>
      <c r="M75" s="43"/>
      <c r="N75" s="55">
        <v>930514.13302452501</v>
      </c>
      <c r="O75" s="40"/>
      <c r="P75" s="55">
        <v>16240059.4814777</v>
      </c>
      <c r="Q75" s="43"/>
      <c r="R75" s="55">
        <v>22812721.245011501</v>
      </c>
      <c r="S75" s="43"/>
      <c r="T75" s="43">
        <v>87226416.897633404</v>
      </c>
      <c r="U75" s="40"/>
      <c r="V75" s="55">
        <v>123950.351907894</v>
      </c>
      <c r="W75" s="43"/>
      <c r="X75" s="55">
        <v>311327.54811457102</v>
      </c>
      <c r="Y75" s="40"/>
      <c r="Z75" s="40">
        <f t="shared" si="21"/>
        <v>-387617.77627941966</v>
      </c>
      <c r="AA75" s="40"/>
      <c r="AB75" s="40">
        <f t="shared" si="22"/>
        <v>-40426788.2862093</v>
      </c>
      <c r="AC75" s="17"/>
      <c r="AD75" s="40"/>
      <c r="AE75" s="40"/>
      <c r="AF75" s="40">
        <f>AZ75/100*AF25</f>
        <v>6048503131.6800919</v>
      </c>
      <c r="AG75" s="44">
        <f t="shared" si="28"/>
        <v>-1.948614042772356E-3</v>
      </c>
      <c r="AH75" s="44">
        <f t="shared" si="23"/>
        <v>-6.6837674389994004E-3</v>
      </c>
      <c r="AT75" s="39">
        <v>12268962</v>
      </c>
      <c r="AV75" s="39">
        <f t="shared" si="24"/>
        <v>4.2327926703784668E-4</v>
      </c>
      <c r="AW75" s="56">
        <v>6447.4799580294002</v>
      </c>
      <c r="AX75" s="44">
        <f t="shared" si="25"/>
        <v>-2.3708897613297403E-3</v>
      </c>
      <c r="AY75" s="39">
        <f t="shared" si="29"/>
        <v>95.926668263110045</v>
      </c>
      <c r="AZ75" s="39">
        <f t="shared" si="19"/>
        <v>105.24582035095111</v>
      </c>
      <c r="BB75" s="44">
        <f t="shared" si="30"/>
        <v>1.2527322411550789E-2</v>
      </c>
    </row>
    <row r="76" spans="1:54" s="39" customFormat="1">
      <c r="A76" s="39">
        <f t="shared" si="26"/>
        <v>2030</v>
      </c>
      <c r="B76" s="39">
        <f t="shared" si="27"/>
        <v>3</v>
      </c>
      <c r="C76" s="40"/>
      <c r="D76" s="43">
        <v>111378375.468619</v>
      </c>
      <c r="E76" s="40"/>
      <c r="F76" s="43">
        <v>20244338.152313501</v>
      </c>
      <c r="G76" s="57">
        <v>3477464</v>
      </c>
      <c r="H76" s="57">
        <v>19131980.910245001</v>
      </c>
      <c r="I76" s="57">
        <v>107551</v>
      </c>
      <c r="J76" s="57">
        <v>591713.86932481697</v>
      </c>
      <c r="K76" s="40"/>
      <c r="L76" s="55">
        <v>2151171.13317648</v>
      </c>
      <c r="M76" s="43"/>
      <c r="N76" s="55">
        <v>932292.27336124005</v>
      </c>
      <c r="O76" s="40"/>
      <c r="P76" s="55">
        <v>16291634.2536327</v>
      </c>
      <c r="Q76" s="43"/>
      <c r="R76" s="55">
        <v>19895108.659077</v>
      </c>
      <c r="S76" s="43"/>
      <c r="T76" s="43">
        <v>76070672.300870106</v>
      </c>
      <c r="U76" s="40"/>
      <c r="V76" s="55">
        <v>125177.57022444</v>
      </c>
      <c r="W76" s="43"/>
      <c r="X76" s="55">
        <v>314409.966708878</v>
      </c>
      <c r="Y76" s="40"/>
      <c r="Z76" s="40">
        <f t="shared" si="21"/>
        <v>-3307515.3295497783</v>
      </c>
      <c r="AA76" s="40"/>
      <c r="AB76" s="40">
        <f t="shared" si="22"/>
        <v>-51599337.4213816</v>
      </c>
      <c r="AC76" s="17"/>
      <c r="AD76" s="40"/>
      <c r="AE76" s="40"/>
      <c r="AF76" s="40">
        <f>AZ76/100*AF25</f>
        <v>6017529122.5689621</v>
      </c>
      <c r="AG76" s="44">
        <f t="shared" si="28"/>
        <v>-5.1209379307250377E-3</v>
      </c>
      <c r="AH76" s="44">
        <f t="shared" si="23"/>
        <v>-8.5748380058280737E-3</v>
      </c>
      <c r="AT76" s="39">
        <v>12233743</v>
      </c>
      <c r="AV76" s="39">
        <f t="shared" si="24"/>
        <v>-2.8705769893166188E-3</v>
      </c>
      <c r="AW76" s="56">
        <v>6432.9290314062</v>
      </c>
      <c r="AX76" s="44">
        <f t="shared" si="25"/>
        <v>-2.2568393725798472E-3</v>
      </c>
      <c r="AY76" s="39">
        <f t="shared" si="29"/>
        <v>95.71017718129346</v>
      </c>
      <c r="AZ76" s="39">
        <f t="shared" si="19"/>
        <v>104.70686303746567</v>
      </c>
      <c r="BB76" s="44">
        <f t="shared" si="30"/>
        <v>1.4279861642596417E-2</v>
      </c>
    </row>
    <row r="77" spans="1:54" s="39" customFormat="1">
      <c r="A77" s="39">
        <f t="shared" si="26"/>
        <v>2030</v>
      </c>
      <c r="B77" s="39">
        <f t="shared" si="27"/>
        <v>4</v>
      </c>
      <c r="C77" s="40"/>
      <c r="D77" s="43">
        <v>111931120.396046</v>
      </c>
      <c r="E77" s="40"/>
      <c r="F77" s="43">
        <v>20344806.085839398</v>
      </c>
      <c r="G77" s="57">
        <v>3545104</v>
      </c>
      <c r="H77" s="57">
        <v>19504116.233218499</v>
      </c>
      <c r="I77" s="57">
        <v>109642</v>
      </c>
      <c r="J77" s="57">
        <v>603217.93438007694</v>
      </c>
      <c r="K77" s="40"/>
      <c r="L77" s="55">
        <v>2128041.4855484902</v>
      </c>
      <c r="M77" s="43"/>
      <c r="N77" s="55">
        <v>938207.57823257195</v>
      </c>
      <c r="O77" s="40"/>
      <c r="P77" s="55">
        <v>16204158.664242201</v>
      </c>
      <c r="Q77" s="43"/>
      <c r="R77" s="55">
        <v>22718426.235788599</v>
      </c>
      <c r="S77" s="43"/>
      <c r="T77" s="43">
        <v>86865871.757160902</v>
      </c>
      <c r="U77" s="40"/>
      <c r="V77" s="55">
        <v>124693.66978759901</v>
      </c>
      <c r="W77" s="43"/>
      <c r="X77" s="55">
        <v>313194.54832389898</v>
      </c>
      <c r="Y77" s="40"/>
      <c r="Z77" s="40">
        <f t="shared" si="21"/>
        <v>-567935.24404425919</v>
      </c>
      <c r="AA77" s="40"/>
      <c r="AB77" s="40">
        <f t="shared" si="22"/>
        <v>-41269407.303127304</v>
      </c>
      <c r="AC77" s="17"/>
      <c r="AD77" s="40"/>
      <c r="AE77" s="40"/>
      <c r="AF77" s="40">
        <f>AZ77/100*AF25</f>
        <v>6030297246.1528578</v>
      </c>
      <c r="AG77" s="44">
        <f t="shared" si="28"/>
        <v>2.1218216520146735E-3</v>
      </c>
      <c r="AH77" s="44">
        <f t="shared" si="23"/>
        <v>-6.8436771221279192E-3</v>
      </c>
      <c r="AT77" s="39">
        <v>12240268</v>
      </c>
      <c r="AV77" s="39">
        <f t="shared" si="24"/>
        <v>5.3336088554418711E-4</v>
      </c>
      <c r="AW77" s="56">
        <v>6443.1420395670002</v>
      </c>
      <c r="AX77" s="44">
        <f t="shared" si="25"/>
        <v>1.5876139952639423E-3</v>
      </c>
      <c r="AY77" s="39">
        <f t="shared" si="29"/>
        <v>95.862127998075678</v>
      </c>
      <c r="AZ77" s="39">
        <f t="shared" si="19"/>
        <v>104.92903232657309</v>
      </c>
      <c r="BB77" s="44">
        <f t="shared" si="30"/>
        <v>1.2448747131608363E-2</v>
      </c>
    </row>
    <row r="78" spans="1:54" s="29" customFormat="1">
      <c r="A78" s="29">
        <f t="shared" si="26"/>
        <v>2031</v>
      </c>
      <c r="B78" s="29">
        <f t="shared" si="27"/>
        <v>1</v>
      </c>
      <c r="C78" s="30"/>
      <c r="D78" s="33">
        <v>111849583.89227</v>
      </c>
      <c r="E78" s="30"/>
      <c r="F78" s="33">
        <v>20329985.8611122</v>
      </c>
      <c r="G78" s="59">
        <v>3643760</v>
      </c>
      <c r="H78" s="59">
        <v>20046892.436992601</v>
      </c>
      <c r="I78" s="59">
        <v>112694</v>
      </c>
      <c r="J78" s="59">
        <v>620009.13789449597</v>
      </c>
      <c r="K78" s="30"/>
      <c r="L78" s="52">
        <v>2648942.2649145699</v>
      </c>
      <c r="M78" s="33"/>
      <c r="N78" s="52">
        <v>938619.13592797099</v>
      </c>
      <c r="O78" s="30"/>
      <c r="P78" s="52">
        <v>18909379.5536419</v>
      </c>
      <c r="Q78" s="33"/>
      <c r="R78" s="52">
        <v>19926103.269922499</v>
      </c>
      <c r="S78" s="33"/>
      <c r="T78" s="33">
        <v>76189182.881793499</v>
      </c>
      <c r="U78" s="30"/>
      <c r="V78" s="52">
        <v>122759.68462954101</v>
      </c>
      <c r="W78" s="33"/>
      <c r="X78" s="52">
        <v>308336.93519025098</v>
      </c>
      <c r="Y78" s="30"/>
      <c r="Z78" s="30">
        <f t="shared" ref="Z78:Z109" si="31">R78+V78-N78-L78-F78</f>
        <v>-3868684.307402702</v>
      </c>
      <c r="AA78" s="30"/>
      <c r="AB78" s="30">
        <f t="shared" ref="AB78:AB109" si="32">T78-P78-D78</f>
        <v>-54569780.5641184</v>
      </c>
      <c r="AC78" s="17"/>
      <c r="AD78" s="30"/>
      <c r="AE78" s="30"/>
      <c r="AF78" s="30">
        <f>AZ78/100*AF25</f>
        <v>6059601171.1912165</v>
      </c>
      <c r="AG78" s="34">
        <f t="shared" si="28"/>
        <v>4.8594495166973204E-3</v>
      </c>
      <c r="AH78" s="34">
        <f t="shared" ref="AH78:AH109" si="33">AB78/AF78</f>
        <v>-9.0055069669528909E-3</v>
      </c>
      <c r="AT78" s="29">
        <v>12324470</v>
      </c>
      <c r="AV78" s="29">
        <f t="shared" si="24"/>
        <v>6.8790977452454476E-3</v>
      </c>
      <c r="AW78" s="53">
        <v>6430.2180644485998</v>
      </c>
      <c r="AX78" s="34">
        <f t="shared" si="25"/>
        <v>-2.0058497917685176E-3</v>
      </c>
      <c r="AY78" s="29">
        <f t="shared" si="29"/>
        <v>95.669842968592249</v>
      </c>
      <c r="AZ78" s="29">
        <f t="shared" si="19"/>
        <v>105.43892966199996</v>
      </c>
      <c r="BB78" s="34">
        <f t="shared" si="30"/>
        <v>1.4270747693223762E-2</v>
      </c>
    </row>
    <row r="79" spans="1:54" s="39" customFormat="1">
      <c r="A79" s="39">
        <f t="shared" si="26"/>
        <v>2031</v>
      </c>
      <c r="B79" s="39">
        <f t="shared" si="27"/>
        <v>2</v>
      </c>
      <c r="C79" s="40"/>
      <c r="D79" s="43">
        <v>111818530.838709</v>
      </c>
      <c r="E79" s="40"/>
      <c r="F79" s="43">
        <v>20324341.601045601</v>
      </c>
      <c r="G79" s="57">
        <v>3782623</v>
      </c>
      <c r="H79" s="57">
        <v>20810875.691783901</v>
      </c>
      <c r="I79" s="57">
        <v>116989</v>
      </c>
      <c r="J79" s="57">
        <v>643638.96066462505</v>
      </c>
      <c r="K79" s="40"/>
      <c r="L79" s="55">
        <v>2091674.71571344</v>
      </c>
      <c r="M79" s="43"/>
      <c r="N79" s="55">
        <v>939226.58166522905</v>
      </c>
      <c r="O79" s="40"/>
      <c r="P79" s="55">
        <v>16021057.578919699</v>
      </c>
      <c r="Q79" s="43"/>
      <c r="R79" s="55">
        <v>22758492.786373898</v>
      </c>
      <c r="S79" s="43"/>
      <c r="T79" s="43">
        <v>87019069.685959905</v>
      </c>
      <c r="U79" s="40"/>
      <c r="V79" s="55">
        <v>119164.97381733901</v>
      </c>
      <c r="W79" s="43"/>
      <c r="X79" s="55">
        <v>299308.05801388499</v>
      </c>
      <c r="Y79" s="40"/>
      <c r="Z79" s="40">
        <f t="shared" si="31"/>
        <v>-477585.1382330358</v>
      </c>
      <c r="AA79" s="40"/>
      <c r="AB79" s="40">
        <f t="shared" si="32"/>
        <v>-40820518.731668785</v>
      </c>
      <c r="AC79" s="17"/>
      <c r="AD79" s="40"/>
      <c r="AE79" s="40"/>
      <c r="AF79" s="40">
        <f>AZ79/100*AF25</f>
        <v>6036210039.9554415</v>
      </c>
      <c r="AG79" s="44">
        <f t="shared" si="28"/>
        <v>-3.8601766972687886E-3</v>
      </c>
      <c r="AH79" s="44">
        <f t="shared" si="33"/>
        <v>-6.7626074078711348E-3</v>
      </c>
      <c r="AT79" s="39">
        <v>12285093</v>
      </c>
      <c r="AV79" s="39">
        <f t="shared" ref="AV79:AV110" si="34">(AT79-AT78)/AT78</f>
        <v>-3.195025830725378E-3</v>
      </c>
      <c r="AW79" s="56">
        <v>6425.9272901963996</v>
      </c>
      <c r="AX79" s="44">
        <f t="shared" ref="AX79:AX110" si="35">(AW79-AW78)/AW78</f>
        <v>-6.6728285249345555E-4</v>
      </c>
      <c r="AY79" s="39">
        <f t="shared" si="29"/>
        <v>95.606004122878574</v>
      </c>
      <c r="AZ79" s="39">
        <f t="shared" si="19"/>
        <v>105.03191676273376</v>
      </c>
      <c r="BB79" s="44">
        <f t="shared" si="30"/>
        <v>1.2482023046215254E-2</v>
      </c>
    </row>
    <row r="80" spans="1:54" s="39" customFormat="1">
      <c r="A80" s="39">
        <f t="shared" si="26"/>
        <v>2031</v>
      </c>
      <c r="B80" s="39">
        <f t="shared" si="27"/>
        <v>3</v>
      </c>
      <c r="C80" s="40"/>
      <c r="D80" s="43">
        <v>111878964.082856</v>
      </c>
      <c r="E80" s="40"/>
      <c r="F80" s="43">
        <v>20335326.058531102</v>
      </c>
      <c r="G80" s="57">
        <v>3857615</v>
      </c>
      <c r="H80" s="57">
        <v>21223459.549566802</v>
      </c>
      <c r="I80" s="57">
        <v>119307</v>
      </c>
      <c r="J80" s="57">
        <v>656391.91274405597</v>
      </c>
      <c r="K80" s="40"/>
      <c r="L80" s="55">
        <v>2133777.92207962</v>
      </c>
      <c r="M80" s="43"/>
      <c r="N80" s="55">
        <v>941368.68470839004</v>
      </c>
      <c r="O80" s="40"/>
      <c r="P80" s="55">
        <v>16251316.5358249</v>
      </c>
      <c r="Q80" s="43"/>
      <c r="R80" s="55">
        <v>19847533.347936299</v>
      </c>
      <c r="S80" s="43"/>
      <c r="T80" s="43">
        <v>75888763.975290403</v>
      </c>
      <c r="U80" s="40"/>
      <c r="V80" s="55">
        <v>118738.20731103201</v>
      </c>
      <c r="W80" s="43"/>
      <c r="X80" s="55">
        <v>298236.143590238</v>
      </c>
      <c r="Y80" s="40"/>
      <c r="Z80" s="40">
        <f t="shared" si="31"/>
        <v>-3444201.110071782</v>
      </c>
      <c r="AA80" s="40"/>
      <c r="AB80" s="40">
        <f t="shared" si="32"/>
        <v>-52241516.643390499</v>
      </c>
      <c r="AC80" s="17"/>
      <c r="AD80" s="40"/>
      <c r="AE80" s="40"/>
      <c r="AF80" s="40">
        <f>AZ80/100*AF25</f>
        <v>6028111964.5549078</v>
      </c>
      <c r="AG80" s="44">
        <f t="shared" si="28"/>
        <v>-1.3415827724565818E-3</v>
      </c>
      <c r="AH80" s="44">
        <f t="shared" si="33"/>
        <v>-8.6663149176008716E-3</v>
      </c>
      <c r="AT80" s="39">
        <v>12280491</v>
      </c>
      <c r="AV80" s="39">
        <f t="shared" si="34"/>
        <v>-3.7460033880085401E-4</v>
      </c>
      <c r="AW80" s="56">
        <v>6419.7112028383999</v>
      </c>
      <c r="AX80" s="44">
        <f t="shared" si="35"/>
        <v>-9.6734480134611899E-4</v>
      </c>
      <c r="AY80" s="39">
        <f t="shared" si="29"/>
        <v>95.513520151812841</v>
      </c>
      <c r="AZ80" s="39">
        <f t="shared" si="19"/>
        <v>104.89100775264677</v>
      </c>
      <c r="BB80" s="44">
        <f t="shared" si="30"/>
        <v>1.4297703809853374E-2</v>
      </c>
    </row>
    <row r="81" spans="1:54" s="39" customFormat="1">
      <c r="A81" s="39">
        <f t="shared" si="26"/>
        <v>2031</v>
      </c>
      <c r="B81" s="39">
        <f t="shared" si="27"/>
        <v>4</v>
      </c>
      <c r="C81" s="40"/>
      <c r="D81" s="43">
        <v>112124811.52918001</v>
      </c>
      <c r="E81" s="40"/>
      <c r="F81" s="43">
        <v>20380011.742052101</v>
      </c>
      <c r="G81" s="57">
        <v>3942821</v>
      </c>
      <c r="H81" s="57">
        <v>21692237.821732402</v>
      </c>
      <c r="I81" s="57">
        <v>121943</v>
      </c>
      <c r="J81" s="57">
        <v>670894.40699831897</v>
      </c>
      <c r="K81" s="40"/>
      <c r="L81" s="55">
        <v>2087143.85023336</v>
      </c>
      <c r="M81" s="43"/>
      <c r="N81" s="55">
        <v>944739.59783005295</v>
      </c>
      <c r="O81" s="40"/>
      <c r="P81" s="55">
        <v>16027877.8847409</v>
      </c>
      <c r="Q81" s="43"/>
      <c r="R81" s="55">
        <v>22590718.456254698</v>
      </c>
      <c r="S81" s="43"/>
      <c r="T81" s="43">
        <v>86377569.993462801</v>
      </c>
      <c r="U81" s="40"/>
      <c r="V81" s="55">
        <v>120520.338362097</v>
      </c>
      <c r="W81" s="43"/>
      <c r="X81" s="55">
        <v>302712.342987874</v>
      </c>
      <c r="Y81" s="40"/>
      <c r="Z81" s="40">
        <f t="shared" si="31"/>
        <v>-700656.39549871907</v>
      </c>
      <c r="AA81" s="40"/>
      <c r="AB81" s="40">
        <f t="shared" si="32"/>
        <v>-41775119.420458108</v>
      </c>
      <c r="AC81" s="17"/>
      <c r="AD81" s="40"/>
      <c r="AE81" s="40"/>
      <c r="AF81" s="40">
        <f>AZ81/100*AF25</f>
        <v>6018107777.0821133</v>
      </c>
      <c r="AG81" s="44">
        <f t="shared" si="28"/>
        <v>-1.6595888615902978E-3</v>
      </c>
      <c r="AH81" s="44">
        <f t="shared" si="33"/>
        <v>-6.9415705015360863E-3</v>
      </c>
      <c r="AT81" s="39">
        <v>12287012</v>
      </c>
      <c r="AV81" s="39">
        <f t="shared" si="34"/>
        <v>5.3100482708712542E-4</v>
      </c>
      <c r="AW81" s="56">
        <v>6405.6556875407996</v>
      </c>
      <c r="AX81" s="44">
        <f t="shared" si="35"/>
        <v>-2.1894310902001077E-3</v>
      </c>
      <c r="AY81" s="39">
        <f t="shared" si="29"/>
        <v>95.304399881258007</v>
      </c>
      <c r="AZ81" s="39">
        <f t="shared" si="19"/>
        <v>104.7169318044995</v>
      </c>
      <c r="BB81" s="44">
        <f t="shared" si="30"/>
        <v>1.2513799999613327E-2</v>
      </c>
    </row>
    <row r="82" spans="1:54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33">
        <v>112402053.114868</v>
      </c>
      <c r="E82" s="30"/>
      <c r="F82" s="33">
        <v>20430403.6820218</v>
      </c>
      <c r="G82" s="59">
        <v>4086254</v>
      </c>
      <c r="H82" s="59">
        <v>22481363.868155699</v>
      </c>
      <c r="I82" s="59">
        <v>126379</v>
      </c>
      <c r="J82" s="59">
        <v>695299.97016672196</v>
      </c>
      <c r="K82" s="30"/>
      <c r="L82" s="52">
        <v>2623281.4754372202</v>
      </c>
      <c r="M82" s="33"/>
      <c r="N82" s="52">
        <v>948119.23315008404</v>
      </c>
      <c r="O82" s="30"/>
      <c r="P82" s="52">
        <v>18828492.326991901</v>
      </c>
      <c r="Q82" s="33"/>
      <c r="R82" s="52">
        <v>19720474.372097299</v>
      </c>
      <c r="S82" s="33"/>
      <c r="T82" s="33">
        <v>75402942.968752697</v>
      </c>
      <c r="U82" s="30"/>
      <c r="V82" s="52">
        <v>124160.600250929</v>
      </c>
      <c r="W82" s="33"/>
      <c r="X82" s="52">
        <v>311855.63133599702</v>
      </c>
      <c r="Y82" s="30"/>
      <c r="Z82" s="30">
        <f t="shared" si="31"/>
        <v>-4157169.4182608761</v>
      </c>
      <c r="AA82" s="30"/>
      <c r="AB82" s="30">
        <f t="shared" si="32"/>
        <v>-55827602.473107204</v>
      </c>
      <c r="AC82" s="17"/>
      <c r="AD82" s="30"/>
      <c r="AE82" s="30"/>
      <c r="AF82" s="30">
        <f>AZ82/100*AF25</f>
        <v>6019078977.2623386</v>
      </c>
      <c r="AG82" s="34">
        <f t="shared" si="28"/>
        <v>1.6137965888943581E-4</v>
      </c>
      <c r="AH82" s="34">
        <f t="shared" si="33"/>
        <v>-9.275107152440008E-3</v>
      </c>
      <c r="AT82" s="29">
        <v>12271417</v>
      </c>
      <c r="AV82" s="29">
        <f t="shared" si="34"/>
        <v>-1.2692263993882322E-3</v>
      </c>
      <c r="AW82" s="53">
        <v>6414.8313033083996</v>
      </c>
      <c r="AX82" s="34">
        <f t="shared" si="35"/>
        <v>1.4324241287971273E-3</v>
      </c>
      <c r="AY82" s="29">
        <f t="shared" si="29"/>
        <v>95.44091620322844</v>
      </c>
      <c r="AZ82" s="29">
        <f t="shared" si="19"/>
        <v>104.73383098723406</v>
      </c>
      <c r="BB82" s="34">
        <f t="shared" si="30"/>
        <v>1.4318211574040998E-2</v>
      </c>
    </row>
    <row r="83" spans="1:54" s="39" customFormat="1">
      <c r="A83" s="39">
        <f t="shared" si="36"/>
        <v>2032</v>
      </c>
      <c r="B83" s="39">
        <f t="shared" si="37"/>
        <v>2</v>
      </c>
      <c r="C83" s="40"/>
      <c r="D83" s="43">
        <v>112488113.16314501</v>
      </c>
      <c r="E83" s="40"/>
      <c r="F83" s="43">
        <v>20446046.114508301</v>
      </c>
      <c r="G83" s="57">
        <v>4197969</v>
      </c>
      <c r="H83" s="57">
        <v>23095986.836901899</v>
      </c>
      <c r="I83" s="57">
        <v>129834</v>
      </c>
      <c r="J83" s="57">
        <v>714308.36077691801</v>
      </c>
      <c r="K83" s="40"/>
      <c r="L83" s="55">
        <v>2132877.38437089</v>
      </c>
      <c r="M83" s="43"/>
      <c r="N83" s="55">
        <v>950547.32079733501</v>
      </c>
      <c r="O83" s="40"/>
      <c r="P83" s="55">
        <v>16297141.7889993</v>
      </c>
      <c r="Q83" s="43"/>
      <c r="R83" s="55">
        <v>22589779.958208501</v>
      </c>
      <c r="S83" s="43"/>
      <c r="T83" s="43">
        <v>86373981.564841807</v>
      </c>
      <c r="U83" s="40"/>
      <c r="V83" s="55">
        <v>124842.498628877</v>
      </c>
      <c r="W83" s="43"/>
      <c r="X83" s="55">
        <v>313568.363464644</v>
      </c>
      <c r="Y83" s="40"/>
      <c r="Z83" s="40">
        <f t="shared" si="31"/>
        <v>-814848.36283914745</v>
      </c>
      <c r="AA83" s="40"/>
      <c r="AB83" s="40">
        <f t="shared" si="32"/>
        <v>-42411273.387302503</v>
      </c>
      <c r="AC83" s="17"/>
      <c r="AD83" s="40"/>
      <c r="AE83" s="40"/>
      <c r="AF83" s="40">
        <f>AZ83/100*AF25</f>
        <v>6048656753.5914145</v>
      </c>
      <c r="AG83" s="44">
        <f t="shared" si="28"/>
        <v>4.914003694054982E-3</v>
      </c>
      <c r="AH83" s="44">
        <f t="shared" si="33"/>
        <v>-7.0116845962734844E-3</v>
      </c>
      <c r="AT83" s="39">
        <v>12353060</v>
      </c>
      <c r="AV83" s="39">
        <f t="shared" si="34"/>
        <v>6.6531028975708346E-3</v>
      </c>
      <c r="AW83" s="56">
        <v>6403.7490069560999</v>
      </c>
      <c r="AX83" s="44">
        <f t="shared" si="35"/>
        <v>-1.727605267902217E-3</v>
      </c>
      <c r="AY83" s="39">
        <f t="shared" si="29"/>
        <v>95.276031973622338</v>
      </c>
      <c r="AZ83" s="39">
        <f t="shared" si="19"/>
        <v>105.24849341959786</v>
      </c>
      <c r="BB83" s="44">
        <f t="shared" si="30"/>
        <v>1.242588689413387E-2</v>
      </c>
    </row>
    <row r="84" spans="1:54" s="39" customFormat="1">
      <c r="A84" s="39">
        <f t="shared" si="36"/>
        <v>2032</v>
      </c>
      <c r="B84" s="39">
        <f t="shared" si="37"/>
        <v>3</v>
      </c>
      <c r="C84" s="40"/>
      <c r="D84" s="43">
        <v>112210541.671692</v>
      </c>
      <c r="E84" s="40"/>
      <c r="F84" s="43">
        <v>20395594.2102607</v>
      </c>
      <c r="G84" s="57">
        <v>4303147</v>
      </c>
      <c r="H84" s="57">
        <v>23674645.160374898</v>
      </c>
      <c r="I84" s="57">
        <v>133087</v>
      </c>
      <c r="J84" s="57">
        <v>732205.40698674996</v>
      </c>
      <c r="K84" s="40"/>
      <c r="L84" s="55">
        <v>2175746.1030230201</v>
      </c>
      <c r="M84" s="43"/>
      <c r="N84" s="55">
        <v>949493.59419776895</v>
      </c>
      <c r="O84" s="40"/>
      <c r="P84" s="55">
        <v>16513790.4810232</v>
      </c>
      <c r="Q84" s="43"/>
      <c r="R84" s="55">
        <v>19620319.003113501</v>
      </c>
      <c r="S84" s="43"/>
      <c r="T84" s="43">
        <v>75019990.234806895</v>
      </c>
      <c r="U84" s="40"/>
      <c r="V84" s="55">
        <v>121765.104139556</v>
      </c>
      <c r="W84" s="43"/>
      <c r="X84" s="55">
        <v>305838.83574492001</v>
      </c>
      <c r="Y84" s="40"/>
      <c r="Z84" s="40">
        <f t="shared" si="31"/>
        <v>-3778749.8002284337</v>
      </c>
      <c r="AA84" s="40"/>
      <c r="AB84" s="40">
        <f t="shared" si="32"/>
        <v>-53704341.917908303</v>
      </c>
      <c r="AC84" s="17"/>
      <c r="AD84" s="40"/>
      <c r="AE84" s="40"/>
      <c r="AF84" s="40">
        <f>AZ84/100*AF25</f>
        <v>6026308466.361659</v>
      </c>
      <c r="AG84" s="44">
        <f t="shared" si="28"/>
        <v>-3.6947520978911582E-3</v>
      </c>
      <c r="AH84" s="44">
        <f t="shared" si="33"/>
        <v>-8.9116483528318153E-3</v>
      </c>
      <c r="AT84" s="39">
        <v>12372476</v>
      </c>
      <c r="AV84" s="39">
        <f t="shared" si="34"/>
        <v>1.5717563097726393E-3</v>
      </c>
      <c r="AW84" s="56">
        <v>6370.0765338924002</v>
      </c>
      <c r="AX84" s="44">
        <f t="shared" si="35"/>
        <v>-5.2582437299030392E-3</v>
      </c>
      <c r="AY84" s="39">
        <f t="shared" si="29"/>
        <v>94.775047375886999</v>
      </c>
      <c r="AZ84" s="39">
        <f t="shared" si="19"/>
        <v>104.85962632773591</v>
      </c>
      <c r="BB84" s="44">
        <f t="shared" si="30"/>
        <v>1.4192648026636263E-2</v>
      </c>
    </row>
    <row r="85" spans="1:54" s="39" customFormat="1">
      <c r="A85" s="39">
        <f t="shared" si="36"/>
        <v>2032</v>
      </c>
      <c r="B85" s="39">
        <f t="shared" si="37"/>
        <v>4</v>
      </c>
      <c r="C85" s="40"/>
      <c r="D85" s="43">
        <v>112955454.953106</v>
      </c>
      <c r="E85" s="40"/>
      <c r="F85" s="43">
        <v>20530991.0168637</v>
      </c>
      <c r="G85" s="57">
        <v>4438769</v>
      </c>
      <c r="H85" s="57">
        <v>24420797.3894157</v>
      </c>
      <c r="I85" s="57">
        <v>137281</v>
      </c>
      <c r="J85" s="57">
        <v>755279.557556696</v>
      </c>
      <c r="K85" s="40"/>
      <c r="L85" s="55">
        <v>2128277.5287383599</v>
      </c>
      <c r="M85" s="43"/>
      <c r="N85" s="55">
        <v>957786.17843555298</v>
      </c>
      <c r="O85" s="40"/>
      <c r="P85" s="55">
        <v>16313099.1751725</v>
      </c>
      <c r="Q85" s="43"/>
      <c r="R85" s="55">
        <v>22414576.605698701</v>
      </c>
      <c r="S85" s="43"/>
      <c r="T85" s="43">
        <v>85704076.361348003</v>
      </c>
      <c r="U85" s="40"/>
      <c r="V85" s="55">
        <v>118567.62264857101</v>
      </c>
      <c r="W85" s="43"/>
      <c r="X85" s="55">
        <v>297807.68409906101</v>
      </c>
      <c r="Y85" s="40"/>
      <c r="Z85" s="40">
        <f t="shared" si="31"/>
        <v>-1083910.495690342</v>
      </c>
      <c r="AA85" s="40"/>
      <c r="AB85" s="40">
        <f t="shared" si="32"/>
        <v>-43564477.766930506</v>
      </c>
      <c r="AC85" s="17"/>
      <c r="AD85" s="40"/>
      <c r="AE85" s="40"/>
      <c r="AF85" s="40">
        <f>AZ85/100*AF25</f>
        <v>6005577157.1130238</v>
      </c>
      <c r="AG85" s="44">
        <f t="shared" si="28"/>
        <v>-3.4401340994002706E-3</v>
      </c>
      <c r="AH85" s="44">
        <f t="shared" si="33"/>
        <v>-7.2540035082777361E-3</v>
      </c>
      <c r="AT85" s="39">
        <v>12319758</v>
      </c>
      <c r="AV85" s="39">
        <f t="shared" si="34"/>
        <v>-4.260909457411758E-3</v>
      </c>
      <c r="AW85" s="56">
        <v>6375.3273088165997</v>
      </c>
      <c r="AX85" s="44">
        <f t="shared" si="35"/>
        <v>8.2428757272576237E-4</v>
      </c>
      <c r="AY85" s="39">
        <f t="shared" si="29"/>
        <v>94.853169269643445</v>
      </c>
      <c r="AZ85" s="39">
        <f t="shared" si="19"/>
        <v>104.4988951515555</v>
      </c>
      <c r="BB85" s="44">
        <f t="shared" si="30"/>
        <v>1.2385145077445934E-2</v>
      </c>
    </row>
    <row r="86" spans="1:54" s="29" customFormat="1">
      <c r="A86" s="29">
        <f t="shared" si="36"/>
        <v>2033</v>
      </c>
      <c r="B86" s="29">
        <f t="shared" si="37"/>
        <v>1</v>
      </c>
      <c r="C86" s="30"/>
      <c r="D86" s="33">
        <v>113220213.700635</v>
      </c>
      <c r="E86" s="30"/>
      <c r="F86" s="33">
        <v>20579114.0532359</v>
      </c>
      <c r="G86" s="59">
        <v>4516811</v>
      </c>
      <c r="H86" s="59">
        <v>24850161.447303101</v>
      </c>
      <c r="I86" s="59">
        <v>139696</v>
      </c>
      <c r="J86" s="59">
        <v>768566.17501650099</v>
      </c>
      <c r="K86" s="30"/>
      <c r="L86" s="52">
        <v>2621032.9150865502</v>
      </c>
      <c r="M86" s="33"/>
      <c r="N86" s="52">
        <v>961021.20910579304</v>
      </c>
      <c r="O86" s="30"/>
      <c r="P86" s="52">
        <v>18887807.4016531</v>
      </c>
      <c r="Q86" s="33"/>
      <c r="R86" s="52">
        <v>19575565.416350398</v>
      </c>
      <c r="S86" s="33"/>
      <c r="T86" s="33">
        <v>74848871.0169487</v>
      </c>
      <c r="U86" s="30"/>
      <c r="V86" s="52">
        <v>116553.00456225099</v>
      </c>
      <c r="W86" s="33"/>
      <c r="X86" s="52">
        <v>292747.54429673601</v>
      </c>
      <c r="Y86" s="30"/>
      <c r="Z86" s="30">
        <f t="shared" si="31"/>
        <v>-4469049.7565155942</v>
      </c>
      <c r="AA86" s="30"/>
      <c r="AB86" s="30">
        <f t="shared" si="32"/>
        <v>-57259150.085339397</v>
      </c>
      <c r="AC86" s="17"/>
      <c r="AD86" s="30"/>
      <c r="AE86" s="30"/>
      <c r="AF86" s="30">
        <f>AZ86/100*AF25</f>
        <v>5996533633.9964581</v>
      </c>
      <c r="AG86" s="34">
        <f t="shared" si="28"/>
        <v>-1.5058541219230741E-3</v>
      </c>
      <c r="AH86" s="34">
        <f t="shared" si="33"/>
        <v>-9.5487082338231444E-3</v>
      </c>
      <c r="AT86" s="29">
        <v>12303507</v>
      </c>
      <c r="AV86" s="29">
        <f t="shared" si="34"/>
        <v>-1.3191005862290476E-3</v>
      </c>
      <c r="AW86" s="53">
        <v>6374.1351212851996</v>
      </c>
      <c r="AX86" s="34">
        <f t="shared" si="35"/>
        <v>-1.8700020777778997E-4</v>
      </c>
      <c r="AY86" s="29">
        <f t="shared" si="29"/>
        <v>94.835431707281629</v>
      </c>
      <c r="AZ86" s="29">
        <f t="shared" si="19"/>
        <v>104.34153505955511</v>
      </c>
      <c r="BB86" s="34">
        <f t="shared" si="30"/>
        <v>1.4151411348286328E-2</v>
      </c>
    </row>
    <row r="87" spans="1:54" s="39" customFormat="1">
      <c r="A87" s="39">
        <f t="shared" si="36"/>
        <v>2033</v>
      </c>
      <c r="B87" s="39">
        <f t="shared" si="37"/>
        <v>2</v>
      </c>
      <c r="C87" s="40"/>
      <c r="D87" s="43">
        <v>112961386.13161799</v>
      </c>
      <c r="E87" s="40"/>
      <c r="F87" s="43">
        <v>20532069.078766901</v>
      </c>
      <c r="G87" s="57">
        <v>4612160</v>
      </c>
      <c r="H87" s="57">
        <v>25374743.512800001</v>
      </c>
      <c r="I87" s="57">
        <v>142644</v>
      </c>
      <c r="J87" s="57">
        <v>784785.20121588104</v>
      </c>
      <c r="K87" s="40"/>
      <c r="L87" s="55">
        <v>2154897.0635063099</v>
      </c>
      <c r="M87" s="43"/>
      <c r="N87" s="55">
        <v>958765.77207115304</v>
      </c>
      <c r="O87" s="40"/>
      <c r="P87" s="55">
        <v>16456617.5027835</v>
      </c>
      <c r="Q87" s="43"/>
      <c r="R87" s="55">
        <v>22469999.370760601</v>
      </c>
      <c r="S87" s="43"/>
      <c r="T87" s="43">
        <v>85915990.107147798</v>
      </c>
      <c r="U87" s="40"/>
      <c r="V87" s="55">
        <v>118544.333258018</v>
      </c>
      <c r="W87" s="43"/>
      <c r="X87" s="55">
        <v>297749.187864509</v>
      </c>
      <c r="Y87" s="40"/>
      <c r="Z87" s="40">
        <f t="shared" si="31"/>
        <v>-1057188.210325744</v>
      </c>
      <c r="AA87" s="40"/>
      <c r="AB87" s="40">
        <f t="shared" si="32"/>
        <v>-43502013.527253687</v>
      </c>
      <c r="AC87" s="17"/>
      <c r="AD87" s="40"/>
      <c r="AE87" s="40"/>
      <c r="AF87" s="40">
        <f>AZ87/100*AF25</f>
        <v>6009076090.1018333</v>
      </c>
      <c r="AG87" s="44">
        <f t="shared" si="28"/>
        <v>2.0916177363314858E-3</v>
      </c>
      <c r="AH87" s="44">
        <f t="shared" si="33"/>
        <v>-7.2393847032342163E-3</v>
      </c>
      <c r="AT87" s="39">
        <v>12304310</v>
      </c>
      <c r="AV87" s="39">
        <f t="shared" si="34"/>
        <v>6.5265944092200704E-5</v>
      </c>
      <c r="AW87" s="56">
        <v>6387.0505184765998</v>
      </c>
      <c r="AX87" s="44">
        <f t="shared" si="35"/>
        <v>2.0262195491074077E-3</v>
      </c>
      <c r="AY87" s="39">
        <f t="shared" si="29"/>
        <v>95.027589112954971</v>
      </c>
      <c r="AZ87" s="39">
        <f t="shared" si="19"/>
        <v>104.55977766492174</v>
      </c>
      <c r="BB87" s="44">
        <f t="shared" si="30"/>
        <v>1.2376202950564914E-2</v>
      </c>
    </row>
    <row r="88" spans="1:54" s="39" customFormat="1">
      <c r="A88" s="39">
        <f t="shared" si="36"/>
        <v>2033</v>
      </c>
      <c r="B88" s="39">
        <f t="shared" si="37"/>
        <v>3</v>
      </c>
      <c r="C88" s="40"/>
      <c r="D88" s="43">
        <v>112800733.134305</v>
      </c>
      <c r="E88" s="40"/>
      <c r="F88" s="43">
        <v>20502868.494819701</v>
      </c>
      <c r="G88" s="57">
        <v>4718629</v>
      </c>
      <c r="H88" s="57">
        <v>25960504.537366401</v>
      </c>
      <c r="I88" s="57">
        <v>145937</v>
      </c>
      <c r="J88" s="57">
        <v>802902.31562380504</v>
      </c>
      <c r="K88" s="40"/>
      <c r="L88" s="55">
        <v>2021262.18213984</v>
      </c>
      <c r="M88" s="43"/>
      <c r="N88" s="55">
        <v>958330.30689569202</v>
      </c>
      <c r="O88" s="40"/>
      <c r="P88" s="55">
        <v>15760789.667187</v>
      </c>
      <c r="Q88" s="43"/>
      <c r="R88" s="55">
        <v>19518000.064021599</v>
      </c>
      <c r="S88" s="43"/>
      <c r="T88" s="43">
        <v>74628764.903032795</v>
      </c>
      <c r="U88" s="40"/>
      <c r="V88" s="55">
        <v>114322.089053702</v>
      </c>
      <c r="W88" s="43"/>
      <c r="X88" s="55">
        <v>287144.12773004902</v>
      </c>
      <c r="Y88" s="40"/>
      <c r="Z88" s="40">
        <f t="shared" si="31"/>
        <v>-3850138.8307799324</v>
      </c>
      <c r="AA88" s="40"/>
      <c r="AB88" s="40">
        <f t="shared" si="32"/>
        <v>-53932757.898459204</v>
      </c>
      <c r="AC88" s="17"/>
      <c r="AD88" s="40"/>
      <c r="AE88" s="40"/>
      <c r="AF88" s="40">
        <f>AZ88/100*AF25</f>
        <v>5963717248.5846672</v>
      </c>
      <c r="AG88" s="44">
        <f t="shared" si="28"/>
        <v>-7.5483886103358466E-3</v>
      </c>
      <c r="AH88" s="44">
        <f t="shared" si="33"/>
        <v>-9.0434800394433076E-3</v>
      </c>
      <c r="AT88" s="39">
        <v>12265893</v>
      </c>
      <c r="AV88" s="39">
        <f t="shared" si="34"/>
        <v>-3.1222392803822402E-3</v>
      </c>
      <c r="AW88" s="56">
        <v>6358.6919368262998</v>
      </c>
      <c r="AX88" s="44">
        <f t="shared" si="35"/>
        <v>-4.4400121101694301E-3</v>
      </c>
      <c r="AY88" s="39">
        <f t="shared" si="29"/>
        <v>94.605665466493249</v>
      </c>
      <c r="AZ88" s="39">
        <f t="shared" si="19"/>
        <v>103.77051983009659</v>
      </c>
      <c r="BB88" s="44">
        <f t="shared" si="30"/>
        <v>1.4149318502545048E-2</v>
      </c>
    </row>
    <row r="89" spans="1:54" s="39" customFormat="1">
      <c r="A89" s="39">
        <f t="shared" si="36"/>
        <v>2033</v>
      </c>
      <c r="B89" s="39">
        <f t="shared" si="37"/>
        <v>4</v>
      </c>
      <c r="C89" s="40"/>
      <c r="D89" s="43">
        <v>113015762.40827601</v>
      </c>
      <c r="E89" s="40"/>
      <c r="F89" s="43">
        <v>20541952.610713799</v>
      </c>
      <c r="G89" s="57">
        <v>4795809</v>
      </c>
      <c r="H89" s="57">
        <v>26385126.1255849</v>
      </c>
      <c r="I89" s="57">
        <v>148324</v>
      </c>
      <c r="J89" s="57">
        <v>816034.88534494501</v>
      </c>
      <c r="K89" s="40"/>
      <c r="L89" s="55">
        <v>2043414.1327160301</v>
      </c>
      <c r="M89" s="43"/>
      <c r="N89" s="55">
        <v>960721.39578976098</v>
      </c>
      <c r="O89" s="40"/>
      <c r="P89" s="55">
        <v>15888891.3096427</v>
      </c>
      <c r="Q89" s="43"/>
      <c r="R89" s="55">
        <v>22354387.2587904</v>
      </c>
      <c r="S89" s="43"/>
      <c r="T89" s="43">
        <v>85473937.176731303</v>
      </c>
      <c r="U89" s="40"/>
      <c r="V89" s="55">
        <v>114751.993374617</v>
      </c>
      <c r="W89" s="43"/>
      <c r="X89" s="55">
        <v>288223.92343933199</v>
      </c>
      <c r="Y89" s="40"/>
      <c r="Z89" s="40">
        <f t="shared" si="31"/>
        <v>-1076948.8870545737</v>
      </c>
      <c r="AA89" s="40"/>
      <c r="AB89" s="40">
        <f t="shared" si="32"/>
        <v>-43430716.541187406</v>
      </c>
      <c r="AC89" s="17"/>
      <c r="AD89" s="40"/>
      <c r="AE89" s="40"/>
      <c r="AF89" s="40">
        <f>AZ89/100*AF25</f>
        <v>5969595904.8192902</v>
      </c>
      <c r="AG89" s="44">
        <f t="shared" si="28"/>
        <v>9.8573691367042954E-4</v>
      </c>
      <c r="AH89" s="44">
        <f t="shared" si="33"/>
        <v>-7.2753193404809079E-3</v>
      </c>
      <c r="AT89" s="39">
        <v>12271981</v>
      </c>
      <c r="AV89" s="39">
        <f t="shared" si="34"/>
        <v>4.9633565203935825E-4</v>
      </c>
      <c r="AW89" s="56">
        <v>6361.8023448760996</v>
      </c>
      <c r="AX89" s="44">
        <f t="shared" si="35"/>
        <v>4.8915847484070545E-4</v>
      </c>
      <c r="AY89" s="39">
        <f t="shared" si="29"/>
        <v>94.651942629524129</v>
      </c>
      <c r="AZ89" s="39">
        <f t="shared" si="19"/>
        <v>103.8728102620439</v>
      </c>
      <c r="BB89" s="44">
        <f t="shared" si="30"/>
        <v>1.2380785788392112E-2</v>
      </c>
    </row>
    <row r="90" spans="1:54" s="29" customFormat="1">
      <c r="A90" s="29">
        <f t="shared" si="36"/>
        <v>2034</v>
      </c>
      <c r="B90" s="29">
        <f t="shared" si="37"/>
        <v>1</v>
      </c>
      <c r="C90" s="30"/>
      <c r="D90" s="33">
        <v>112704445.821455</v>
      </c>
      <c r="E90" s="30"/>
      <c r="F90" s="33">
        <v>20485367.135934699</v>
      </c>
      <c r="G90" s="59">
        <v>4873653</v>
      </c>
      <c r="H90" s="59">
        <v>26813400.8458918</v>
      </c>
      <c r="I90" s="59">
        <v>150732</v>
      </c>
      <c r="J90" s="59">
        <v>829282.99087008403</v>
      </c>
      <c r="K90" s="30"/>
      <c r="L90" s="52">
        <v>2553875.5019340501</v>
      </c>
      <c r="M90" s="33"/>
      <c r="N90" s="52">
        <v>958011.315031223</v>
      </c>
      <c r="O90" s="30"/>
      <c r="P90" s="52">
        <v>18522767.716415901</v>
      </c>
      <c r="Q90" s="33"/>
      <c r="R90" s="52">
        <v>19379809.745285701</v>
      </c>
      <c r="S90" s="33"/>
      <c r="T90" s="33">
        <v>74100382.242156193</v>
      </c>
      <c r="U90" s="30"/>
      <c r="V90" s="52">
        <v>122163.705589052</v>
      </c>
      <c r="W90" s="33"/>
      <c r="X90" s="52">
        <v>306840.00766606699</v>
      </c>
      <c r="Y90" s="30"/>
      <c r="Z90" s="30">
        <f t="shared" si="31"/>
        <v>-4495280.5020252187</v>
      </c>
      <c r="AA90" s="30"/>
      <c r="AB90" s="30">
        <f t="shared" si="32"/>
        <v>-57126831.295714706</v>
      </c>
      <c r="AC90" s="17"/>
      <c r="AD90" s="30"/>
      <c r="AE90" s="30"/>
      <c r="AF90" s="30">
        <f>AZ90/100*AF25</f>
        <v>5963387794.648139</v>
      </c>
      <c r="AG90" s="34">
        <f t="shared" ref="AG90:AG117" si="38">(AF90-AF89)/AF89</f>
        <v>-1.0399548428628672E-3</v>
      </c>
      <c r="AH90" s="34">
        <f t="shared" si="33"/>
        <v>-9.5795935570353753E-3</v>
      </c>
      <c r="AT90" s="29">
        <v>12264035</v>
      </c>
      <c r="AV90" s="29">
        <f t="shared" si="34"/>
        <v>-6.4749122411450932E-4</v>
      </c>
      <c r="AW90" s="53">
        <v>6359.3039512181003</v>
      </c>
      <c r="AX90" s="34">
        <f t="shared" si="35"/>
        <v>-3.9271790014216746E-4</v>
      </c>
      <c r="AY90" s="29">
        <f t="shared" ref="AY90:AY117" si="39">AY89*((1+AX90))</f>
        <v>94.614771117370282</v>
      </c>
      <c r="AZ90" s="29">
        <f t="shared" si="19"/>
        <v>103.76478722997011</v>
      </c>
      <c r="BB90" s="34">
        <f t="shared" si="30"/>
        <v>1.4132717914103003E-2</v>
      </c>
    </row>
    <row r="91" spans="1:54" s="39" customFormat="1">
      <c r="A91" s="39">
        <f t="shared" si="36"/>
        <v>2034</v>
      </c>
      <c r="B91" s="39">
        <f t="shared" si="37"/>
        <v>2</v>
      </c>
      <c r="C91" s="40"/>
      <c r="D91" s="43">
        <v>112404473.266312</v>
      </c>
      <c r="E91" s="40"/>
      <c r="F91" s="43">
        <v>20430843.573194701</v>
      </c>
      <c r="G91" s="57">
        <v>5001631</v>
      </c>
      <c r="H91" s="57">
        <v>27517498.042277198</v>
      </c>
      <c r="I91" s="57">
        <v>154689</v>
      </c>
      <c r="J91" s="57">
        <v>851053.237366335</v>
      </c>
      <c r="K91" s="40"/>
      <c r="L91" s="55">
        <v>2034793.8694797</v>
      </c>
      <c r="M91" s="43"/>
      <c r="N91" s="55">
        <v>955800.53984894196</v>
      </c>
      <c r="O91" s="40"/>
      <c r="P91" s="55">
        <v>15817087.625231201</v>
      </c>
      <c r="Q91" s="43"/>
      <c r="R91" s="55">
        <v>22132248.121429101</v>
      </c>
      <c r="S91" s="43"/>
      <c r="T91" s="43">
        <v>84624568.931853697</v>
      </c>
      <c r="U91" s="40"/>
      <c r="V91" s="55">
        <v>120175.57497600401</v>
      </c>
      <c r="W91" s="43"/>
      <c r="X91" s="55">
        <v>301846.396760053</v>
      </c>
      <c r="Y91" s="40"/>
      <c r="Z91" s="40">
        <f t="shared" si="31"/>
        <v>-1169014.2861182392</v>
      </c>
      <c r="AA91" s="40"/>
      <c r="AB91" s="40">
        <f t="shared" si="32"/>
        <v>-43596991.959689513</v>
      </c>
      <c r="AC91" s="17"/>
      <c r="AD91" s="40"/>
      <c r="AE91" s="40"/>
      <c r="AF91" s="40">
        <f>AZ91/100*AF25</f>
        <v>5962563770.5545349</v>
      </c>
      <c r="AG91" s="44">
        <f t="shared" si="38"/>
        <v>-1.3818053126506561E-4</v>
      </c>
      <c r="AH91" s="44">
        <f t="shared" si="33"/>
        <v>-7.31178627807529E-3</v>
      </c>
      <c r="AT91" s="39">
        <v>12259298</v>
      </c>
      <c r="AV91" s="39">
        <f t="shared" si="34"/>
        <v>-3.8625134386847395E-4</v>
      </c>
      <c r="AW91" s="56">
        <v>6360.8821184860999</v>
      </c>
      <c r="AX91" s="44">
        <f t="shared" si="35"/>
        <v>2.4816666731227225E-4</v>
      </c>
      <c r="AY91" s="39">
        <f t="shared" si="39"/>
        <v>94.638251349796988</v>
      </c>
      <c r="AZ91" s="39">
        <f t="shared" ref="AZ91:AZ117" si="40">AZ90*(1+AV91)*(1+AX91)</f>
        <v>103.75044895654406</v>
      </c>
      <c r="BB91" s="44">
        <f t="shared" si="30"/>
        <v>1.2346812515589813E-2</v>
      </c>
    </row>
    <row r="92" spans="1:54" s="39" customFormat="1">
      <c r="A92" s="39">
        <f t="shared" si="36"/>
        <v>2034</v>
      </c>
      <c r="B92" s="39">
        <f t="shared" si="37"/>
        <v>3</v>
      </c>
      <c r="C92" s="40"/>
      <c r="D92" s="43">
        <v>112784165.336789</v>
      </c>
      <c r="E92" s="40"/>
      <c r="F92" s="43">
        <v>20499857.1015044</v>
      </c>
      <c r="G92" s="57">
        <v>5090336</v>
      </c>
      <c r="H92" s="57">
        <v>28005526.780071001</v>
      </c>
      <c r="I92" s="57">
        <v>157433</v>
      </c>
      <c r="J92" s="57">
        <v>866149.91575544595</v>
      </c>
      <c r="K92" s="40"/>
      <c r="L92" s="55">
        <v>2039753.1089226501</v>
      </c>
      <c r="M92" s="43"/>
      <c r="N92" s="55">
        <v>960943.28335530299</v>
      </c>
      <c r="O92" s="40"/>
      <c r="P92" s="55">
        <v>15871114.9996932</v>
      </c>
      <c r="Q92" s="43"/>
      <c r="R92" s="55">
        <v>19294990.8068197</v>
      </c>
      <c r="S92" s="43"/>
      <c r="T92" s="43">
        <v>73776069.679529801</v>
      </c>
      <c r="U92" s="40"/>
      <c r="V92" s="55">
        <v>123195.52088198801</v>
      </c>
      <c r="W92" s="43"/>
      <c r="X92" s="55">
        <v>309431.63020131801</v>
      </c>
      <c r="Y92" s="40"/>
      <c r="Z92" s="40">
        <f t="shared" si="31"/>
        <v>-4082367.1660806648</v>
      </c>
      <c r="AA92" s="40"/>
      <c r="AB92" s="40">
        <f t="shared" si="32"/>
        <v>-54879210.656952396</v>
      </c>
      <c r="AC92" s="17"/>
      <c r="AD92" s="40"/>
      <c r="AE92" s="40"/>
      <c r="AF92" s="40">
        <f>AZ92/100*AF25</f>
        <v>5956819174.7612467</v>
      </c>
      <c r="AG92" s="44">
        <f t="shared" si="38"/>
        <v>-9.6344391680258169E-4</v>
      </c>
      <c r="AH92" s="44">
        <f t="shared" si="33"/>
        <v>-9.2128381014943243E-3</v>
      </c>
      <c r="AT92" s="39">
        <v>12299364</v>
      </c>
      <c r="AV92" s="39">
        <f t="shared" si="34"/>
        <v>3.2682132370059035E-3</v>
      </c>
      <c r="AW92" s="56">
        <v>6334.0527303263998</v>
      </c>
      <c r="AX92" s="44">
        <f t="shared" si="35"/>
        <v>-4.2178722478959469E-3</v>
      </c>
      <c r="AY92" s="39">
        <f t="shared" si="39"/>
        <v>94.239079295839275</v>
      </c>
      <c r="AZ92" s="39">
        <f t="shared" si="40"/>
        <v>103.65049121763134</v>
      </c>
      <c r="BB92" s="44">
        <f t="shared" si="30"/>
        <v>1.4104518792310606E-2</v>
      </c>
    </row>
    <row r="93" spans="1:54" s="39" customFormat="1">
      <c r="A93" s="39">
        <f t="shared" si="36"/>
        <v>2034</v>
      </c>
      <c r="B93" s="39">
        <f t="shared" si="37"/>
        <v>4</v>
      </c>
      <c r="C93" s="40"/>
      <c r="D93" s="43">
        <v>112723406.64883099</v>
      </c>
      <c r="E93" s="40"/>
      <c r="F93" s="43">
        <v>20488813.4907538</v>
      </c>
      <c r="G93" s="57">
        <v>5158819</v>
      </c>
      <c r="H93" s="57">
        <v>28382300.040319301</v>
      </c>
      <c r="I93" s="57">
        <v>159552</v>
      </c>
      <c r="J93" s="57">
        <v>877808.02854937001</v>
      </c>
      <c r="K93" s="40"/>
      <c r="L93" s="55">
        <v>2024858.2561669101</v>
      </c>
      <c r="M93" s="43"/>
      <c r="N93" s="55">
        <v>961106.44311134901</v>
      </c>
      <c r="O93" s="40"/>
      <c r="P93" s="55">
        <v>15794723.1947744</v>
      </c>
      <c r="Q93" s="43"/>
      <c r="R93" s="55">
        <v>21933247.024916898</v>
      </c>
      <c r="S93" s="43"/>
      <c r="T93" s="43">
        <v>83863670.991576105</v>
      </c>
      <c r="U93" s="40"/>
      <c r="V93" s="55">
        <v>120671.40390074901</v>
      </c>
      <c r="W93" s="43"/>
      <c r="X93" s="55">
        <v>303091.77606756502</v>
      </c>
      <c r="Y93" s="40"/>
      <c r="Z93" s="40">
        <f t="shared" si="31"/>
        <v>-1420859.761214409</v>
      </c>
      <c r="AA93" s="40"/>
      <c r="AB93" s="40">
        <f t="shared" si="32"/>
        <v>-44654458.852029294</v>
      </c>
      <c r="AC93" s="17"/>
      <c r="AD93" s="40"/>
      <c r="AE93" s="40"/>
      <c r="AF93" s="40">
        <f>AZ93/100*AF25</f>
        <v>5926170113.1832066</v>
      </c>
      <c r="AG93" s="44">
        <f t="shared" si="38"/>
        <v>-5.1452059696387477E-3</v>
      </c>
      <c r="AH93" s="44">
        <f t="shared" si="33"/>
        <v>-7.5351294342179149E-3</v>
      </c>
      <c r="AT93" s="39">
        <v>12203137</v>
      </c>
      <c r="AV93" s="39">
        <f t="shared" si="34"/>
        <v>-7.8237378778284791E-3</v>
      </c>
      <c r="AW93" s="56">
        <v>6351.1524766053999</v>
      </c>
      <c r="AX93" s="44">
        <f t="shared" si="35"/>
        <v>2.6996532878751285E-3</v>
      </c>
      <c r="AY93" s="39">
        <f t="shared" si="39"/>
        <v>94.49349213610661</v>
      </c>
      <c r="AZ93" s="39">
        <f t="shared" si="40"/>
        <v>103.1171880914624</v>
      </c>
      <c r="BB93" s="44">
        <f t="shared" si="30"/>
        <v>1.2329932135454349E-2</v>
      </c>
    </row>
    <row r="94" spans="1:54" s="29" customFormat="1">
      <c r="A94" s="29">
        <f t="shared" si="36"/>
        <v>2035</v>
      </c>
      <c r="B94" s="29">
        <f t="shared" si="37"/>
        <v>1</v>
      </c>
      <c r="C94" s="30"/>
      <c r="D94" s="33">
        <v>112797342.723575</v>
      </c>
      <c r="E94" s="30"/>
      <c r="F94" s="33">
        <v>20502252.247536499</v>
      </c>
      <c r="G94" s="59">
        <v>5259074</v>
      </c>
      <c r="H94" s="59">
        <v>28933873.4703122</v>
      </c>
      <c r="I94" s="59">
        <v>162651</v>
      </c>
      <c r="J94" s="59">
        <v>894857.81219654705</v>
      </c>
      <c r="K94" s="30"/>
      <c r="L94" s="52">
        <v>2533438.5096108299</v>
      </c>
      <c r="M94" s="33"/>
      <c r="N94" s="52">
        <v>962408.91839039302</v>
      </c>
      <c r="O94" s="30"/>
      <c r="P94" s="52">
        <v>18440914.382276699</v>
      </c>
      <c r="Q94" s="33"/>
      <c r="R94" s="52">
        <v>19262802.509576499</v>
      </c>
      <c r="S94" s="33"/>
      <c r="T94" s="33">
        <v>73652994.935205907</v>
      </c>
      <c r="U94" s="30"/>
      <c r="V94" s="52">
        <v>122240.349203804</v>
      </c>
      <c r="W94" s="33"/>
      <c r="X94" s="52">
        <v>307032.51432935701</v>
      </c>
      <c r="Y94" s="30"/>
      <c r="Z94" s="30">
        <f t="shared" si="31"/>
        <v>-4613056.8167574201</v>
      </c>
      <c r="AA94" s="30"/>
      <c r="AB94" s="30">
        <f t="shared" si="32"/>
        <v>-57585262.170645788</v>
      </c>
      <c r="AC94" s="17"/>
      <c r="AD94" s="30"/>
      <c r="AE94" s="30"/>
      <c r="AF94" s="30">
        <f>AZ94/100*AF25</f>
        <v>5951178663.5531864</v>
      </c>
      <c r="AG94" s="34">
        <f t="shared" si="38"/>
        <v>4.2200189823013139E-3</v>
      </c>
      <c r="AH94" s="34">
        <f t="shared" si="33"/>
        <v>-9.6762785031669959E-3</v>
      </c>
      <c r="AT94" s="29">
        <v>12255977</v>
      </c>
      <c r="AV94" s="29">
        <f t="shared" si="34"/>
        <v>4.3300341543326118E-3</v>
      </c>
      <c r="AW94" s="53">
        <v>6350.4567659241002</v>
      </c>
      <c r="AX94" s="34">
        <f t="shared" si="35"/>
        <v>-1.0954085638195271E-4</v>
      </c>
      <c r="AY94" s="29">
        <f t="shared" si="39"/>
        <v>94.483141238055495</v>
      </c>
      <c r="AZ94" s="29">
        <f t="shared" si="40"/>
        <v>103.5523445826099</v>
      </c>
      <c r="BB94" s="34">
        <f t="shared" si="30"/>
        <v>1.401002925106294E-2</v>
      </c>
    </row>
    <row r="95" spans="1:54" s="39" customFormat="1">
      <c r="A95" s="39">
        <f t="shared" si="36"/>
        <v>2035</v>
      </c>
      <c r="B95" s="39">
        <f t="shared" si="37"/>
        <v>2</v>
      </c>
      <c r="C95" s="40"/>
      <c r="D95" s="43">
        <v>112875938.68313199</v>
      </c>
      <c r="E95" s="40"/>
      <c r="F95" s="43">
        <v>20516537.993544001</v>
      </c>
      <c r="G95" s="57">
        <v>5344123</v>
      </c>
      <c r="H95" s="57">
        <v>29401787.9748003</v>
      </c>
      <c r="I95" s="57">
        <v>165282</v>
      </c>
      <c r="J95" s="57">
        <v>909332.79792604898</v>
      </c>
      <c r="K95" s="40"/>
      <c r="L95" s="55">
        <v>2015561.3593458601</v>
      </c>
      <c r="M95" s="43"/>
      <c r="N95" s="55">
        <v>963535.44198698597</v>
      </c>
      <c r="O95" s="40"/>
      <c r="P95" s="55">
        <v>15759845.188117599</v>
      </c>
      <c r="Q95" s="43"/>
      <c r="R95" s="55">
        <v>21865529.892873898</v>
      </c>
      <c r="S95" s="43"/>
      <c r="T95" s="43">
        <v>83604748.668050796</v>
      </c>
      <c r="U95" s="40"/>
      <c r="V95" s="55">
        <v>119796.715327685</v>
      </c>
      <c r="W95" s="43"/>
      <c r="X95" s="55">
        <v>300894.81055174302</v>
      </c>
      <c r="Y95" s="40"/>
      <c r="Z95" s="40">
        <f t="shared" si="31"/>
        <v>-1510308.1866752654</v>
      </c>
      <c r="AA95" s="40"/>
      <c r="AB95" s="40">
        <f t="shared" si="32"/>
        <v>-45031035.203198791</v>
      </c>
      <c r="AC95" s="17"/>
      <c r="AD95" s="40"/>
      <c r="AE95" s="40"/>
      <c r="AF95" s="40">
        <f>AZ95/100*AF25</f>
        <v>5908747382.6398602</v>
      </c>
      <c r="AG95" s="44">
        <f t="shared" si="38"/>
        <v>-7.1298953219449167E-3</v>
      </c>
      <c r="AH95" s="44">
        <f t="shared" si="33"/>
        <v>-7.6210797800396407E-3</v>
      </c>
      <c r="AT95" s="39">
        <v>12224588</v>
      </c>
      <c r="AV95" s="39">
        <f t="shared" si="34"/>
        <v>-2.5611177305570987E-3</v>
      </c>
      <c r="AW95" s="56">
        <v>6321.3684427365997</v>
      </c>
      <c r="AX95" s="44">
        <f t="shared" si="35"/>
        <v>-4.5805088137258762E-3</v>
      </c>
      <c r="AY95" s="39">
        <f t="shared" si="39"/>
        <v>94.050360376866081</v>
      </c>
      <c r="AZ95" s="39">
        <f t="shared" si="40"/>
        <v>102.81402720539391</v>
      </c>
      <c r="BB95" s="44">
        <f t="shared" si="30"/>
        <v>1.2255088367688273E-2</v>
      </c>
    </row>
    <row r="96" spans="1:54" s="39" customFormat="1">
      <c r="A96" s="39">
        <f t="shared" si="36"/>
        <v>2035</v>
      </c>
      <c r="B96" s="39">
        <f t="shared" si="37"/>
        <v>3</v>
      </c>
      <c r="C96" s="40"/>
      <c r="D96" s="43">
        <v>112943158.55128799</v>
      </c>
      <c r="E96" s="40"/>
      <c r="F96" s="43">
        <v>20528756.000278</v>
      </c>
      <c r="G96" s="57">
        <v>5436671</v>
      </c>
      <c r="H96" s="57">
        <v>29910959.764725801</v>
      </c>
      <c r="I96" s="57">
        <v>168144</v>
      </c>
      <c r="J96" s="57">
        <v>925078.67749953095</v>
      </c>
      <c r="K96" s="40"/>
      <c r="L96" s="55">
        <v>2036846.3923388801</v>
      </c>
      <c r="M96" s="43"/>
      <c r="N96" s="55">
        <v>964644.44113434502</v>
      </c>
      <c r="O96" s="40"/>
      <c r="P96" s="55">
        <v>15876394.711604301</v>
      </c>
      <c r="Q96" s="43"/>
      <c r="R96" s="55">
        <v>19148608.684896499</v>
      </c>
      <c r="S96" s="43"/>
      <c r="T96" s="43">
        <v>73216364.949169204</v>
      </c>
      <c r="U96" s="40"/>
      <c r="V96" s="55">
        <v>121819.152294215</v>
      </c>
      <c r="W96" s="43"/>
      <c r="X96" s="55">
        <v>305974.58912690898</v>
      </c>
      <c r="Y96" s="40"/>
      <c r="Z96" s="40">
        <f t="shared" si="31"/>
        <v>-4259818.9965605102</v>
      </c>
      <c r="AA96" s="40"/>
      <c r="AB96" s="40">
        <f t="shared" si="32"/>
        <v>-55603188.313723087</v>
      </c>
      <c r="AC96" s="17"/>
      <c r="AD96" s="40"/>
      <c r="AE96" s="40"/>
      <c r="AF96" s="40">
        <f>AZ96/100*AF25</f>
        <v>5913709048.8888741</v>
      </c>
      <c r="AG96" s="44">
        <f t="shared" si="38"/>
        <v>8.3971541304870775E-4</v>
      </c>
      <c r="AH96" s="44">
        <f t="shared" si="33"/>
        <v>-9.4024220424186004E-3</v>
      </c>
      <c r="AT96" s="39">
        <v>12239383</v>
      </c>
      <c r="AV96" s="39">
        <f t="shared" si="34"/>
        <v>1.2102657365630645E-3</v>
      </c>
      <c r="AW96" s="56">
        <v>6319.0288890967004</v>
      </c>
      <c r="AX96" s="44">
        <f t="shared" si="35"/>
        <v>-3.7010240125894765E-4</v>
      </c>
      <c r="AY96" s="39">
        <f t="shared" si="39"/>
        <v>94.015552112651335</v>
      </c>
      <c r="AZ96" s="39">
        <f t="shared" si="40"/>
        <v>102.90036172871591</v>
      </c>
      <c r="BB96" s="44">
        <f t="shared" si="30"/>
        <v>1.3955820777093958E-2</v>
      </c>
    </row>
    <row r="97" spans="1:54" s="39" customFormat="1">
      <c r="A97" s="39">
        <f t="shared" si="36"/>
        <v>2035</v>
      </c>
      <c r="B97" s="39">
        <f t="shared" si="37"/>
        <v>4</v>
      </c>
      <c r="C97" s="40"/>
      <c r="D97" s="43">
        <v>112242216.81727199</v>
      </c>
      <c r="E97" s="40"/>
      <c r="F97" s="43">
        <v>20401351.542915601</v>
      </c>
      <c r="G97" s="57">
        <v>5595784</v>
      </c>
      <c r="H97" s="57">
        <v>30786352.544801101</v>
      </c>
      <c r="I97" s="57">
        <v>173066</v>
      </c>
      <c r="J97" s="57">
        <v>952158.06927475205</v>
      </c>
      <c r="K97" s="40"/>
      <c r="L97" s="55">
        <v>2029767.3594267501</v>
      </c>
      <c r="M97" s="43"/>
      <c r="N97" s="55">
        <v>959297.74475319695</v>
      </c>
      <c r="O97" s="40"/>
      <c r="P97" s="55">
        <v>15810245.6302124</v>
      </c>
      <c r="Q97" s="43"/>
      <c r="R97" s="55">
        <v>21915946.231818698</v>
      </c>
      <c r="S97" s="43"/>
      <c r="T97" s="43">
        <v>83797519.909675896</v>
      </c>
      <c r="U97" s="40"/>
      <c r="V97" s="55">
        <v>121067.31143813601</v>
      </c>
      <c r="W97" s="43"/>
      <c r="X97" s="55">
        <v>304086.181658171</v>
      </c>
      <c r="Y97" s="40"/>
      <c r="Z97" s="40">
        <f t="shared" si="31"/>
        <v>-1353403.1038387157</v>
      </c>
      <c r="AA97" s="40"/>
      <c r="AB97" s="40">
        <f t="shared" si="32"/>
        <v>-44254942.537808493</v>
      </c>
      <c r="AC97" s="17"/>
      <c r="AD97" s="40"/>
      <c r="AE97" s="40"/>
      <c r="AF97" s="40">
        <f>AZ97/100*AF25</f>
        <v>5929327990.4818993</v>
      </c>
      <c r="AG97" s="44">
        <f t="shared" si="38"/>
        <v>2.6411413655800073E-3</v>
      </c>
      <c r="AH97" s="44">
        <f t="shared" si="33"/>
        <v>-7.4637366340416806E-3</v>
      </c>
      <c r="AT97" s="39">
        <v>12273993</v>
      </c>
      <c r="AV97" s="39">
        <f t="shared" si="34"/>
        <v>2.8277569220605319E-3</v>
      </c>
      <c r="AW97" s="56">
        <v>6317.8529851745998</v>
      </c>
      <c r="AX97" s="44">
        <f t="shared" si="35"/>
        <v>-1.8608934105833504E-4</v>
      </c>
      <c r="AY97" s="39">
        <f t="shared" si="39"/>
        <v>93.998056820509461</v>
      </c>
      <c r="AZ97" s="39">
        <f t="shared" si="40"/>
        <v>103.17213613061075</v>
      </c>
      <c r="BB97" s="44">
        <f t="shared" si="30"/>
        <v>1.2184181251386858E-2</v>
      </c>
    </row>
    <row r="98" spans="1:54" s="29" customFormat="1">
      <c r="A98" s="29">
        <f t="shared" si="36"/>
        <v>2036</v>
      </c>
      <c r="B98" s="29">
        <f t="shared" si="37"/>
        <v>1</v>
      </c>
      <c r="C98" s="30"/>
      <c r="D98" s="33">
        <v>112538419.191778</v>
      </c>
      <c r="E98" s="30"/>
      <c r="F98" s="33">
        <v>20455189.830696199</v>
      </c>
      <c r="G98" s="59">
        <v>5757974</v>
      </c>
      <c r="H98" s="59">
        <v>31678674.071014602</v>
      </c>
      <c r="I98" s="59">
        <v>178082</v>
      </c>
      <c r="J98" s="59">
        <v>979754.62131548906</v>
      </c>
      <c r="K98" s="30"/>
      <c r="L98" s="52">
        <v>2499404.0764412102</v>
      </c>
      <c r="M98" s="33"/>
      <c r="N98" s="52">
        <v>963137.72879799095</v>
      </c>
      <c r="O98" s="30"/>
      <c r="P98" s="52">
        <v>18268319.246595401</v>
      </c>
      <c r="Q98" s="33"/>
      <c r="R98" s="52">
        <v>19192923.892920099</v>
      </c>
      <c r="S98" s="33"/>
      <c r="T98" s="33">
        <v>73385807.987921804</v>
      </c>
      <c r="U98" s="30"/>
      <c r="V98" s="52">
        <v>124925.070786592</v>
      </c>
      <c r="W98" s="33"/>
      <c r="X98" s="52">
        <v>313775.76091861102</v>
      </c>
      <c r="Y98" s="30"/>
      <c r="Z98" s="30">
        <f t="shared" si="31"/>
        <v>-4599882.6722287089</v>
      </c>
      <c r="AA98" s="30"/>
      <c r="AB98" s="30">
        <f t="shared" si="32"/>
        <v>-57420930.450451598</v>
      </c>
      <c r="AC98" s="17"/>
      <c r="AD98" s="30"/>
      <c r="AE98" s="30"/>
      <c r="AF98" s="30">
        <f>AZ98/100*AF25</f>
        <v>5943704733.1252956</v>
      </c>
      <c r="AG98" s="34">
        <f t="shared" si="38"/>
        <v>2.4246833142768892E-3</v>
      </c>
      <c r="AH98" s="34">
        <f t="shared" si="33"/>
        <v>-9.660797941464825E-3</v>
      </c>
      <c r="AT98" s="29">
        <v>12293684</v>
      </c>
      <c r="AV98" s="29">
        <f t="shared" si="34"/>
        <v>1.6042863964481648E-3</v>
      </c>
      <c r="AW98" s="53">
        <v>6323.0278303572004</v>
      </c>
      <c r="AX98" s="34">
        <f t="shared" si="35"/>
        <v>8.1908287431566571E-4</v>
      </c>
      <c r="AY98" s="29">
        <f t="shared" si="39"/>
        <v>94.075049019070107</v>
      </c>
      <c r="AZ98" s="29">
        <f t="shared" si="40"/>
        <v>103.42229588758495</v>
      </c>
      <c r="BB98" s="34">
        <f t="shared" si="30"/>
        <v>1.3949703070271192E-2</v>
      </c>
    </row>
    <row r="99" spans="1:54" s="39" customFormat="1">
      <c r="A99" s="39">
        <f t="shared" si="36"/>
        <v>2036</v>
      </c>
      <c r="B99" s="39">
        <f t="shared" si="37"/>
        <v>2</v>
      </c>
      <c r="C99" s="40"/>
      <c r="D99" s="43">
        <v>112665832.246822</v>
      </c>
      <c r="E99" s="40"/>
      <c r="F99" s="43">
        <v>20478348.6616675</v>
      </c>
      <c r="G99" s="57">
        <v>5836174</v>
      </c>
      <c r="H99" s="57">
        <v>32108907.398284499</v>
      </c>
      <c r="I99" s="57">
        <v>180500</v>
      </c>
      <c r="J99" s="57">
        <v>993057.74389014998</v>
      </c>
      <c r="K99" s="40"/>
      <c r="L99" s="55">
        <v>2013800.0393411</v>
      </c>
      <c r="M99" s="43"/>
      <c r="N99" s="55">
        <v>964923.65916238294</v>
      </c>
      <c r="O99" s="40"/>
      <c r="P99" s="55">
        <v>15758343.2515487</v>
      </c>
      <c r="Q99" s="43"/>
      <c r="R99" s="55">
        <v>21954588.6151007</v>
      </c>
      <c r="S99" s="43"/>
      <c r="T99" s="43">
        <v>83945272.411355495</v>
      </c>
      <c r="U99" s="40"/>
      <c r="V99" s="55">
        <v>121945.209469828</v>
      </c>
      <c r="W99" s="43"/>
      <c r="X99" s="55">
        <v>306291.20840875601</v>
      </c>
      <c r="Y99" s="40"/>
      <c r="Z99" s="40">
        <f t="shared" si="31"/>
        <v>-1380538.5356004536</v>
      </c>
      <c r="AA99" s="40"/>
      <c r="AB99" s="40">
        <f t="shared" si="32"/>
        <v>-44478903.087015212</v>
      </c>
      <c r="AC99" s="17"/>
      <c r="AD99" s="40"/>
      <c r="AE99" s="40"/>
      <c r="AF99" s="40">
        <f>AZ99/100*AF25</f>
        <v>5951658021.6207123</v>
      </c>
      <c r="AG99" s="44">
        <f t="shared" si="38"/>
        <v>1.3381028924757295E-3</v>
      </c>
      <c r="AH99" s="44">
        <f t="shared" si="33"/>
        <v>-7.4733633762954412E-3</v>
      </c>
      <c r="AT99" s="39">
        <v>12328246</v>
      </c>
      <c r="AV99" s="39">
        <f t="shared" si="34"/>
        <v>2.8113623223111964E-3</v>
      </c>
      <c r="AW99" s="56">
        <v>6313.7384856946001</v>
      </c>
      <c r="AX99" s="44">
        <f t="shared" si="35"/>
        <v>-1.4691291754247377E-3</v>
      </c>
      <c r="AY99" s="39">
        <f t="shared" si="39"/>
        <v>93.936840619876676</v>
      </c>
      <c r="AZ99" s="39">
        <f t="shared" si="40"/>
        <v>103.56068556085863</v>
      </c>
      <c r="BB99" s="44">
        <f t="shared" si="30"/>
        <v>1.2232462891950619E-2</v>
      </c>
    </row>
    <row r="100" spans="1:54" s="39" customFormat="1">
      <c r="A100" s="39">
        <f t="shared" si="36"/>
        <v>2036</v>
      </c>
      <c r="B100" s="39">
        <f t="shared" si="37"/>
        <v>3</v>
      </c>
      <c r="C100" s="40"/>
      <c r="D100" s="43">
        <v>112502597.231659</v>
      </c>
      <c r="E100" s="40"/>
      <c r="F100" s="43">
        <v>20448678.7654121</v>
      </c>
      <c r="G100" s="57">
        <v>5915043</v>
      </c>
      <c r="H100" s="57">
        <v>32542821.3661674</v>
      </c>
      <c r="I100" s="57">
        <v>182940</v>
      </c>
      <c r="J100" s="57">
        <v>1006481.90397376</v>
      </c>
      <c r="K100" s="40"/>
      <c r="L100" s="55">
        <v>2057987.5612846999</v>
      </c>
      <c r="M100" s="43"/>
      <c r="N100" s="55">
        <v>964571.82857497002</v>
      </c>
      <c r="O100" s="40"/>
      <c r="P100" s="55">
        <v>15985696.844887599</v>
      </c>
      <c r="Q100" s="43"/>
      <c r="R100" s="55">
        <v>19154910.759391401</v>
      </c>
      <c r="S100" s="43"/>
      <c r="T100" s="43">
        <v>73240461.477211803</v>
      </c>
      <c r="U100" s="40"/>
      <c r="V100" s="55">
        <v>121010.787449971</v>
      </c>
      <c r="W100" s="43"/>
      <c r="X100" s="55">
        <v>303944.20969621802</v>
      </c>
      <c r="Y100" s="40"/>
      <c r="Z100" s="40">
        <f t="shared" si="31"/>
        <v>-4195316.6084303986</v>
      </c>
      <c r="AA100" s="40"/>
      <c r="AB100" s="40">
        <f t="shared" si="32"/>
        <v>-55247832.599334791</v>
      </c>
      <c r="AC100" s="17"/>
      <c r="AD100" s="40"/>
      <c r="AE100" s="40"/>
      <c r="AF100" s="40">
        <f>AZ100/100*AF25</f>
        <v>5940053900.7518997</v>
      </c>
      <c r="AG100" s="44">
        <f t="shared" si="38"/>
        <v>-1.9497291051767472E-3</v>
      </c>
      <c r="AH100" s="44">
        <f t="shared" si="33"/>
        <v>-9.3008975208695409E-3</v>
      </c>
      <c r="AT100" s="39">
        <v>12325317</v>
      </c>
      <c r="AV100" s="39">
        <f t="shared" si="34"/>
        <v>-2.3758448687672196E-4</v>
      </c>
      <c r="AW100" s="56">
        <v>6302.9258834184002</v>
      </c>
      <c r="AX100" s="44">
        <f t="shared" si="35"/>
        <v>-1.7125514939680512E-3</v>
      </c>
      <c r="AY100" s="39">
        <f t="shared" si="39"/>
        <v>93.775968943134458</v>
      </c>
      <c r="AZ100" s="39">
        <f t="shared" si="40"/>
        <v>103.35877027806855</v>
      </c>
      <c r="BB100" s="44">
        <f t="shared" si="30"/>
        <v>1.3926256621766142E-2</v>
      </c>
    </row>
    <row r="101" spans="1:54" s="39" customFormat="1">
      <c r="A101" s="39">
        <f t="shared" si="36"/>
        <v>2036</v>
      </c>
      <c r="B101" s="39">
        <f t="shared" si="37"/>
        <v>4</v>
      </c>
      <c r="C101" s="40"/>
      <c r="D101" s="43">
        <v>112726274.36379699</v>
      </c>
      <c r="E101" s="40"/>
      <c r="F101" s="43">
        <v>20489334.731894601</v>
      </c>
      <c r="G101" s="57">
        <v>6031416</v>
      </c>
      <c r="H101" s="57">
        <v>33183071.2765815</v>
      </c>
      <c r="I101" s="57">
        <v>186539</v>
      </c>
      <c r="J101" s="57">
        <v>1026282.5400970899</v>
      </c>
      <c r="K101" s="40"/>
      <c r="L101" s="55">
        <v>2027753.29060659</v>
      </c>
      <c r="M101" s="43"/>
      <c r="N101" s="55">
        <v>966467.28329566901</v>
      </c>
      <c r="O101" s="40"/>
      <c r="P101" s="55">
        <v>15839239.303234899</v>
      </c>
      <c r="Q101" s="43"/>
      <c r="R101" s="55">
        <v>21569954.522992101</v>
      </c>
      <c r="S101" s="43"/>
      <c r="T101" s="43">
        <v>82474590.623287603</v>
      </c>
      <c r="U101" s="40"/>
      <c r="V101" s="55">
        <v>123535.984658499</v>
      </c>
      <c r="W101" s="43"/>
      <c r="X101" s="55">
        <v>310286.77704948501</v>
      </c>
      <c r="Y101" s="40"/>
      <c r="Z101" s="40">
        <f t="shared" si="31"/>
        <v>-1790064.798146259</v>
      </c>
      <c r="AA101" s="40"/>
      <c r="AB101" s="40">
        <f t="shared" si="32"/>
        <v>-46090923.043744288</v>
      </c>
      <c r="AC101" s="17"/>
      <c r="AD101" s="40"/>
      <c r="AE101" s="40"/>
      <c r="AF101" s="40">
        <f>AZ101/100*AF25</f>
        <v>5886825012.6622868</v>
      </c>
      <c r="AG101" s="44">
        <f t="shared" si="38"/>
        <v>-8.9610109569671047E-3</v>
      </c>
      <c r="AH101" s="44">
        <f t="shared" si="33"/>
        <v>-7.8295045197716694E-3</v>
      </c>
      <c r="AT101" s="39">
        <v>12250609</v>
      </c>
      <c r="AV101" s="39">
        <f t="shared" si="34"/>
        <v>-6.0613451159106093E-3</v>
      </c>
      <c r="AW101" s="56">
        <v>6284.5380495283998</v>
      </c>
      <c r="AX101" s="44">
        <f t="shared" si="35"/>
        <v>-2.9173488995602307E-3</v>
      </c>
      <c r="AY101" s="39">
        <f t="shared" si="39"/>
        <v>93.50239172333302</v>
      </c>
      <c r="AZ101" s="39">
        <f t="shared" si="40"/>
        <v>102.43257120510813</v>
      </c>
      <c r="BB101" s="44">
        <f t="shared" si="30"/>
        <v>1.2165132008453995E-2</v>
      </c>
    </row>
    <row r="102" spans="1:54" s="29" customFormat="1">
      <c r="A102" s="29">
        <f t="shared" si="36"/>
        <v>2037</v>
      </c>
      <c r="B102" s="29">
        <f t="shared" si="37"/>
        <v>1</v>
      </c>
      <c r="C102" s="30"/>
      <c r="D102" s="33">
        <v>112580574.950968</v>
      </c>
      <c r="E102" s="30"/>
      <c r="F102" s="33">
        <v>20462852.138936199</v>
      </c>
      <c r="G102" s="59">
        <v>6143311</v>
      </c>
      <c r="H102" s="59">
        <v>33798684.5522191</v>
      </c>
      <c r="I102" s="59">
        <v>189999</v>
      </c>
      <c r="J102" s="59">
        <v>1045318.43923205</v>
      </c>
      <c r="K102" s="30"/>
      <c r="L102" s="52">
        <v>2582947.9738562899</v>
      </c>
      <c r="M102" s="33"/>
      <c r="N102" s="52">
        <v>965623.77213643095</v>
      </c>
      <c r="O102" s="30"/>
      <c r="P102" s="52">
        <v>18715506.404380001</v>
      </c>
      <c r="Q102" s="33"/>
      <c r="R102" s="52">
        <v>18976635.0857898</v>
      </c>
      <c r="S102" s="33"/>
      <c r="T102" s="33">
        <v>72558808.987740293</v>
      </c>
      <c r="U102" s="30"/>
      <c r="V102" s="52">
        <v>127221.252306446</v>
      </c>
      <c r="W102" s="33"/>
      <c r="X102" s="52">
        <v>319543.106888982</v>
      </c>
      <c r="Y102" s="30"/>
      <c r="Z102" s="30">
        <f t="shared" si="31"/>
        <v>-4907567.5468326733</v>
      </c>
      <c r="AA102" s="30"/>
      <c r="AB102" s="30">
        <f t="shared" si="32"/>
        <v>-58737272.367607705</v>
      </c>
      <c r="AC102" s="17"/>
      <c r="AD102" s="30"/>
      <c r="AE102" s="30"/>
      <c r="AF102" s="30">
        <f>AZ102/100*AF25</f>
        <v>5920708754.6629705</v>
      </c>
      <c r="AG102" s="34">
        <f t="shared" si="38"/>
        <v>5.7558602349825983E-3</v>
      </c>
      <c r="AH102" s="34">
        <f t="shared" si="33"/>
        <v>-9.9206488279545944E-3</v>
      </c>
      <c r="AT102" s="29">
        <v>12335052</v>
      </c>
      <c r="AV102" s="29">
        <f t="shared" si="34"/>
        <v>6.8929634436949213E-3</v>
      </c>
      <c r="AW102" s="53">
        <v>6277.4408022133002</v>
      </c>
      <c r="AX102" s="34">
        <f t="shared" si="35"/>
        <v>-1.1293188551276543E-3</v>
      </c>
      <c r="AY102" s="29">
        <f t="shared" si="39"/>
        <v>93.396797709360328</v>
      </c>
      <c r="AZ102" s="29">
        <f t="shared" si="40"/>
        <v>103.02215876847464</v>
      </c>
      <c r="BB102" s="34">
        <f t="shared" si="30"/>
        <v>1.3844163495753039E-2</v>
      </c>
    </row>
    <row r="103" spans="1:54" s="39" customFormat="1">
      <c r="A103" s="39">
        <f t="shared" si="36"/>
        <v>2037</v>
      </c>
      <c r="B103" s="39">
        <f t="shared" si="37"/>
        <v>2</v>
      </c>
      <c r="C103" s="40"/>
      <c r="D103" s="43">
        <v>112149736.844007</v>
      </c>
      <c r="E103" s="40"/>
      <c r="F103" s="43">
        <v>20384542.213068299</v>
      </c>
      <c r="G103" s="57">
        <v>6269649</v>
      </c>
      <c r="H103" s="57">
        <v>34493758.9524827</v>
      </c>
      <c r="I103" s="57">
        <v>193907</v>
      </c>
      <c r="J103" s="57">
        <v>1066819.10218564</v>
      </c>
      <c r="K103" s="40"/>
      <c r="L103" s="55">
        <v>2049066.8098606199</v>
      </c>
      <c r="M103" s="43"/>
      <c r="N103" s="55">
        <v>962139.40753693902</v>
      </c>
      <c r="O103" s="40"/>
      <c r="P103" s="55">
        <v>15926024.560469501</v>
      </c>
      <c r="Q103" s="43"/>
      <c r="R103" s="55">
        <v>21538994.729538798</v>
      </c>
      <c r="S103" s="43"/>
      <c r="T103" s="43">
        <v>82356213.169680998</v>
      </c>
      <c r="U103" s="40"/>
      <c r="V103" s="55">
        <v>127078.5979214</v>
      </c>
      <c r="W103" s="43"/>
      <c r="X103" s="55">
        <v>319184.80020214798</v>
      </c>
      <c r="Y103" s="40"/>
      <c r="Z103" s="40">
        <f t="shared" si="31"/>
        <v>-1729675.1030056588</v>
      </c>
      <c r="AA103" s="40"/>
      <c r="AB103" s="40">
        <f t="shared" si="32"/>
        <v>-45719548.234795503</v>
      </c>
      <c r="AC103" s="17"/>
      <c r="AD103" s="40"/>
      <c r="AE103" s="40"/>
      <c r="AF103" s="40">
        <f>AZ103/100*AF25</f>
        <v>5901208856.5119963</v>
      </c>
      <c r="AG103" s="44">
        <f t="shared" si="38"/>
        <v>-3.2935074091622468E-3</v>
      </c>
      <c r="AH103" s="44">
        <f t="shared" si="33"/>
        <v>-7.7474885818257198E-3</v>
      </c>
      <c r="AT103" s="39">
        <v>12299176</v>
      </c>
      <c r="AV103" s="39">
        <f t="shared" si="34"/>
        <v>-2.9084595670938397E-3</v>
      </c>
      <c r="AW103" s="56">
        <v>6275.016636591</v>
      </c>
      <c r="AX103" s="44">
        <f t="shared" si="35"/>
        <v>-3.8617100482183232E-4</v>
      </c>
      <c r="AY103" s="39">
        <f t="shared" si="39"/>
        <v>93.360730574141755</v>
      </c>
      <c r="AZ103" s="39">
        <f t="shared" si="40"/>
        <v>102.68285452526278</v>
      </c>
      <c r="BB103" s="44">
        <f t="shared" ref="BB103:BB117" si="41">T110/AF110</f>
        <v>1.2082019932495898E-2</v>
      </c>
    </row>
    <row r="104" spans="1:54" s="39" customFormat="1">
      <c r="A104" s="39">
        <f t="shared" si="36"/>
        <v>2037</v>
      </c>
      <c r="B104" s="39">
        <f t="shared" si="37"/>
        <v>3</v>
      </c>
      <c r="C104" s="40"/>
      <c r="D104" s="43">
        <v>112119050.624238</v>
      </c>
      <c r="E104" s="40"/>
      <c r="F104" s="43">
        <v>20378964.629385799</v>
      </c>
      <c r="G104" s="57">
        <v>6399795</v>
      </c>
      <c r="H104" s="57">
        <v>35209783.8452048</v>
      </c>
      <c r="I104" s="57">
        <v>197931</v>
      </c>
      <c r="J104" s="57">
        <v>1088957.9629136899</v>
      </c>
      <c r="K104" s="40"/>
      <c r="L104" s="55">
        <v>2038705.51976655</v>
      </c>
      <c r="M104" s="43"/>
      <c r="N104" s="55">
        <v>962060.79936496599</v>
      </c>
      <c r="O104" s="40"/>
      <c r="P104" s="55">
        <v>15871827.2979468</v>
      </c>
      <c r="Q104" s="43"/>
      <c r="R104" s="55">
        <v>18775772.3923719</v>
      </c>
      <c r="S104" s="43"/>
      <c r="T104" s="43">
        <v>71790793.070345894</v>
      </c>
      <c r="U104" s="40"/>
      <c r="V104" s="55">
        <v>132521.08216913199</v>
      </c>
      <c r="W104" s="43"/>
      <c r="X104" s="55">
        <v>332854.75152070099</v>
      </c>
      <c r="Y104" s="40"/>
      <c r="Z104" s="40">
        <f t="shared" si="31"/>
        <v>-4471437.4739762843</v>
      </c>
      <c r="AA104" s="40"/>
      <c r="AB104" s="40">
        <f t="shared" si="32"/>
        <v>-56200084.851838902</v>
      </c>
      <c r="AC104" s="17"/>
      <c r="AD104" s="40"/>
      <c r="AE104" s="40"/>
      <c r="AF104" s="40">
        <f>AZ104/100*AF25</f>
        <v>5892131082.8476343</v>
      </c>
      <c r="AG104" s="44">
        <f t="shared" si="38"/>
        <v>-1.5382905240414618E-3</v>
      </c>
      <c r="AH104" s="44">
        <f t="shared" si="33"/>
        <v>-9.5381592944258995E-3</v>
      </c>
      <c r="AT104" s="39">
        <v>12274913</v>
      </c>
      <c r="AV104" s="39">
        <f t="shared" si="34"/>
        <v>-1.9727337831412445E-3</v>
      </c>
      <c r="AW104" s="56">
        <v>6277.7481638456002</v>
      </c>
      <c r="AX104" s="44">
        <f t="shared" si="35"/>
        <v>4.3530199404924095E-4</v>
      </c>
      <c r="AY104" s="39">
        <f t="shared" si="39"/>
        <v>93.401370686326572</v>
      </c>
      <c r="AZ104" s="39">
        <f t="shared" si="40"/>
        <v>102.52489846316504</v>
      </c>
      <c r="BB104" s="44">
        <f t="shared" si="41"/>
        <v>1.3839572175324499E-2</v>
      </c>
    </row>
    <row r="105" spans="1:54" s="39" customFormat="1">
      <c r="A105" s="39">
        <f t="shared" si="36"/>
        <v>2037</v>
      </c>
      <c r="B105" s="39">
        <f t="shared" si="37"/>
        <v>4</v>
      </c>
      <c r="C105" s="40"/>
      <c r="D105" s="43">
        <v>111832620.597939</v>
      </c>
      <c r="E105" s="40"/>
      <c r="F105" s="43">
        <v>20326902.581569199</v>
      </c>
      <c r="G105" s="57">
        <v>6552346</v>
      </c>
      <c r="H105" s="57">
        <v>36049074.4373831</v>
      </c>
      <c r="I105" s="57">
        <v>202650</v>
      </c>
      <c r="J105" s="57">
        <v>1114920.5085835999</v>
      </c>
      <c r="K105" s="40"/>
      <c r="L105" s="55">
        <v>1985053.8189439401</v>
      </c>
      <c r="M105" s="43"/>
      <c r="N105" s="55">
        <v>960194.39662824199</v>
      </c>
      <c r="O105" s="40"/>
      <c r="P105" s="55">
        <v>15583159.970149299</v>
      </c>
      <c r="Q105" s="43"/>
      <c r="R105" s="55">
        <v>21501532.354261801</v>
      </c>
      <c r="S105" s="43"/>
      <c r="T105" s="43">
        <v>82212972.530881599</v>
      </c>
      <c r="U105" s="40"/>
      <c r="V105" s="55">
        <v>130151.687718284</v>
      </c>
      <c r="W105" s="43"/>
      <c r="X105" s="55">
        <v>326903.51577554701</v>
      </c>
      <c r="Y105" s="40"/>
      <c r="Z105" s="40">
        <f t="shared" si="31"/>
        <v>-1640466.7551612966</v>
      </c>
      <c r="AA105" s="40"/>
      <c r="AB105" s="40">
        <f t="shared" si="32"/>
        <v>-45202808.037206702</v>
      </c>
      <c r="AC105" s="17"/>
      <c r="AD105" s="40"/>
      <c r="AE105" s="40"/>
      <c r="AF105" s="40">
        <f>AZ105/100*AF25</f>
        <v>5893528494.2436638</v>
      </c>
      <c r="AG105" s="44">
        <f t="shared" si="38"/>
        <v>2.3716570055568268E-4</v>
      </c>
      <c r="AH105" s="44">
        <f t="shared" si="33"/>
        <v>-7.6699057417567856E-3</v>
      </c>
      <c r="AT105" s="39">
        <v>12300930</v>
      </c>
      <c r="AV105" s="39">
        <f t="shared" si="34"/>
        <v>2.1195262239333181E-3</v>
      </c>
      <c r="AW105" s="56">
        <v>6265.9561719622998</v>
      </c>
      <c r="AX105" s="44">
        <f t="shared" si="35"/>
        <v>-1.8783792493002622E-3</v>
      </c>
      <c r="AY105" s="39">
        <f t="shared" si="39"/>
        <v>93.225927489773184</v>
      </c>
      <c r="AZ105" s="39">
        <f t="shared" si="40"/>
        <v>102.54921385253346</v>
      </c>
      <c r="BB105" s="44">
        <f t="shared" si="41"/>
        <v>1.2116058803562601E-2</v>
      </c>
    </row>
    <row r="106" spans="1:54" s="29" customFormat="1">
      <c r="A106" s="29">
        <f t="shared" si="36"/>
        <v>2038</v>
      </c>
      <c r="B106" s="29">
        <f t="shared" si="37"/>
        <v>1</v>
      </c>
      <c r="C106" s="30"/>
      <c r="D106" s="33">
        <v>111711994.266541</v>
      </c>
      <c r="E106" s="30"/>
      <c r="F106" s="33">
        <v>20304977.3179566</v>
      </c>
      <c r="G106" s="59">
        <v>6679923</v>
      </c>
      <c r="H106" s="59">
        <v>36750965.450082697</v>
      </c>
      <c r="I106" s="59">
        <v>206596</v>
      </c>
      <c r="J106" s="59">
        <v>1136630.2363253699</v>
      </c>
      <c r="K106" s="30"/>
      <c r="L106" s="52">
        <v>2516545.3007719601</v>
      </c>
      <c r="M106" s="33"/>
      <c r="N106" s="52">
        <v>958902.57044498599</v>
      </c>
      <c r="O106" s="30"/>
      <c r="P106" s="52">
        <v>18333964.549449101</v>
      </c>
      <c r="Q106" s="33"/>
      <c r="R106" s="52">
        <v>18725051.173549201</v>
      </c>
      <c r="S106" s="33"/>
      <c r="T106" s="33">
        <v>71596856.094083205</v>
      </c>
      <c r="U106" s="30"/>
      <c r="V106" s="52">
        <v>124858.30363936401</v>
      </c>
      <c r="W106" s="33"/>
      <c r="X106" s="52">
        <v>313608.06109427602</v>
      </c>
      <c r="Y106" s="30"/>
      <c r="Z106" s="30">
        <f t="shared" si="31"/>
        <v>-4930515.7119849809</v>
      </c>
      <c r="AA106" s="30"/>
      <c r="AB106" s="30">
        <f t="shared" si="32"/>
        <v>-58449102.7219069</v>
      </c>
      <c r="AC106" s="17"/>
      <c r="AD106" s="30"/>
      <c r="AE106" s="30"/>
      <c r="AF106" s="30">
        <f>AZ106/100*AF25</f>
        <v>5853020501.7990608</v>
      </c>
      <c r="AG106" s="34">
        <f t="shared" si="38"/>
        <v>-6.8733005166884313E-3</v>
      </c>
      <c r="AH106" s="34">
        <f t="shared" si="33"/>
        <v>-9.9861435140951964E-3</v>
      </c>
      <c r="AT106" s="29">
        <v>12198624</v>
      </c>
      <c r="AV106" s="29">
        <f t="shared" si="34"/>
        <v>-8.3169321343995947E-3</v>
      </c>
      <c r="AW106" s="53">
        <v>6275.0777681033996</v>
      </c>
      <c r="AX106" s="34">
        <f t="shared" si="35"/>
        <v>1.455738899342361E-3</v>
      </c>
      <c r="AY106" s="29">
        <f t="shared" si="39"/>
        <v>93.361640098847317</v>
      </c>
      <c r="AZ106" s="29">
        <f t="shared" si="40"/>
        <v>101.84436228797485</v>
      </c>
      <c r="BB106" s="34">
        <f t="shared" si="41"/>
        <v>1.380126934582486E-2</v>
      </c>
    </row>
    <row r="107" spans="1:54" s="39" customFormat="1">
      <c r="A107" s="39">
        <f t="shared" si="36"/>
        <v>2038</v>
      </c>
      <c r="B107" s="39">
        <f t="shared" si="37"/>
        <v>2</v>
      </c>
      <c r="C107" s="40"/>
      <c r="D107" s="43">
        <v>111481792.999562</v>
      </c>
      <c r="E107" s="40"/>
      <c r="F107" s="43">
        <v>20263135.512738898</v>
      </c>
      <c r="G107" s="57">
        <v>6795506</v>
      </c>
      <c r="H107" s="57">
        <v>37386869.013584398</v>
      </c>
      <c r="I107" s="57">
        <v>210170</v>
      </c>
      <c r="J107" s="57">
        <v>1156293.32982489</v>
      </c>
      <c r="K107" s="40"/>
      <c r="L107" s="55">
        <v>2052900.8578728701</v>
      </c>
      <c r="M107" s="43"/>
      <c r="N107" s="55">
        <v>957243.19391246105</v>
      </c>
      <c r="O107" s="40"/>
      <c r="P107" s="55">
        <v>15918981.931086101</v>
      </c>
      <c r="Q107" s="43"/>
      <c r="R107" s="55">
        <v>21302360.210332599</v>
      </c>
      <c r="S107" s="43"/>
      <c r="T107" s="43">
        <v>81451420.575980097</v>
      </c>
      <c r="U107" s="40"/>
      <c r="V107" s="55">
        <v>121849.010667215</v>
      </c>
      <c r="W107" s="43"/>
      <c r="X107" s="55">
        <v>306049.58475147601</v>
      </c>
      <c r="Y107" s="40"/>
      <c r="Z107" s="40">
        <f t="shared" si="31"/>
        <v>-1849070.343524415</v>
      </c>
      <c r="AA107" s="40"/>
      <c r="AB107" s="40">
        <f t="shared" si="32"/>
        <v>-45949354.354667999</v>
      </c>
      <c r="AC107" s="17"/>
      <c r="AD107" s="40"/>
      <c r="AE107" s="40"/>
      <c r="AF107" s="40">
        <f>AZ107/100*AF25</f>
        <v>5848766311.5926657</v>
      </c>
      <c r="AG107" s="44">
        <f t="shared" si="38"/>
        <v>-7.2683671705703508E-4</v>
      </c>
      <c r="AH107" s="44">
        <f t="shared" si="33"/>
        <v>-7.8562472676662002E-3</v>
      </c>
      <c r="AT107" s="39">
        <v>12235265</v>
      </c>
      <c r="AV107" s="39">
        <f t="shared" si="34"/>
        <v>3.00369943364104E-3</v>
      </c>
      <c r="AW107" s="56">
        <v>6251.7384678838998</v>
      </c>
      <c r="AX107" s="44">
        <f t="shared" si="35"/>
        <v>-3.7193642982617514E-3</v>
      </c>
      <c r="AY107" s="39">
        <f t="shared" si="39"/>
        <v>93.014394147836498</v>
      </c>
      <c r="AZ107" s="39">
        <f t="shared" si="40"/>
        <v>101.77033806603869</v>
      </c>
      <c r="BB107" s="44">
        <f t="shared" si="41"/>
        <v>1.2081577114968788E-2</v>
      </c>
    </row>
    <row r="108" spans="1:54" s="39" customFormat="1">
      <c r="A108" s="39">
        <f t="shared" si="36"/>
        <v>2038</v>
      </c>
      <c r="B108" s="39">
        <f t="shared" si="37"/>
        <v>3</v>
      </c>
      <c r="C108" s="40"/>
      <c r="D108" s="43">
        <v>111465815.89090499</v>
      </c>
      <c r="E108" s="40"/>
      <c r="F108" s="43">
        <v>20260231.484115999</v>
      </c>
      <c r="G108" s="57">
        <v>6971727</v>
      </c>
      <c r="H108" s="57">
        <v>38356384.961983599</v>
      </c>
      <c r="I108" s="57">
        <v>215621</v>
      </c>
      <c r="J108" s="57">
        <v>1186283.12351988</v>
      </c>
      <c r="K108" s="40"/>
      <c r="L108" s="55">
        <v>1999208.62433891</v>
      </c>
      <c r="M108" s="43"/>
      <c r="N108" s="55">
        <v>957611.24131682504</v>
      </c>
      <c r="O108" s="40"/>
      <c r="P108" s="55">
        <v>15642397.5642635</v>
      </c>
      <c r="Q108" s="43"/>
      <c r="R108" s="55">
        <v>18594630.305397801</v>
      </c>
      <c r="S108" s="43"/>
      <c r="T108" s="43">
        <v>71098180.600907803</v>
      </c>
      <c r="U108" s="40"/>
      <c r="V108" s="55">
        <v>124061.08307141101</v>
      </c>
      <c r="W108" s="43"/>
      <c r="X108" s="55">
        <v>311605.67287264502</v>
      </c>
      <c r="Y108" s="40"/>
      <c r="Z108" s="40">
        <f t="shared" si="31"/>
        <v>-4498359.9613025226</v>
      </c>
      <c r="AA108" s="40"/>
      <c r="AB108" s="40">
        <f t="shared" si="32"/>
        <v>-56010032.854260691</v>
      </c>
      <c r="AC108" s="17"/>
      <c r="AD108" s="40"/>
      <c r="AE108" s="40"/>
      <c r="AF108" s="40">
        <f>AZ108/100*AF25</f>
        <v>5844423270.6639824</v>
      </c>
      <c r="AG108" s="44">
        <f t="shared" si="38"/>
        <v>-7.4255675424662957E-4</v>
      </c>
      <c r="AH108" s="44">
        <f t="shared" si="33"/>
        <v>-9.5835004174667539E-3</v>
      </c>
      <c r="AT108" s="39">
        <v>12246307</v>
      </c>
      <c r="AV108" s="39">
        <f t="shared" si="34"/>
        <v>9.0247330155905896E-4</v>
      </c>
      <c r="AW108" s="56">
        <v>6241.4634431387003</v>
      </c>
      <c r="AX108" s="44">
        <f t="shared" si="35"/>
        <v>-1.6435467986998865E-3</v>
      </c>
      <c r="AY108" s="39">
        <f t="shared" si="39"/>
        <v>92.861520638101808</v>
      </c>
      <c r="AZ108" s="39">
        <f t="shared" si="40"/>
        <v>101.6947678141258</v>
      </c>
      <c r="BB108" s="44">
        <f t="shared" si="41"/>
        <v>1.3747631310744276E-2</v>
      </c>
    </row>
    <row r="109" spans="1:54" s="39" customFormat="1">
      <c r="A109" s="39">
        <f t="shared" si="36"/>
        <v>2038</v>
      </c>
      <c r="B109" s="39">
        <f t="shared" si="37"/>
        <v>4</v>
      </c>
      <c r="C109" s="40"/>
      <c r="D109" s="43">
        <v>110903006.55806901</v>
      </c>
      <c r="E109" s="40"/>
      <c r="F109" s="43">
        <v>20157934.225772198</v>
      </c>
      <c r="G109" s="57">
        <v>7052311</v>
      </c>
      <c r="H109" s="57">
        <v>38799734.353859797</v>
      </c>
      <c r="I109" s="57">
        <v>218113</v>
      </c>
      <c r="J109" s="57">
        <v>1199993.3722610101</v>
      </c>
      <c r="K109" s="40"/>
      <c r="L109" s="55">
        <v>1980836.4889649199</v>
      </c>
      <c r="M109" s="43"/>
      <c r="N109" s="55">
        <v>953456.10397534096</v>
      </c>
      <c r="O109" s="40"/>
      <c r="P109" s="55">
        <v>15524204.1267813</v>
      </c>
      <c r="Q109" s="43"/>
      <c r="R109" s="55">
        <v>21126485.867933199</v>
      </c>
      <c r="S109" s="43"/>
      <c r="T109" s="43">
        <v>80778949.784487799</v>
      </c>
      <c r="U109" s="40"/>
      <c r="V109" s="55">
        <v>124537.77723285501</v>
      </c>
      <c r="W109" s="43"/>
      <c r="X109" s="55">
        <v>312802.99117145297</v>
      </c>
      <c r="Y109" s="40"/>
      <c r="Z109" s="40">
        <f t="shared" si="31"/>
        <v>-1841203.1735464036</v>
      </c>
      <c r="AA109" s="40"/>
      <c r="AB109" s="40">
        <f t="shared" si="32"/>
        <v>-45648260.900362507</v>
      </c>
      <c r="AC109" s="17"/>
      <c r="AD109" s="40"/>
      <c r="AE109" s="40"/>
      <c r="AF109" s="40">
        <f>AZ109/100*AF25</f>
        <v>5834874010.9337978</v>
      </c>
      <c r="AG109" s="44">
        <f t="shared" si="38"/>
        <v>-1.6339096755905683E-3</v>
      </c>
      <c r="AH109" s="44">
        <f t="shared" si="33"/>
        <v>-7.8233498812182722E-3</v>
      </c>
      <c r="AT109" s="39">
        <v>12244225</v>
      </c>
      <c r="AV109" s="39">
        <f t="shared" si="34"/>
        <v>-1.700104366157079E-4</v>
      </c>
      <c r="AW109" s="56">
        <v>6232.3250159261997</v>
      </c>
      <c r="AX109" s="44">
        <f t="shared" si="35"/>
        <v>-1.4641481594427237E-3</v>
      </c>
      <c r="AY109" s="39">
        <f t="shared" si="39"/>
        <v>92.725557613576484</v>
      </c>
      <c r="AZ109" s="39">
        <f t="shared" si="40"/>
        <v>101.52860774903736</v>
      </c>
      <c r="BB109" s="44">
        <f t="shared" si="41"/>
        <v>1.2081092499896157E-2</v>
      </c>
    </row>
    <row r="110" spans="1:54" s="29" customFormat="1">
      <c r="A110" s="29">
        <f t="shared" si="36"/>
        <v>2039</v>
      </c>
      <c r="B110" s="29">
        <f t="shared" si="37"/>
        <v>1</v>
      </c>
      <c r="C110" s="30"/>
      <c r="D110" s="33">
        <v>110974720.801897</v>
      </c>
      <c r="E110" s="30"/>
      <c r="F110" s="33">
        <v>20170969.1384857</v>
      </c>
      <c r="G110" s="59">
        <v>7212874</v>
      </c>
      <c r="H110" s="59">
        <v>39683104.6061159</v>
      </c>
      <c r="I110" s="59">
        <v>223079</v>
      </c>
      <c r="J110" s="59">
        <v>1227314.83905413</v>
      </c>
      <c r="K110" s="30"/>
      <c r="L110" s="52">
        <v>2401696.4555420699</v>
      </c>
      <c r="M110" s="33"/>
      <c r="N110" s="52">
        <v>955112.02321713394</v>
      </c>
      <c r="O110" s="30"/>
      <c r="P110" s="52">
        <v>17717158.873127401</v>
      </c>
      <c r="Q110" s="33"/>
      <c r="R110" s="52">
        <v>18463411.335889</v>
      </c>
      <c r="S110" s="33"/>
      <c r="T110" s="33">
        <v>70596453.498020098</v>
      </c>
      <c r="U110" s="30"/>
      <c r="V110" s="52">
        <v>129599.390474714</v>
      </c>
      <c r="W110" s="33"/>
      <c r="X110" s="52">
        <v>325516.30433141399</v>
      </c>
      <c r="Y110" s="30"/>
      <c r="Z110" s="30">
        <f t="shared" ref="Z110:Z117" si="42">R110+V110-N110-L110-F110</f>
        <v>-4934766.8908811882</v>
      </c>
      <c r="AA110" s="30"/>
      <c r="AB110" s="30">
        <f t="shared" ref="AB110:AB117" si="43">T110-P110-D110</f>
        <v>-58095426.177004308</v>
      </c>
      <c r="AC110" s="17"/>
      <c r="AD110" s="30"/>
      <c r="AE110" s="30"/>
      <c r="AF110" s="30">
        <f>AZ110/100*AF25</f>
        <v>5843100234.2698765</v>
      </c>
      <c r="AG110" s="34">
        <f t="shared" si="38"/>
        <v>1.4098373539280825E-3</v>
      </c>
      <c r="AH110" s="34">
        <f t="shared" ref="AH110:AH117" si="44">AB110/AF110</f>
        <v>-9.942568815827205E-3</v>
      </c>
      <c r="AT110" s="29">
        <v>12320173</v>
      </c>
      <c r="AV110" s="29">
        <f t="shared" si="34"/>
        <v>6.2027608934007664E-3</v>
      </c>
      <c r="AW110" s="53">
        <v>6202.638099496</v>
      </c>
      <c r="AX110" s="34">
        <f t="shared" si="35"/>
        <v>-4.7633774481172344E-3</v>
      </c>
      <c r="AY110" s="29">
        <f t="shared" si="39"/>
        <v>92.283870783575878</v>
      </c>
      <c r="AZ110" s="29">
        <f t="shared" si="40"/>
        <v>101.67174657273425</v>
      </c>
      <c r="BB110" s="34">
        <f t="shared" si="41"/>
        <v>1.3737523204072831E-2</v>
      </c>
    </row>
    <row r="111" spans="1:54" s="39" customFormat="1">
      <c r="A111" s="39">
        <f t="shared" si="36"/>
        <v>2039</v>
      </c>
      <c r="B111" s="39">
        <f t="shared" si="37"/>
        <v>2</v>
      </c>
      <c r="C111" s="40"/>
      <c r="D111" s="43">
        <v>110757597.18677001</v>
      </c>
      <c r="E111" s="40"/>
      <c r="F111" s="43">
        <v>20131504.351295199</v>
      </c>
      <c r="G111" s="57">
        <v>7396843</v>
      </c>
      <c r="H111" s="57">
        <v>40695247.764485598</v>
      </c>
      <c r="I111" s="57">
        <v>228768</v>
      </c>
      <c r="J111" s="57">
        <v>1258614.03852777</v>
      </c>
      <c r="K111" s="40"/>
      <c r="L111" s="55">
        <v>2000585.5231502899</v>
      </c>
      <c r="M111" s="43"/>
      <c r="N111" s="55">
        <v>953542.90870906005</v>
      </c>
      <c r="O111" s="40"/>
      <c r="P111" s="55">
        <v>15627159.533085501</v>
      </c>
      <c r="Q111" s="43"/>
      <c r="R111" s="55">
        <v>21073844.723111201</v>
      </c>
      <c r="S111" s="43"/>
      <c r="T111" s="43">
        <v>80577671.804763496</v>
      </c>
      <c r="U111" s="40"/>
      <c r="V111" s="55">
        <v>125799.340871423</v>
      </c>
      <c r="W111" s="43"/>
      <c r="X111" s="55">
        <v>315971.67531264602</v>
      </c>
      <c r="Y111" s="40"/>
      <c r="Z111" s="40">
        <f t="shared" si="42"/>
        <v>-1885988.7191719264</v>
      </c>
      <c r="AA111" s="40"/>
      <c r="AB111" s="40">
        <f t="shared" si="43"/>
        <v>-45807084.915092014</v>
      </c>
      <c r="AC111" s="17"/>
      <c r="AD111" s="40"/>
      <c r="AE111" s="40"/>
      <c r="AF111" s="40">
        <f>AZ111/100*AF25</f>
        <v>5822266092.0422688</v>
      </c>
      <c r="AG111" s="44">
        <f t="shared" si="38"/>
        <v>-3.5655972672546587E-3</v>
      </c>
      <c r="AH111" s="44">
        <f t="shared" si="44"/>
        <v>-7.8675698071752551E-3</v>
      </c>
      <c r="AT111" s="39">
        <v>12247616</v>
      </c>
      <c r="AV111" s="39">
        <f t="shared" ref="AV111:AV117" si="45">(AT111-AT110)/AT110</f>
        <v>-5.889284184564616E-3</v>
      </c>
      <c r="AW111" s="56">
        <v>6217.1364735456</v>
      </c>
      <c r="AX111" s="44">
        <f t="shared" ref="AX111:AX117" si="46">(AW111-AW110)/AW110</f>
        <v>2.3374528413608502E-3</v>
      </c>
      <c r="AY111" s="39">
        <f t="shared" si="39"/>
        <v>92.499579979550731</v>
      </c>
      <c r="AZ111" s="39">
        <f t="shared" si="40"/>
        <v>101.30922607099751</v>
      </c>
      <c r="BB111" s="44" t="e">
        <f t="shared" si="41"/>
        <v>#DIV/0!</v>
      </c>
    </row>
    <row r="112" spans="1:54" s="39" customFormat="1">
      <c r="A112" s="39">
        <f t="shared" si="36"/>
        <v>2039</v>
      </c>
      <c r="B112" s="39">
        <f t="shared" si="37"/>
        <v>3</v>
      </c>
      <c r="C112" s="40"/>
      <c r="D112" s="43">
        <v>111025094.660028</v>
      </c>
      <c r="E112" s="40"/>
      <c r="F112" s="43">
        <v>20180125.183487698</v>
      </c>
      <c r="G112" s="57">
        <v>7488718</v>
      </c>
      <c r="H112" s="57">
        <v>41200716.906978197</v>
      </c>
      <c r="I112" s="57">
        <v>231610</v>
      </c>
      <c r="J112" s="57">
        <v>1274249.8840022001</v>
      </c>
      <c r="K112" s="40"/>
      <c r="L112" s="55">
        <v>2029974.23195226</v>
      </c>
      <c r="M112" s="43"/>
      <c r="N112" s="55">
        <v>956610.29884575703</v>
      </c>
      <c r="O112" s="40"/>
      <c r="P112" s="55">
        <v>15796533.558272701</v>
      </c>
      <c r="Q112" s="43"/>
      <c r="R112" s="55">
        <v>18372090.723828301</v>
      </c>
      <c r="S112" s="43"/>
      <c r="T112" s="43">
        <v>70247281.222893</v>
      </c>
      <c r="U112" s="40"/>
      <c r="V112" s="55">
        <v>128881.573268672</v>
      </c>
      <c r="W112" s="43"/>
      <c r="X112" s="55">
        <v>323713.35446227703</v>
      </c>
      <c r="Y112" s="40"/>
      <c r="Z112" s="40">
        <f t="shared" si="42"/>
        <v>-4665737.4171887431</v>
      </c>
      <c r="AA112" s="40"/>
      <c r="AB112" s="40">
        <f t="shared" si="43"/>
        <v>-56574346.995407701</v>
      </c>
      <c r="AC112" s="17"/>
      <c r="AD112" s="40"/>
      <c r="AE112" s="40"/>
      <c r="AF112" s="40">
        <f>AZ112/100*AF25</f>
        <v>5797865655.9703655</v>
      </c>
      <c r="AG112" s="44">
        <f t="shared" si="38"/>
        <v>-4.1908830146483939E-3</v>
      </c>
      <c r="AH112" s="44">
        <f t="shared" si="44"/>
        <v>-9.7577885298446229E-3</v>
      </c>
      <c r="AT112" s="39">
        <v>12247825</v>
      </c>
      <c r="AV112" s="39">
        <f t="shared" si="45"/>
        <v>1.7064545459295917E-5</v>
      </c>
      <c r="AW112" s="56">
        <v>6190.9755357153999</v>
      </c>
      <c r="AX112" s="44">
        <f t="shared" si="46"/>
        <v>-4.2078757546206175E-3</v>
      </c>
      <c r="AY112" s="39">
        <f t="shared" si="39"/>
        <v>92.11035323964218</v>
      </c>
      <c r="AZ112" s="39">
        <f t="shared" si="40"/>
        <v>100.88465095622939</v>
      </c>
      <c r="BB112" s="44" t="e">
        <f t="shared" si="41"/>
        <v>#DIV/0!</v>
      </c>
    </row>
    <row r="113" spans="1:54" s="39" customFormat="1">
      <c r="A113" s="39">
        <f t="shared" si="36"/>
        <v>2039</v>
      </c>
      <c r="B113" s="39">
        <f t="shared" si="37"/>
        <v>4</v>
      </c>
      <c r="C113" s="40"/>
      <c r="D113" s="43">
        <v>110985551.842758</v>
      </c>
      <c r="E113" s="40"/>
      <c r="F113" s="43">
        <v>20172937.8083716</v>
      </c>
      <c r="G113" s="57">
        <v>7605147</v>
      </c>
      <c r="H113" s="57">
        <v>41841274.912869498</v>
      </c>
      <c r="I113" s="57">
        <v>235211</v>
      </c>
      <c r="J113" s="57">
        <v>1294061.52353544</v>
      </c>
      <c r="K113" s="40"/>
      <c r="L113" s="55">
        <v>2043324.42117481</v>
      </c>
      <c r="M113" s="43"/>
      <c r="N113" s="55">
        <v>956998.20315193001</v>
      </c>
      <c r="O113" s="40"/>
      <c r="P113" s="55">
        <v>15867941.888654901</v>
      </c>
      <c r="Q113" s="43"/>
      <c r="R113" s="55">
        <v>21042440.349028599</v>
      </c>
      <c r="S113" s="43"/>
      <c r="T113" s="43">
        <v>80457594.458588004</v>
      </c>
      <c r="U113" s="40"/>
      <c r="V113" s="55">
        <v>131099.34476131701</v>
      </c>
      <c r="W113" s="43"/>
      <c r="X113" s="55">
        <v>329283.75705053902</v>
      </c>
      <c r="Y113" s="40"/>
      <c r="Z113" s="40">
        <f t="shared" si="42"/>
        <v>-1999720.738908425</v>
      </c>
      <c r="AA113" s="40"/>
      <c r="AB113" s="40">
        <f t="shared" si="43"/>
        <v>-46395899.272824898</v>
      </c>
      <c r="AC113" s="17"/>
      <c r="AD113" s="40"/>
      <c r="AE113" s="40"/>
      <c r="AF113" s="40">
        <f>AZ113/100*AF25</f>
        <v>5829724240.7581825</v>
      </c>
      <c r="AG113" s="44">
        <f t="shared" si="38"/>
        <v>5.4948815095449046E-3</v>
      </c>
      <c r="AH113" s="44">
        <f t="shared" si="44"/>
        <v>-7.9585066731717134E-3</v>
      </c>
      <c r="AT113" s="39">
        <v>12323270</v>
      </c>
      <c r="AV113" s="39">
        <f t="shared" si="45"/>
        <v>6.1598692012663474E-3</v>
      </c>
      <c r="AW113" s="56">
        <v>6186.8838176325999</v>
      </c>
      <c r="AX113" s="44">
        <f t="shared" si="46"/>
        <v>-6.6091653232922226E-4</v>
      </c>
      <c r="AY113" s="39">
        <f t="shared" si="39"/>
        <v>92.049475984387414</v>
      </c>
      <c r="AZ113" s="39">
        <f t="shared" si="40"/>
        <v>101.43900015936568</v>
      </c>
      <c r="BB113" s="44" t="e">
        <f t="shared" si="41"/>
        <v>#DIV/0!</v>
      </c>
    </row>
    <row r="114" spans="1:54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33">
        <v>110921491.170146</v>
      </c>
      <c r="E114" s="30"/>
      <c r="F114" s="33">
        <v>20161294.022823699</v>
      </c>
      <c r="G114" s="59">
        <v>7731204</v>
      </c>
      <c r="H114" s="59">
        <v>42534803.334041603</v>
      </c>
      <c r="I114" s="59">
        <v>239109</v>
      </c>
      <c r="J114" s="59">
        <v>1315507.1694395</v>
      </c>
      <c r="K114" s="30"/>
      <c r="L114" s="52">
        <v>2479639.0025665201</v>
      </c>
      <c r="M114" s="33"/>
      <c r="N114" s="52">
        <v>957505.39890724397</v>
      </c>
      <c r="O114" s="30"/>
      <c r="P114" s="52">
        <v>18134770.767047498</v>
      </c>
      <c r="Q114" s="33"/>
      <c r="R114" s="52">
        <v>18391458.646616001</v>
      </c>
      <c r="S114" s="33"/>
      <c r="T114" s="33">
        <v>70321336.154322699</v>
      </c>
      <c r="U114" s="30"/>
      <c r="V114" s="52">
        <v>124198.311389824</v>
      </c>
      <c r="W114" s="33"/>
      <c r="X114" s="52">
        <v>311950.350844478</v>
      </c>
      <c r="Y114" s="30"/>
      <c r="Z114" s="30">
        <f t="shared" si="42"/>
        <v>-5082781.46629164</v>
      </c>
      <c r="AA114" s="30"/>
      <c r="AB114" s="30">
        <f t="shared" si="43"/>
        <v>-58734925.782870799</v>
      </c>
      <c r="AC114" s="17"/>
      <c r="AD114" s="30"/>
      <c r="AE114" s="30"/>
      <c r="AF114" s="30">
        <f>AZ114/100*AF25</f>
        <v>5820542755.7298155</v>
      </c>
      <c r="AG114" s="34">
        <f t="shared" si="38"/>
        <v>-1.5749432819094969E-3</v>
      </c>
      <c r="AH114" s="34">
        <f t="shared" si="44"/>
        <v>-1.009097059291445E-2</v>
      </c>
      <c r="AT114" s="29">
        <v>12304867</v>
      </c>
      <c r="AV114" s="29">
        <f t="shared" si="45"/>
        <v>-1.4933536309761938E-3</v>
      </c>
      <c r="AW114" s="53">
        <v>6186.3782769906002</v>
      </c>
      <c r="AX114" s="34">
        <f t="shared" si="46"/>
        <v>-8.1711675360526053E-5</v>
      </c>
      <c r="AY114" s="29">
        <f t="shared" si="39"/>
        <v>92.041954467488665</v>
      </c>
      <c r="AZ114" s="29">
        <f t="shared" si="40"/>
        <v>101.27923948754105</v>
      </c>
      <c r="BB114" s="34" t="e">
        <f t="shared" si="41"/>
        <v>#DIV/0!</v>
      </c>
    </row>
    <row r="115" spans="1:54" s="39" customFormat="1">
      <c r="A115" s="39">
        <f t="shared" si="47"/>
        <v>2040</v>
      </c>
      <c r="B115" s="39">
        <f t="shared" si="48"/>
        <v>2</v>
      </c>
      <c r="C115" s="40"/>
      <c r="D115" s="43">
        <v>111049293.651466</v>
      </c>
      <c r="E115" s="40"/>
      <c r="F115" s="43">
        <v>20184523.636630502</v>
      </c>
      <c r="G115" s="57">
        <v>7881446</v>
      </c>
      <c r="H115" s="57">
        <v>43361390.489485003</v>
      </c>
      <c r="I115" s="57">
        <v>243756</v>
      </c>
      <c r="J115" s="57">
        <v>1341073.5923528399</v>
      </c>
      <c r="K115" s="40"/>
      <c r="L115" s="55">
        <v>2073257.9372906899</v>
      </c>
      <c r="M115" s="43"/>
      <c r="N115" s="55">
        <v>958675.790297903</v>
      </c>
      <c r="O115" s="40"/>
      <c r="P115" s="55">
        <v>16032496.6355871</v>
      </c>
      <c r="Q115" s="43"/>
      <c r="R115" s="55">
        <v>20814373.527975101</v>
      </c>
      <c r="S115" s="43"/>
      <c r="T115" s="43">
        <v>79585561.201351002</v>
      </c>
      <c r="U115" s="40"/>
      <c r="V115" s="55">
        <v>125724.489083384</v>
      </c>
      <c r="W115" s="43"/>
      <c r="X115" s="55">
        <v>315783.66920146201</v>
      </c>
      <c r="Y115" s="40"/>
      <c r="Z115" s="40">
        <f t="shared" si="42"/>
        <v>-2276359.3471606113</v>
      </c>
      <c r="AA115" s="40"/>
      <c r="AB115" s="40">
        <f t="shared" si="43"/>
        <v>-47496229.085702091</v>
      </c>
      <c r="AC115" s="17"/>
      <c r="AD115" s="40"/>
      <c r="AE115" s="40"/>
      <c r="AF115" s="40">
        <f>AZ115/100*AF25</f>
        <v>5789038082.4478455</v>
      </c>
      <c r="AG115" s="44">
        <f t="shared" si="38"/>
        <v>-5.4126693341366534E-3</v>
      </c>
      <c r="AH115" s="44">
        <f t="shared" si="44"/>
        <v>-8.204511424740657E-3</v>
      </c>
      <c r="AT115" s="39">
        <v>12256760</v>
      </c>
      <c r="AV115" s="39">
        <f t="shared" si="45"/>
        <v>-3.9095912210997483E-3</v>
      </c>
      <c r="AW115" s="56">
        <v>6177.0431707541002</v>
      </c>
      <c r="AX115" s="44">
        <f t="shared" si="46"/>
        <v>-1.5089775986089737E-3</v>
      </c>
      <c r="AY115" s="39">
        <f t="shared" si="39"/>
        <v>91.903065220065031</v>
      </c>
      <c r="AZ115" s="39">
        <f t="shared" si="40"/>
        <v>100.73104845378217</v>
      </c>
      <c r="BB115" s="44" t="e">
        <f t="shared" si="41"/>
        <v>#DIV/0!</v>
      </c>
    </row>
    <row r="116" spans="1:54" s="39" customFormat="1">
      <c r="A116" s="39">
        <f t="shared" si="47"/>
        <v>2040</v>
      </c>
      <c r="B116" s="39">
        <f t="shared" si="48"/>
        <v>3</v>
      </c>
      <c r="C116" s="40"/>
      <c r="D116" s="43">
        <v>111039248.65944099</v>
      </c>
      <c r="E116" s="40"/>
      <c r="F116" s="43">
        <v>20182697.840425</v>
      </c>
      <c r="G116" s="57">
        <v>7948140</v>
      </c>
      <c r="H116" s="57">
        <v>43728321.199573703</v>
      </c>
      <c r="I116" s="57">
        <v>245818</v>
      </c>
      <c r="J116" s="57">
        <v>1352418.1079644801</v>
      </c>
      <c r="K116" s="40"/>
      <c r="L116" s="55">
        <v>2052731.03784248</v>
      </c>
      <c r="M116" s="43"/>
      <c r="N116" s="55">
        <v>958836.726553299</v>
      </c>
      <c r="O116" s="40"/>
      <c r="P116" s="55">
        <v>15926867.880562801</v>
      </c>
      <c r="Q116" s="43"/>
      <c r="R116" s="55">
        <v>18289271.287440099</v>
      </c>
      <c r="S116" s="43"/>
      <c r="T116" s="43">
        <v>69930613.929761305</v>
      </c>
      <c r="U116" s="40"/>
      <c r="V116" s="55">
        <v>129434.573398204</v>
      </c>
      <c r="W116" s="43"/>
      <c r="X116" s="55">
        <v>325102.33135330002</v>
      </c>
      <c r="Y116" s="40"/>
      <c r="Z116" s="40">
        <f t="shared" si="42"/>
        <v>-4775559.7439824771</v>
      </c>
      <c r="AA116" s="40"/>
      <c r="AB116" s="40">
        <f t="shared" si="43"/>
        <v>-57035502.610242486</v>
      </c>
      <c r="AC116" s="17"/>
      <c r="AD116" s="40"/>
      <c r="AE116" s="40"/>
      <c r="AF116" s="40">
        <f>AZ116/100*AF25</f>
        <v>5788434608.0755854</v>
      </c>
      <c r="AG116" s="44">
        <f t="shared" si="38"/>
        <v>-1.0424432585610488E-4</v>
      </c>
      <c r="AH116" s="44">
        <f t="shared" si="44"/>
        <v>-9.8533552630396606E-3</v>
      </c>
      <c r="AT116" s="39">
        <v>12230052</v>
      </c>
      <c r="AV116" s="39">
        <f t="shared" si="45"/>
        <v>-2.1790424223041001E-3</v>
      </c>
      <c r="AW116" s="56">
        <v>6189.8872760166996</v>
      </c>
      <c r="AX116" s="44">
        <f t="shared" si="46"/>
        <v>2.0793290426415166E-3</v>
      </c>
      <c r="AY116" s="39">
        <f t="shared" si="39"/>
        <v>92.094161932684884</v>
      </c>
      <c r="AZ116" s="39">
        <f t="shared" si="40"/>
        <v>100.72054781354331</v>
      </c>
      <c r="BB116" s="44" t="e">
        <f t="shared" si="41"/>
        <v>#DIV/0!</v>
      </c>
    </row>
    <row r="117" spans="1:54" s="39" customFormat="1">
      <c r="A117" s="39">
        <f t="shared" si="47"/>
        <v>2040</v>
      </c>
      <c r="B117" s="39">
        <f t="shared" si="48"/>
        <v>4</v>
      </c>
      <c r="C117" s="40"/>
      <c r="D117" s="43">
        <v>111153731.994673</v>
      </c>
      <c r="E117" s="40"/>
      <c r="F117" s="43">
        <v>20203506.541768499</v>
      </c>
      <c r="G117" s="57">
        <v>8054085</v>
      </c>
      <c r="H117" s="57">
        <v>44311199.330745101</v>
      </c>
      <c r="I117" s="57">
        <v>249095</v>
      </c>
      <c r="J117" s="57">
        <v>1370447.19509317</v>
      </c>
      <c r="K117" s="40"/>
      <c r="L117" s="55">
        <v>2053352.3617870901</v>
      </c>
      <c r="M117" s="43"/>
      <c r="N117" s="55">
        <v>960562.43539366103</v>
      </c>
      <c r="O117" s="40"/>
      <c r="P117" s="55">
        <v>15939586.274338299</v>
      </c>
      <c r="Q117" s="43"/>
      <c r="R117" s="55">
        <v>20724420.786560401</v>
      </c>
      <c r="S117" s="43"/>
      <c r="T117" s="43">
        <v>79241619.098194793</v>
      </c>
      <c r="U117" s="40"/>
      <c r="V117" s="55">
        <v>130001.11424821299</v>
      </c>
      <c r="W117" s="43"/>
      <c r="X117" s="55">
        <v>326525.31863026402</v>
      </c>
      <c r="Y117" s="40"/>
      <c r="Z117" s="40">
        <f t="shared" si="42"/>
        <v>-2362999.4381406382</v>
      </c>
      <c r="AA117" s="40"/>
      <c r="AB117" s="40">
        <f t="shared" si="43"/>
        <v>-47851699.170816503</v>
      </c>
      <c r="AC117" s="17"/>
      <c r="AD117" s="40"/>
      <c r="AE117" s="40"/>
      <c r="AF117" s="40">
        <f>AZ117/100*AF25</f>
        <v>5768260982.7877588</v>
      </c>
      <c r="AG117" s="44">
        <f t="shared" si="38"/>
        <v>-3.4851607824474382E-3</v>
      </c>
      <c r="AH117" s="44">
        <f t="shared" si="44"/>
        <v>-8.2956889977072647E-3</v>
      </c>
      <c r="AT117" s="39">
        <v>12230424</v>
      </c>
      <c r="AV117" s="39">
        <f t="shared" si="45"/>
        <v>3.0416878031262665E-5</v>
      </c>
      <c r="AW117" s="56">
        <v>6168.1269084707001</v>
      </c>
      <c r="AX117" s="44">
        <f t="shared" si="46"/>
        <v>-3.5154707308341676E-3</v>
      </c>
      <c r="AY117" s="39">
        <f t="shared" si="39"/>
        <v>91.770407601929833</v>
      </c>
      <c r="AZ117" s="39">
        <f t="shared" si="40"/>
        <v>100.36952051031693</v>
      </c>
      <c r="BB117" s="44" t="e">
        <f t="shared" si="41"/>
        <v>#DIV/0!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9"/>
  <sheetViews>
    <sheetView tabSelected="1" topLeftCell="AX25" zoomScale="125" zoomScaleNormal="125" zoomScalePageLayoutView="125" workbookViewId="0">
      <selection activeCell="BO25" sqref="BO25"/>
    </sheetView>
  </sheetViews>
  <sheetFormatPr baseColWidth="10" defaultColWidth="8.83203125" defaultRowHeight="12" x14ac:dyDescent="0"/>
  <cols>
    <col min="7" max="10" width="8.83203125" style="1"/>
  </cols>
  <sheetData>
    <row r="1" spans="1:61" s="6" customFormat="1" ht="50.25" customHeight="1">
      <c r="A1" s="2" t="s">
        <v>0</v>
      </c>
      <c r="B1" s="2" t="s">
        <v>1</v>
      </c>
      <c r="C1" s="2" t="s">
        <v>47</v>
      </c>
      <c r="D1" s="2"/>
      <c r="E1" s="2" t="s">
        <v>48</v>
      </c>
      <c r="F1" s="2"/>
      <c r="G1" s="3" t="s">
        <v>4</v>
      </c>
      <c r="H1" s="3"/>
      <c r="I1" s="3" t="s">
        <v>5</v>
      </c>
      <c r="J1" s="3"/>
      <c r="K1" s="2" t="s">
        <v>6</v>
      </c>
      <c r="L1" s="2"/>
      <c r="M1" s="4" t="s">
        <v>7</v>
      </c>
      <c r="N1" s="2"/>
      <c r="O1" s="2" t="s">
        <v>8</v>
      </c>
      <c r="P1" s="5"/>
      <c r="Q1" s="2" t="s">
        <v>9</v>
      </c>
      <c r="R1" s="2"/>
      <c r="S1" s="2" t="s">
        <v>10</v>
      </c>
      <c r="T1" s="2"/>
      <c r="U1" s="5" t="s">
        <v>11</v>
      </c>
      <c r="V1" s="2"/>
      <c r="W1" s="2" t="s">
        <v>12</v>
      </c>
      <c r="X1" s="2"/>
      <c r="Y1" s="6" t="s">
        <v>13</v>
      </c>
      <c r="AA1" s="6" t="s">
        <v>14</v>
      </c>
      <c r="AD1" s="6" t="s">
        <v>15</v>
      </c>
      <c r="AE1" s="6" t="s">
        <v>16</v>
      </c>
      <c r="AF1" s="6" t="s">
        <v>17</v>
      </c>
      <c r="AH1" s="6" t="s">
        <v>19</v>
      </c>
      <c r="AI1" s="7" t="s">
        <v>20</v>
      </c>
      <c r="AJ1" s="7"/>
      <c r="AK1" s="64" t="s">
        <v>21</v>
      </c>
      <c r="AL1" s="64"/>
      <c r="AM1" s="8" t="s">
        <v>22</v>
      </c>
      <c r="AN1" s="9" t="s">
        <v>23</v>
      </c>
      <c r="AO1" s="64" t="s">
        <v>24</v>
      </c>
      <c r="AP1" s="64"/>
      <c r="AQ1" s="64" t="s">
        <v>25</v>
      </c>
      <c r="AR1" s="64"/>
      <c r="AT1" s="6" t="s">
        <v>27</v>
      </c>
      <c r="AV1" s="6" t="s">
        <v>28</v>
      </c>
      <c r="AX1" s="6" t="s">
        <v>29</v>
      </c>
      <c r="AZ1" s="6" t="s">
        <v>50</v>
      </c>
      <c r="BC1" s="6" t="s">
        <v>31</v>
      </c>
      <c r="BE1" s="6" t="s">
        <v>32</v>
      </c>
      <c r="BF1" s="6" t="s">
        <v>33</v>
      </c>
      <c r="BG1" s="6" t="s">
        <v>34</v>
      </c>
      <c r="BH1" s="6" t="s">
        <v>35</v>
      </c>
      <c r="BI1" s="7" t="s">
        <v>51</v>
      </c>
    </row>
    <row r="2" spans="1:61" s="10" customFormat="1">
      <c r="C2" s="10" t="s">
        <v>37</v>
      </c>
      <c r="D2" s="10" t="s">
        <v>38</v>
      </c>
      <c r="E2" s="10" t="s">
        <v>37</v>
      </c>
      <c r="F2" s="11" t="s">
        <v>38</v>
      </c>
      <c r="G2" s="12" t="s">
        <v>39</v>
      </c>
      <c r="H2" s="12" t="s">
        <v>40</v>
      </c>
      <c r="I2" s="12" t="s">
        <v>39</v>
      </c>
      <c r="J2" s="13" t="s">
        <v>40</v>
      </c>
      <c r="K2" s="10" t="s">
        <v>37</v>
      </c>
      <c r="L2" s="11" t="s">
        <v>38</v>
      </c>
      <c r="M2" s="11" t="s">
        <v>37</v>
      </c>
      <c r="N2" s="11" t="s">
        <v>38</v>
      </c>
      <c r="O2" s="10" t="s">
        <v>37</v>
      </c>
      <c r="P2" s="10" t="s">
        <v>38</v>
      </c>
      <c r="Q2" s="11" t="s">
        <v>37</v>
      </c>
      <c r="R2" s="11" t="s">
        <v>38</v>
      </c>
      <c r="S2" s="11" t="s">
        <v>37</v>
      </c>
      <c r="T2" s="10" t="s">
        <v>38</v>
      </c>
      <c r="U2" s="10" t="s">
        <v>37</v>
      </c>
      <c r="V2" s="10" t="s">
        <v>38</v>
      </c>
      <c r="W2" s="10" t="s">
        <v>37</v>
      </c>
      <c r="X2" s="11" t="s">
        <v>38</v>
      </c>
      <c r="AC2" s="6"/>
      <c r="AI2" s="14"/>
      <c r="AJ2" s="14"/>
      <c r="AK2" s="14"/>
      <c r="AL2" s="14"/>
      <c r="AM2" s="14"/>
      <c r="AN2" s="14"/>
      <c r="AO2" s="14"/>
      <c r="AP2" s="14"/>
      <c r="AQ2" s="14"/>
      <c r="AR2" s="14"/>
      <c r="AT2" s="10" t="s">
        <v>41</v>
      </c>
      <c r="AU2" s="10" t="s">
        <v>39</v>
      </c>
      <c r="AV2" s="10" t="s">
        <v>41</v>
      </c>
      <c r="AW2" s="10" t="s">
        <v>39</v>
      </c>
      <c r="AX2" s="10" t="s">
        <v>42</v>
      </c>
      <c r="AY2" s="10" t="s">
        <v>43</v>
      </c>
      <c r="BI2" s="14"/>
    </row>
    <row r="3" spans="1:61">
      <c r="A3" s="10">
        <v>2014</v>
      </c>
      <c r="B3" s="10">
        <v>1</v>
      </c>
      <c r="C3" s="11">
        <v>73541829.264479399</v>
      </c>
      <c r="D3" s="11"/>
      <c r="E3" s="11">
        <v>13367097.642000001</v>
      </c>
      <c r="F3" s="11"/>
      <c r="G3" s="12"/>
      <c r="H3" s="12"/>
      <c r="I3" s="12"/>
      <c r="J3" s="15"/>
      <c r="K3" s="16">
        <v>2431521.2590999999</v>
      </c>
      <c r="L3" s="11"/>
      <c r="M3" s="11">
        <v>552644.92299999902</v>
      </c>
      <c r="N3" s="11"/>
      <c r="O3" s="11">
        <v>15657663.7612308</v>
      </c>
      <c r="P3" s="11"/>
      <c r="Q3" s="11">
        <v>16188956.83674</v>
      </c>
      <c r="R3" s="11"/>
      <c r="S3" s="11">
        <v>61899879.651203699</v>
      </c>
      <c r="T3" s="11"/>
      <c r="U3" s="11">
        <v>147745.90426000001</v>
      </c>
      <c r="V3" s="16"/>
      <c r="W3" s="16">
        <v>371095.07358448301</v>
      </c>
      <c r="X3" s="11"/>
      <c r="Y3" s="11">
        <f t="shared" ref="Y3:Y8" si="0">Q3+U3-M3-K3-E3</f>
        <v>-14561.083099998534</v>
      </c>
      <c r="Z3" s="11"/>
      <c r="AA3" s="11">
        <f t="shared" ref="AA3:AA8" si="1">S3-O3-C3</f>
        <v>-27299613.374506503</v>
      </c>
      <c r="AB3" s="11"/>
      <c r="AC3" s="17"/>
      <c r="AD3" s="11">
        <v>3917648861.1710801</v>
      </c>
      <c r="AE3" s="11">
        <v>87.364011981999994</v>
      </c>
      <c r="AF3" s="11">
        <f>AD3*100/AE3</f>
        <v>4484282225.9333181</v>
      </c>
      <c r="AG3" s="11"/>
      <c r="AH3" s="18">
        <f>AA3/AF3</f>
        <v>-6.087844609027615E-3</v>
      </c>
      <c r="AI3" s="14">
        <v>2014</v>
      </c>
      <c r="AJ3" s="19">
        <f>(SUM(AA3:AA6)/AVERAGE(AF3:AF6))</f>
        <v>-2.0764450566254731E-2</v>
      </c>
      <c r="AK3" s="19"/>
      <c r="AL3" s="19"/>
      <c r="AM3" s="19"/>
      <c r="AN3" s="19"/>
      <c r="AO3" s="16" t="s">
        <v>44</v>
      </c>
      <c r="AP3" s="19" t="s">
        <v>45</v>
      </c>
      <c r="AQ3" s="19" t="s">
        <v>44</v>
      </c>
      <c r="AR3" s="19" t="s">
        <v>45</v>
      </c>
      <c r="AT3" s="10">
        <v>10923418</v>
      </c>
      <c r="BC3" s="18">
        <f>S3/AF3</f>
        <v>1.3803743059084649E-2</v>
      </c>
      <c r="BD3" s="10">
        <v>2014</v>
      </c>
      <c r="BE3" s="18">
        <f>(SUM(S3:S6)/AVERAGE(AF3:AF6))</f>
        <v>5.6918105137217651E-2</v>
      </c>
      <c r="BF3" s="18">
        <f>(SUM(O3:O6)/AVERAGE(AF3:AF6))</f>
        <v>1.3201759021596645E-2</v>
      </c>
      <c r="BG3" s="18">
        <f>(SUM(C3:C6)/AVERAGE(AF3:AF6))</f>
        <v>6.4480796681875729E-2</v>
      </c>
      <c r="BH3" s="18">
        <f>(SUM(H3:H6)+SUM(J3:J6))/AVERAGE(AF3:AF6)</f>
        <v>0</v>
      </c>
      <c r="BI3" s="19">
        <f t="shared" ref="BI3:BI29" si="2">AJ3-BH3</f>
        <v>-2.0764450566254731E-2</v>
      </c>
    </row>
    <row r="4" spans="1:61">
      <c r="A4" s="10">
        <v>2014</v>
      </c>
      <c r="B4" s="10">
        <v>2</v>
      </c>
      <c r="C4" s="11">
        <v>76536005.645554796</v>
      </c>
      <c r="D4" s="11"/>
      <c r="E4" s="11">
        <v>13911324.754000001</v>
      </c>
      <c r="F4" s="11"/>
      <c r="G4" s="12"/>
      <c r="H4" s="12"/>
      <c r="I4" s="12"/>
      <c r="J4" s="15"/>
      <c r="K4" s="16">
        <v>2156056.4542999999</v>
      </c>
      <c r="L4" s="11"/>
      <c r="M4" s="11">
        <v>571465.44299999997</v>
      </c>
      <c r="N4" s="11"/>
      <c r="O4" s="11">
        <v>14331816.6540251</v>
      </c>
      <c r="P4" s="11"/>
      <c r="Q4" s="11">
        <v>18889074.98367</v>
      </c>
      <c r="R4" s="11"/>
      <c r="S4" s="11">
        <v>72224015.420081005</v>
      </c>
      <c r="T4" s="11"/>
      <c r="U4" s="11">
        <v>150093.53833000001</v>
      </c>
      <c r="V4" s="16"/>
      <c r="W4" s="16">
        <v>376991.65286577999</v>
      </c>
      <c r="X4" s="11"/>
      <c r="Y4" s="11">
        <f t="shared" si="0"/>
        <v>2400321.8706999999</v>
      </c>
      <c r="Z4" s="11"/>
      <c r="AA4" s="11">
        <f t="shared" si="1"/>
        <v>-18643806.879498892</v>
      </c>
      <c r="AB4" s="11"/>
      <c r="AC4" s="17"/>
      <c r="AD4" s="11">
        <v>4702629524.92031</v>
      </c>
      <c r="AE4" s="11">
        <v>92.542254682000006</v>
      </c>
      <c r="AF4" s="11">
        <f>AD4*100/AE4</f>
        <v>5081602497.2374029</v>
      </c>
      <c r="AG4" s="11"/>
      <c r="AH4" s="18">
        <f>AA4/AF4</f>
        <v>-3.6688833669368155E-3</v>
      </c>
      <c r="AI4" s="14">
        <v>2015</v>
      </c>
      <c r="AJ4" s="19">
        <f>SUM(AB14:AB17)/AVERAGE(AF14:AF17)</f>
        <v>-3.2822266915484871E-2</v>
      </c>
      <c r="AK4" s="19"/>
      <c r="AL4" s="19"/>
      <c r="AM4" s="19"/>
      <c r="AN4" s="19"/>
      <c r="AO4" s="11">
        <v>545118865</v>
      </c>
      <c r="AP4" s="11">
        <f>AO4</f>
        <v>545118865</v>
      </c>
      <c r="AQ4" s="21">
        <f>AO4/AF17</f>
        <v>9.6335892011156887E-2</v>
      </c>
      <c r="AR4" s="21">
        <f>AP4/AF17</f>
        <v>9.6335892011156887E-2</v>
      </c>
      <c r="AT4" s="10">
        <v>10933469</v>
      </c>
      <c r="AV4" s="10">
        <f t="shared" ref="AV4:AV12" si="3">(AT4-AT3)/AT3</f>
        <v>9.2013324034656552E-4</v>
      </c>
      <c r="BC4" s="18">
        <f>S4/AF4</f>
        <v>1.4212842397520341E-2</v>
      </c>
      <c r="BD4" s="10">
        <v>2015</v>
      </c>
      <c r="BE4" s="18">
        <f>SUM(T14:T17)/AVERAGE(AF14:AF17)</f>
        <v>5.8016302548056842E-2</v>
      </c>
      <c r="BF4" s="18">
        <f>SUM(P14:P17)/AVERAGE(AF14:AF17)</f>
        <v>1.2830632772659245E-2</v>
      </c>
      <c r="BG4" s="18">
        <f>SUM(D14:D17)/AVERAGE(AF14:AF17)</f>
        <v>7.8007936690882476E-2</v>
      </c>
      <c r="BH4" s="18">
        <f>(SUM(H14:H17)+SUM(J14:J17))/AVERAGE(AF14:AF17)</f>
        <v>0</v>
      </c>
      <c r="BI4" s="19">
        <f t="shared" si="2"/>
        <v>-3.2822266915484871E-2</v>
      </c>
    </row>
    <row r="5" spans="1:61">
      <c r="A5" s="10">
        <v>2014</v>
      </c>
      <c r="B5" s="10">
        <v>3</v>
      </c>
      <c r="C5" s="11">
        <v>79948619.698482305</v>
      </c>
      <c r="D5" s="11"/>
      <c r="E5" s="11">
        <v>14531608.437999999</v>
      </c>
      <c r="F5" s="11"/>
      <c r="G5" s="12"/>
      <c r="H5" s="12"/>
      <c r="I5" s="12"/>
      <c r="J5" s="15"/>
      <c r="K5" s="16">
        <v>2697105.9034000002</v>
      </c>
      <c r="L5" s="11"/>
      <c r="M5" s="11">
        <v>618357.67000000004</v>
      </c>
      <c r="N5" s="11"/>
      <c r="O5" s="11">
        <v>17397319.126396801</v>
      </c>
      <c r="P5" s="11"/>
      <c r="Q5" s="11">
        <v>16666086.76898</v>
      </c>
      <c r="R5" s="11"/>
      <c r="S5" s="11">
        <v>63724227.302598797</v>
      </c>
      <c r="T5" s="11"/>
      <c r="U5" s="11">
        <v>145660.84302</v>
      </c>
      <c r="V5" s="16"/>
      <c r="W5" s="16">
        <v>365858.00147638301</v>
      </c>
      <c r="X5" s="11"/>
      <c r="Y5" s="11">
        <f t="shared" si="0"/>
        <v>-1035324.3993999995</v>
      </c>
      <c r="Z5" s="11"/>
      <c r="AA5" s="11">
        <f t="shared" si="1"/>
        <v>-33621711.522280306</v>
      </c>
      <c r="AB5" s="11"/>
      <c r="AC5" s="17"/>
      <c r="AD5" s="11">
        <v>4685503118.6782703</v>
      </c>
      <c r="AE5" s="11">
        <v>96.348619912999993</v>
      </c>
      <c r="AF5" s="11">
        <f>AD5*100/AE5</f>
        <v>4863072374.995245</v>
      </c>
      <c r="AG5" s="11"/>
      <c r="AH5" s="18">
        <f>AA5/AF5</f>
        <v>-6.9136769781908049E-3</v>
      </c>
      <c r="AI5" s="14">
        <v>2016</v>
      </c>
      <c r="AJ5" s="19">
        <f>SUM(AB18:AB21)/AVERAGE(AF18:AF21)</f>
        <v>-3.0485746542112804E-2</v>
      </c>
      <c r="AK5" s="19"/>
      <c r="AL5" s="19"/>
      <c r="AM5" s="19"/>
      <c r="AN5" s="19"/>
      <c r="AO5" s="11">
        <v>527406836</v>
      </c>
      <c r="AP5" s="11">
        <f>AO5</f>
        <v>527406836</v>
      </c>
      <c r="AQ5" s="21">
        <f>AO5/AF21</f>
        <v>9.6733053127945015E-2</v>
      </c>
      <c r="AR5" s="21">
        <f>AP5/AF21</f>
        <v>9.6733053127945015E-2</v>
      </c>
      <c r="AT5" s="10">
        <v>10927942</v>
      </c>
      <c r="AV5" s="10">
        <f t="shared" si="3"/>
        <v>-5.0551202001853203E-4</v>
      </c>
      <c r="BC5" s="18">
        <f>S5/AF5</f>
        <v>1.3103697084635945E-2</v>
      </c>
      <c r="BD5" s="10">
        <v>2016</v>
      </c>
      <c r="BE5" s="18">
        <f>SUM(T18:T21)/AVERAGE(AF18:AF21)</f>
        <v>5.685357467336042E-2</v>
      </c>
      <c r="BF5" s="18">
        <f>SUM(P18:P21)/AVERAGE(AF18:AF21)</f>
        <v>1.267400020370495E-2</v>
      </c>
      <c r="BG5" s="18">
        <f>SUM(D18:D21)/AVERAGE(AF18:AF21)</f>
        <v>7.4665321011768274E-2</v>
      </c>
      <c r="BH5" s="18">
        <f>(SUM(H18:H21)+SUM(J18:J21))/AVERAGE(AF18:AF21)</f>
        <v>2.3570041187072876E-5</v>
      </c>
      <c r="BI5" s="19">
        <f t="shared" si="2"/>
        <v>-3.0509316583299875E-2</v>
      </c>
    </row>
    <row r="6" spans="1:61">
      <c r="A6" s="10">
        <v>2014</v>
      </c>
      <c r="B6" s="10">
        <v>4</v>
      </c>
      <c r="C6" s="11">
        <v>83342500.446047202</v>
      </c>
      <c r="D6" s="11"/>
      <c r="E6" s="11">
        <v>15148485.804</v>
      </c>
      <c r="F6" s="11"/>
      <c r="G6" s="12"/>
      <c r="H6" s="12"/>
      <c r="I6" s="12"/>
      <c r="J6" s="15"/>
      <c r="K6" s="16">
        <v>2598760.7445</v>
      </c>
      <c r="L6" s="11"/>
      <c r="M6" s="11">
        <v>597485.603</v>
      </c>
      <c r="N6" s="11"/>
      <c r="O6" s="11">
        <v>16772169.366415</v>
      </c>
      <c r="P6" s="11"/>
      <c r="Q6" s="11">
        <v>20600306.344000001</v>
      </c>
      <c r="R6" s="11"/>
      <c r="S6" s="11">
        <v>78767056.8481365</v>
      </c>
      <c r="T6" s="11"/>
      <c r="U6" s="11">
        <v>143630.44399999999</v>
      </c>
      <c r="V6" s="16"/>
      <c r="W6" s="16">
        <v>360758.22508998099</v>
      </c>
      <c r="X6" s="11"/>
      <c r="Y6" s="11">
        <f t="shared" si="0"/>
        <v>2399204.6364999991</v>
      </c>
      <c r="Z6" s="11"/>
      <c r="AA6" s="11">
        <f t="shared" si="1"/>
        <v>-21347612.964325704</v>
      </c>
      <c r="AB6" s="11"/>
      <c r="AC6" s="17"/>
      <c r="AD6" s="11">
        <v>5010564196.8707304</v>
      </c>
      <c r="AE6" s="11">
        <v>100</v>
      </c>
      <c r="AF6" s="11">
        <f>AD6*100/AE6</f>
        <v>5010564196.8707304</v>
      </c>
      <c r="AG6" s="11"/>
      <c r="AH6" s="18">
        <f>AA6/AF6</f>
        <v>-4.260520796771354E-3</v>
      </c>
      <c r="AI6" s="14">
        <v>2017</v>
      </c>
      <c r="AJ6" s="19">
        <f>SUM(AB22:AB25)/AVERAGE(AF22:AF25)</f>
        <v>-3.4376308905891252E-2</v>
      </c>
      <c r="AK6" s="19"/>
      <c r="AL6" s="19"/>
      <c r="AM6" s="19"/>
      <c r="AN6" s="11">
        <v>46349018</v>
      </c>
      <c r="AO6" s="11">
        <v>580675520</v>
      </c>
      <c r="AP6" s="11">
        <f>AO6</f>
        <v>580675520</v>
      </c>
      <c r="AQ6" s="21">
        <f>AO6/AF25</f>
        <v>0.10103933176461725</v>
      </c>
      <c r="AR6" s="21">
        <f>AP6/AF25</f>
        <v>0.10103933176461725</v>
      </c>
      <c r="AT6" s="10">
        <v>11163575</v>
      </c>
      <c r="AV6" s="10">
        <f t="shared" si="3"/>
        <v>2.1562431425789046E-2</v>
      </c>
      <c r="BC6" s="18">
        <f>S6/AF6</f>
        <v>1.5720197118186657E-2</v>
      </c>
      <c r="BD6" s="10">
        <v>2017</v>
      </c>
      <c r="BE6" s="18">
        <f>SUM(T22:T25)/AVERAGE(AF22:AF25)</f>
        <v>5.6359558616476874E-2</v>
      </c>
      <c r="BF6" s="18">
        <f>SUM(P22:P25)/AVERAGE(AF22:AF25)</f>
        <v>1.5482416354218705E-2</v>
      </c>
      <c r="BG6" s="18">
        <f>SUM(D22:D25)/AVERAGE(AF22:AF25)</f>
        <v>7.525345116814941E-2</v>
      </c>
      <c r="BH6" s="18">
        <f>(SUM(H22:H25)+SUM(J22:J25))/AVERAGE(AF22:AF25)</f>
        <v>4.6394536051195531E-4</v>
      </c>
      <c r="BI6" s="19">
        <f t="shared" si="2"/>
        <v>-3.4840254266403206E-2</v>
      </c>
    </row>
    <row r="7" spans="1:61">
      <c r="A7" s="10">
        <v>2015</v>
      </c>
      <c r="B7" s="10">
        <v>1</v>
      </c>
      <c r="C7" s="11">
        <v>87220448.7038403</v>
      </c>
      <c r="D7" s="11"/>
      <c r="E7" s="11">
        <v>15853348.733999999</v>
      </c>
      <c r="F7" s="11"/>
      <c r="G7" s="12"/>
      <c r="H7" s="12"/>
      <c r="I7" s="12"/>
      <c r="J7" s="15"/>
      <c r="K7" s="16">
        <v>3002195.4358999999</v>
      </c>
      <c r="L7" s="11"/>
      <c r="M7" s="11">
        <v>654530.51300000004</v>
      </c>
      <c r="N7" s="11"/>
      <c r="O7" s="11">
        <v>19179435.069263499</v>
      </c>
      <c r="P7" s="11"/>
      <c r="Q7" s="11">
        <v>18139908.10636</v>
      </c>
      <c r="R7" s="11"/>
      <c r="S7" s="11">
        <v>69359510.930272505</v>
      </c>
      <c r="T7" s="11"/>
      <c r="U7" s="11">
        <v>167252.22263999999</v>
      </c>
      <c r="V7" s="16"/>
      <c r="W7" s="16">
        <v>420089.31603637501</v>
      </c>
      <c r="X7" s="11"/>
      <c r="Y7" s="11">
        <f t="shared" si="0"/>
        <v>-1202914.3538999986</v>
      </c>
      <c r="Z7" s="11"/>
      <c r="AA7" s="11">
        <f t="shared" si="1"/>
        <v>-37040372.842831299</v>
      </c>
      <c r="AB7" s="11"/>
      <c r="AC7" s="17"/>
      <c r="AD7" s="11"/>
      <c r="AE7" s="11"/>
      <c r="AF7" s="11"/>
      <c r="AG7" s="11"/>
      <c r="AH7" s="18"/>
      <c r="AI7" s="14">
        <f t="shared" ref="AI7:AI29" si="4">AI6+1</f>
        <v>2018</v>
      </c>
      <c r="AJ7" s="19">
        <f>SUM(AB26:AB29)/AVERAGE(AF26:AF29)</f>
        <v>-2.9033964349267905E-2</v>
      </c>
      <c r="AK7" s="11">
        <v>35535360</v>
      </c>
      <c r="AL7" s="19">
        <f>AK7/AVERAGE(AF26:AF29)</f>
        <v>6.1936948512950956E-3</v>
      </c>
      <c r="AM7" s="19">
        <f>(AF29-AF25)/AF25</f>
        <v>8.2930165512698079E-3</v>
      </c>
      <c r="AN7" s="11">
        <f>+ (((((((((((AN6*((1+AM7)^(1/12))-AK7/12)*((1+AM7)^(1/12))-AK7/12)*((1+AM7)^(1/12))-AK7/12)*((1+AM7)^(1/12))-AK7/12)*((1+AM7)^(1/12))-AK7/12)*((1+AM7)^(1/12))-AK7/12)*((1+AM7)^(1/12))-AK7/12)*((1+AM7)^(1/12))-AK7/12)*((1+AM7)^(1/12))-AK7/12)*((1+AM7)^(1/12))-AK7/12)*((1+AM7)^(1/12))-AK7/12)*((1+AM7)^(1/12))-AK7/12</f>
        <v>11063163.892018823</v>
      </c>
      <c r="AO7" s="11">
        <f t="shared" ref="AO7:AO29" si="5">AO6*(1+AM7)</f>
        <v>585491071.69827724</v>
      </c>
      <c r="AP7" s="11">
        <f>AO7</f>
        <v>585491071.69827724</v>
      </c>
      <c r="AQ7" s="21">
        <f>AO7/AF29</f>
        <v>0.10103933176461725</v>
      </c>
      <c r="AR7" s="21">
        <f>AP7/AF29</f>
        <v>0.10103933176461725</v>
      </c>
      <c r="AT7" s="10">
        <v>11012334</v>
      </c>
      <c r="AV7" s="10">
        <f t="shared" si="3"/>
        <v>-1.3547721048140941E-2</v>
      </c>
      <c r="BC7" s="18">
        <f t="shared" ref="BC7:BC38" si="6">T14/AF14</f>
        <v>1.3827254222720372E-2</v>
      </c>
      <c r="BD7" s="10">
        <f t="shared" ref="BD7:BD29" si="7">BD6+1</f>
        <v>2018</v>
      </c>
      <c r="BE7" s="18">
        <f>SUM(T26:T29)/AVERAGE(AF26:AF29)</f>
        <v>5.6195583891527789E-2</v>
      </c>
      <c r="BF7" s="18">
        <f>SUM(P26:P29)/AVERAGE(AF26:AF29)</f>
        <v>1.3503493472755861E-2</v>
      </c>
      <c r="BG7" s="18">
        <f>SUM(D26:D29)/AVERAGE(AF26:AF29)</f>
        <v>7.1726054768039824E-2</v>
      </c>
      <c r="BH7" s="18">
        <f>(SUM(H26:H29)+SUM(J26:J29))/AVERAGE(AF26:AF29)</f>
        <v>9.082283568402098E-4</v>
      </c>
      <c r="BI7" s="19">
        <f t="shared" si="2"/>
        <v>-2.9942192706108116E-2</v>
      </c>
    </row>
    <row r="8" spans="1:61">
      <c r="A8" s="10">
        <v>2015</v>
      </c>
      <c r="B8" s="10">
        <v>2</v>
      </c>
      <c r="C8" s="11">
        <v>94524704.7581871</v>
      </c>
      <c r="D8" s="11"/>
      <c r="E8" s="11">
        <v>17180984.028999999</v>
      </c>
      <c r="F8" s="11"/>
      <c r="G8" s="12"/>
      <c r="H8" s="12"/>
      <c r="I8" s="12"/>
      <c r="J8" s="15"/>
      <c r="K8" s="16">
        <v>2371185.1833000001</v>
      </c>
      <c r="L8" s="11"/>
      <c r="M8" s="11">
        <v>696491.069000002</v>
      </c>
      <c r="N8" s="16"/>
      <c r="O8" s="16">
        <v>16135978.221071601</v>
      </c>
      <c r="P8" s="16"/>
      <c r="Q8" s="11">
        <v>21552530.200959999</v>
      </c>
      <c r="R8" s="11"/>
      <c r="S8" s="11">
        <v>82407967.299702004</v>
      </c>
      <c r="T8" s="16"/>
      <c r="U8" s="16">
        <v>188439.08603999999</v>
      </c>
      <c r="V8" s="16"/>
      <c r="W8" s="16">
        <v>473304.60259085899</v>
      </c>
      <c r="X8" s="11"/>
      <c r="Y8" s="11">
        <f t="shared" si="0"/>
        <v>1492309.0056999996</v>
      </c>
      <c r="Z8" s="11"/>
      <c r="AA8" s="11">
        <f t="shared" si="1"/>
        <v>-28252715.679556698</v>
      </c>
      <c r="AB8" s="11"/>
      <c r="AC8" s="17"/>
      <c r="AD8" s="11"/>
      <c r="AE8" s="11"/>
      <c r="AF8" s="11"/>
      <c r="AG8" s="11"/>
      <c r="AH8" s="18"/>
      <c r="AI8" s="14">
        <f t="shared" si="4"/>
        <v>2019</v>
      </c>
      <c r="AJ8" s="19">
        <f>SUM(AB30:AB33)/AVERAGE(AF30:AF33)</f>
        <v>-2.6273191586877218E-2</v>
      </c>
      <c r="AK8" s="11">
        <v>34453133</v>
      </c>
      <c r="AL8" s="19">
        <f>AK8/AVERAGE(AF30:AF33)</f>
        <v>5.7976384977782456E-3</v>
      </c>
      <c r="AM8" s="19">
        <f>(AF33-AF29)/AF29</f>
        <v>3.8793433189633124E-2</v>
      </c>
      <c r="AN8" s="11">
        <f>((((AN7*((1+AM8)^(1/12))-AK8/12)*((1+AM8)^(1/12))-AK8/12)*((1+AM8)^(1/12))-AK8/12)*((1+AM8)^(1/12))-AK8/12)*((1+AM8)^(1/12))-AK8/12</f>
        <v>-3206962.9229808897</v>
      </c>
      <c r="AO8" s="11">
        <f t="shared" si="5"/>
        <v>608204280.471331</v>
      </c>
      <c r="AP8" s="11">
        <f>((((((((AO7*((1+AM8)^(4/12)))*((1+AM8)^(1/12))+AN8)*((1+AM8)^(1/12))-AK8/12)*((1+AM8)^(1/12))-AK8/12)*((1+AM8)^(1/12))-AK8/12)*((1+AM8)^(1/12))-AK8/12)*((1+AM8)^(1/12))-AK8/12)*((1+AM8)^(1/12))-AK8/12)*((1+AM8)^(1/12))-AK8/12</f>
        <v>584635111.17476964</v>
      </c>
      <c r="AQ8" s="21">
        <f>AO8/AF33</f>
        <v>0.10103933176461724</v>
      </c>
      <c r="AR8" s="21">
        <f>AP8/AF33</f>
        <v>9.7123849430086145E-2</v>
      </c>
      <c r="AT8" s="10">
        <v>11082939</v>
      </c>
      <c r="AV8" s="10">
        <f t="shared" si="3"/>
        <v>6.4114473825439729E-3</v>
      </c>
      <c r="BC8" s="18">
        <f t="shared" si="6"/>
        <v>1.492750383483619E-2</v>
      </c>
      <c r="BD8" s="10">
        <f t="shared" si="7"/>
        <v>2019</v>
      </c>
      <c r="BE8" s="18">
        <f>SUM(T30:T33)/AVERAGE(AF30:AF33)</f>
        <v>5.644515813045585E-2</v>
      </c>
      <c r="BF8" s="18">
        <f>SUM(P30:P33)/AVERAGE(AF30:AF33)</f>
        <v>1.2330230729624088E-2</v>
      </c>
      <c r="BG8" s="18">
        <f>SUM(D30:D33)/AVERAGE(AF30:AF33)</f>
        <v>7.0388118987708984E-2</v>
      </c>
      <c r="BH8" s="18">
        <f>(SUM(H30:H33)+SUM(J30:J33))/AVERAGE(AF30:AF33)</f>
        <v>1.3253404176312873E-3</v>
      </c>
      <c r="BI8" s="19">
        <f t="shared" si="2"/>
        <v>-2.7598532004508507E-2</v>
      </c>
    </row>
    <row r="9" spans="1:61">
      <c r="A9" s="10">
        <v>2016</v>
      </c>
      <c r="B9" s="10">
        <v>2</v>
      </c>
      <c r="C9" s="11">
        <v>97915025.902647793</v>
      </c>
      <c r="D9" s="11"/>
      <c r="E9" s="11">
        <v>17797214.875</v>
      </c>
      <c r="F9" s="11"/>
      <c r="G9" s="12"/>
      <c r="H9" s="12"/>
      <c r="I9" s="12"/>
      <c r="J9" s="15"/>
      <c r="K9" s="16"/>
      <c r="L9" s="11"/>
      <c r="M9" s="11">
        <v>732730.52299999795</v>
      </c>
      <c r="N9" s="16"/>
      <c r="O9" s="16"/>
      <c r="P9" s="16"/>
      <c r="Q9" s="11"/>
      <c r="R9" s="11"/>
      <c r="S9" s="11"/>
      <c r="T9" s="16"/>
      <c r="U9" s="16"/>
      <c r="V9" s="16"/>
      <c r="W9" s="16"/>
      <c r="X9" s="11"/>
      <c r="Y9" s="11"/>
      <c r="Z9" s="11"/>
      <c r="AA9" s="11"/>
      <c r="AB9" s="11"/>
      <c r="AC9" s="17"/>
      <c r="AD9" s="11"/>
      <c r="AE9" s="11"/>
      <c r="AF9" s="11"/>
      <c r="AG9" s="11"/>
      <c r="AH9" s="18"/>
      <c r="AI9" s="14">
        <f t="shared" si="4"/>
        <v>2020</v>
      </c>
      <c r="AJ9" s="19">
        <f>SUM(AB34:AB37)/AVERAGE(AF34:AF37)</f>
        <v>-2.7598730646659093E-2</v>
      </c>
      <c r="AK9" s="11">
        <v>32921701</v>
      </c>
      <c r="AL9" s="19">
        <f>AK9/AVERAGE(AF34:AF37)</f>
        <v>5.4209478061076847E-3</v>
      </c>
      <c r="AM9" s="19">
        <f>(AF37-AF33)/AF33</f>
        <v>1.933293524908377E-2</v>
      </c>
      <c r="AN9" s="19"/>
      <c r="AO9" s="11">
        <f t="shared" si="5"/>
        <v>619962654.44389892</v>
      </c>
      <c r="AP9" s="11">
        <f t="shared" ref="AP9:AP29" si="8">(((((((((((AP8*((1+AM9)^(1/12))-AK9/12)*((1+AM9)^(1/12))-AK9/12)*((1+AM9)^(1/12))-AK9/12)*((1+AM9)^(1/12))-AK9/12)*((1+AM9)^(1/12))-AK9/12)*((1+AM9)^(1/12))-AK9/12)*((1+AM9)^(1/12))-AK9/12)*((1+AM9)^(1/12))-AK9/12)*((1+AM9)^(1/12))-AK9/12)*((1+AM9)^(1/12))-AK9/12)*((1+AM9)^(1/12))-AK9/12)*((1+AM9)^(1/12))-AK9/12</f>
        <v>562725414.6421777</v>
      </c>
      <c r="AQ9" s="21">
        <f>AO9/AF37</f>
        <v>0.10103933176461725</v>
      </c>
      <c r="AR9" s="21">
        <f>AP9/AF37</f>
        <v>9.1711007840324502E-2</v>
      </c>
      <c r="AT9" s="10">
        <v>11339977</v>
      </c>
      <c r="AV9" s="10">
        <f t="shared" si="3"/>
        <v>2.3192223651145243E-2</v>
      </c>
      <c r="BC9" s="18">
        <f t="shared" si="6"/>
        <v>1.3592051892300453E-2</v>
      </c>
      <c r="BD9" s="10">
        <f t="shared" si="7"/>
        <v>2020</v>
      </c>
      <c r="BE9" s="18">
        <f>SUM(T34:T37)/AVERAGE(AF34:AF37)</f>
        <v>5.6416658460660137E-2</v>
      </c>
      <c r="BF9" s="18">
        <f>SUM(P34:P37)/AVERAGE(AF34:AF37)</f>
        <v>1.2150588930940953E-2</v>
      </c>
      <c r="BG9" s="18">
        <f>SUM(D34:D37)/AVERAGE(AF34:AF37)</f>
        <v>7.186480017637828E-2</v>
      </c>
      <c r="BH9" s="18">
        <f>(SUM(H34:H37)+SUM(J34:J37))/AVERAGE(AF34:AF37)</f>
        <v>1.8059858299058521E-3</v>
      </c>
      <c r="BI9" s="19">
        <f t="shared" si="2"/>
        <v>-2.9404716476564945E-2</v>
      </c>
    </row>
    <row r="10" spans="1:61">
      <c r="A10" s="10">
        <v>2016</v>
      </c>
      <c r="B10" s="10">
        <v>3</v>
      </c>
      <c r="C10" s="11">
        <v>100917465.84456199</v>
      </c>
      <c r="D10" s="11"/>
      <c r="E10" s="11">
        <v>18342943.715</v>
      </c>
      <c r="F10" s="11"/>
      <c r="G10" s="12"/>
      <c r="H10" s="12"/>
      <c r="I10" s="12"/>
      <c r="J10" s="15"/>
      <c r="K10" s="16"/>
      <c r="L10" s="11"/>
      <c r="M10" s="11">
        <v>775294.91</v>
      </c>
      <c r="N10" s="16"/>
      <c r="O10" s="16"/>
      <c r="P10" s="16"/>
      <c r="Q10" s="11"/>
      <c r="R10" s="11"/>
      <c r="S10" s="11"/>
      <c r="T10" s="16"/>
      <c r="U10" s="11"/>
      <c r="V10" s="16"/>
      <c r="W10" s="16"/>
      <c r="X10" s="11"/>
      <c r="Y10" s="11"/>
      <c r="Z10" s="11"/>
      <c r="AA10" s="11"/>
      <c r="AB10" s="11"/>
      <c r="AC10" s="17"/>
      <c r="AD10" s="11"/>
      <c r="AE10" s="11"/>
      <c r="AF10" s="11"/>
      <c r="AG10" s="11"/>
      <c r="AH10" s="18"/>
      <c r="AI10" s="14">
        <f t="shared" si="4"/>
        <v>2021</v>
      </c>
      <c r="AJ10" s="19">
        <f>SUM(AB38:AB41)/AVERAGE(AF38:AF41)</f>
        <v>-2.679010124149124E-2</v>
      </c>
      <c r="AK10" s="11">
        <v>31128780</v>
      </c>
      <c r="AL10" s="19">
        <f>AK10/AVERAGE(AF38:AF41)</f>
        <v>4.9648128380257285E-3</v>
      </c>
      <c r="AM10" s="19">
        <f>(AF41-AF37)/AF37</f>
        <v>3.3413196682465722E-2</v>
      </c>
      <c r="AN10" s="19"/>
      <c r="AO10" s="11">
        <f t="shared" si="5"/>
        <v>640677588.55261648</v>
      </c>
      <c r="AP10" s="11">
        <f t="shared" si="8"/>
        <v>549925200.5325011</v>
      </c>
      <c r="AQ10" s="21">
        <f>AO10/AF41</f>
        <v>0.10103933176461727</v>
      </c>
      <c r="AR10" s="21">
        <f>AP10/AF41</f>
        <v>8.6727046138533354E-2</v>
      </c>
      <c r="AT10" s="10">
        <v>11479064</v>
      </c>
      <c r="AV10" s="10">
        <f t="shared" si="3"/>
        <v>1.2265192424993455E-2</v>
      </c>
      <c r="BC10" s="18">
        <f t="shared" si="6"/>
        <v>1.5585340256804837E-2</v>
      </c>
      <c r="BD10" s="10">
        <f t="shared" si="7"/>
        <v>2021</v>
      </c>
      <c r="BE10" s="18">
        <f>SUM(T38:T41)/AVERAGE(AF38:AF41)</f>
        <v>5.6499635921774517E-2</v>
      </c>
      <c r="BF10" s="18">
        <f>SUM(P38:P41)/AVERAGE(AF38:AF41)</f>
        <v>1.1830895898780534E-2</v>
      </c>
      <c r="BG10" s="18">
        <f>SUM(D38:D41)/AVERAGE(AF38:AF41)</f>
        <v>7.1458841264485221E-2</v>
      </c>
      <c r="BH10" s="18">
        <f>(SUM(H38:H41)+SUM(J38:J41))/AVERAGE(AF38:AF41)</f>
        <v>2.2116768775370704E-3</v>
      </c>
      <c r="BI10" s="19">
        <f t="shared" si="2"/>
        <v>-2.900177811902831E-2</v>
      </c>
    </row>
    <row r="11" spans="1:61">
      <c r="A11" s="10">
        <v>2016</v>
      </c>
      <c r="B11" s="10">
        <v>4</v>
      </c>
      <c r="C11" s="11">
        <v>108710229.285033</v>
      </c>
      <c r="D11" s="11"/>
      <c r="E11" s="11">
        <v>19759371.113000002</v>
      </c>
      <c r="F11" s="11"/>
      <c r="G11" s="12"/>
      <c r="H11" s="12"/>
      <c r="I11" s="12"/>
      <c r="J11" s="15"/>
      <c r="K11" s="16"/>
      <c r="L11" s="11"/>
      <c r="M11" s="11">
        <v>832906.25299999898</v>
      </c>
      <c r="N11" s="16"/>
      <c r="O11" s="16"/>
      <c r="P11" s="11"/>
      <c r="Q11" s="11"/>
      <c r="R11" s="11"/>
      <c r="S11" s="11"/>
      <c r="T11" s="16"/>
      <c r="U11" s="16"/>
      <c r="V11" s="16"/>
      <c r="W11" s="16"/>
      <c r="X11" s="11"/>
      <c r="Y11" s="11"/>
      <c r="Z11" s="11"/>
      <c r="AA11" s="11"/>
      <c r="AB11" s="11"/>
      <c r="AC11" s="17"/>
      <c r="AD11" s="11"/>
      <c r="AE11" s="11"/>
      <c r="AF11" s="11"/>
      <c r="AG11" s="11"/>
      <c r="AH11" s="18"/>
      <c r="AI11" s="14">
        <f t="shared" si="4"/>
        <v>2022</v>
      </c>
      <c r="AJ11" s="19">
        <f>SUM(AB42:AB45)/AVERAGE(AF42:AF45)</f>
        <v>-2.5944889548769369E-2</v>
      </c>
      <c r="AK11" s="11">
        <v>29368804</v>
      </c>
      <c r="AL11" s="19">
        <f>AK11/AVERAGE(AF42:AF45)</f>
        <v>4.5551631418041024E-3</v>
      </c>
      <c r="AM11" s="19">
        <f>(AF45-AF41)/AF41</f>
        <v>2.8327106971498355E-2</v>
      </c>
      <c r="AN11" s="19"/>
      <c r="AO11" s="11">
        <f t="shared" si="5"/>
        <v>658826131.13778806</v>
      </c>
      <c r="AP11" s="11">
        <f t="shared" si="8"/>
        <v>535754806.85447437</v>
      </c>
      <c r="AQ11" s="21">
        <f>AO11/AF45</f>
        <v>0.10103933176461727</v>
      </c>
      <c r="AR11" s="21">
        <f>AP11/AF45</f>
        <v>8.2164785389995942E-2</v>
      </c>
      <c r="AT11" s="10">
        <v>11462881</v>
      </c>
      <c r="AV11" s="10">
        <f t="shared" si="3"/>
        <v>-1.4097839336029488E-3</v>
      </c>
      <c r="BC11" s="18">
        <f t="shared" si="6"/>
        <v>1.3648937813796651E-2</v>
      </c>
      <c r="BD11" s="10">
        <f t="shared" si="7"/>
        <v>2022</v>
      </c>
      <c r="BE11" s="18">
        <f>SUM(T42:T45)/AVERAGE(AF42:AF45)</f>
        <v>5.6802136634607758E-2</v>
      </c>
      <c r="BF11" s="18">
        <f>SUM(P42:P45)/AVERAGE(AF42:AF45)</f>
        <v>1.1533806716958896E-2</v>
      </c>
      <c r="BG11" s="18">
        <f>SUM(D42:D45)/AVERAGE(AF42:AF45)</f>
        <v>7.1213219466418232E-2</v>
      </c>
      <c r="BH11" s="18">
        <f>(SUM(H42:H45)+SUM(J42:J45))/AVERAGE(AF42:AF45)</f>
        <v>2.7313027745368462E-3</v>
      </c>
      <c r="BI11" s="19">
        <f t="shared" si="2"/>
        <v>-2.8676192323306215E-2</v>
      </c>
    </row>
    <row r="12" spans="1:61" ht="11.5" customHeight="1">
      <c r="A12" s="10">
        <v>2017</v>
      </c>
      <c r="B12" s="10">
        <v>1</v>
      </c>
      <c r="C12" s="11">
        <v>106787377.90249901</v>
      </c>
      <c r="D12" s="11"/>
      <c r="E12" s="11">
        <v>19409869.568</v>
      </c>
      <c r="F12" s="11"/>
      <c r="G12" s="12"/>
      <c r="H12" s="12"/>
      <c r="I12" s="12"/>
      <c r="J12" s="15"/>
      <c r="K12" s="16"/>
      <c r="L12" s="11"/>
      <c r="M12" s="11">
        <v>832988.16000000003</v>
      </c>
      <c r="N12" s="16"/>
      <c r="O12" s="16"/>
      <c r="P12" s="16"/>
      <c r="Q12" s="11"/>
      <c r="R12" s="11"/>
      <c r="S12" s="11"/>
      <c r="T12" s="16"/>
      <c r="U12" s="16"/>
      <c r="V12" s="16"/>
      <c r="W12" s="16"/>
      <c r="X12" s="11"/>
      <c r="Y12" s="11"/>
      <c r="Z12" s="11"/>
      <c r="AA12" s="11"/>
      <c r="AB12" s="11"/>
      <c r="AC12" s="17"/>
      <c r="AD12" s="11"/>
      <c r="AE12" s="11"/>
      <c r="AF12" s="11"/>
      <c r="AG12" s="11"/>
      <c r="AH12" s="18"/>
      <c r="AI12" s="14">
        <f t="shared" si="4"/>
        <v>2023</v>
      </c>
      <c r="AJ12" s="19">
        <f>SUM(AB46:AB49)/AVERAGE(AF46:AF49)</f>
        <v>-2.5465246727181579E-2</v>
      </c>
      <c r="AK12" s="11">
        <v>27650569</v>
      </c>
      <c r="AL12" s="19">
        <f>AK12/AVERAGE(AF46:AF49)</f>
        <v>4.1731262646409958E-3</v>
      </c>
      <c r="AM12" s="19">
        <f>(AF49-AF45)/AF45</f>
        <v>2.6258459008031681E-2</v>
      </c>
      <c r="AN12" s="19"/>
      <c r="AO12" s="11">
        <f t="shared" si="5"/>
        <v>676125890.09568977</v>
      </c>
      <c r="AP12" s="11">
        <f t="shared" si="8"/>
        <v>521841112.73925918</v>
      </c>
      <c r="AQ12" s="21">
        <f>AO12/AF49</f>
        <v>0.10103933176461727</v>
      </c>
      <c r="AR12" s="21">
        <f>AP12/AF49</f>
        <v>7.7983224856271738E-2</v>
      </c>
      <c r="AT12" s="10">
        <v>11332510</v>
      </c>
      <c r="AV12" s="10">
        <f t="shared" si="3"/>
        <v>-1.1373318801791626E-2</v>
      </c>
      <c r="BC12" s="18">
        <f t="shared" si="6"/>
        <v>1.4371126013635358E-2</v>
      </c>
      <c r="BD12" s="10">
        <f t="shared" si="7"/>
        <v>2023</v>
      </c>
      <c r="BE12" s="18">
        <f>SUM(T46:T49)/AVERAGE(AF46:AF49)</f>
        <v>5.6751444070484297E-2</v>
      </c>
      <c r="BF12" s="18">
        <f>SUM(P46:P49)/AVERAGE(AF46:AF49)</f>
        <v>1.1195023730426861E-2</v>
      </c>
      <c r="BG12" s="18">
        <f>SUM(D46:D49)/AVERAGE(AF46:AF49)</f>
        <v>7.1021667067239017E-2</v>
      </c>
      <c r="BH12" s="18">
        <f>(SUM(H46:H49)+SUM(J46:J49))/AVERAGE(AF46:AF49)</f>
        <v>3.1641810994764252E-3</v>
      </c>
      <c r="BI12" s="19">
        <f t="shared" si="2"/>
        <v>-2.8629427826658005E-2</v>
      </c>
    </row>
    <row r="13" spans="1:61">
      <c r="C13" s="22"/>
      <c r="E13" s="23"/>
      <c r="F13" s="23"/>
      <c r="G13" s="24"/>
      <c r="H13" s="24"/>
      <c r="I13" s="24"/>
      <c r="J13" s="24"/>
      <c r="K13" s="23"/>
      <c r="L13" s="23"/>
      <c r="M13" s="23"/>
      <c r="N13" s="23"/>
      <c r="O13" s="22"/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5"/>
      <c r="AD13" s="23"/>
      <c r="AE13" s="23"/>
      <c r="AF13" s="23"/>
      <c r="AG13" s="23"/>
      <c r="AH13" s="20"/>
      <c r="AI13" s="26">
        <f t="shared" si="4"/>
        <v>2024</v>
      </c>
      <c r="AJ13" s="27">
        <f>SUM(AB50:AB53)/AVERAGE(AF50:AF53)</f>
        <v>-2.4352250467126323E-2</v>
      </c>
      <c r="AK13" s="23">
        <v>26006201</v>
      </c>
      <c r="AL13" s="27">
        <f>AK13/AVERAGE(AF50:AF53)</f>
        <v>3.805354798412965E-3</v>
      </c>
      <c r="AM13" s="27">
        <f>(AF53-AF49)/AF49</f>
        <v>3.5074771093290144E-2</v>
      </c>
      <c r="AN13" s="27"/>
      <c r="AO13" s="23">
        <f t="shared" si="5"/>
        <v>699840850.92104316</v>
      </c>
      <c r="AP13" s="23">
        <f t="shared" si="8"/>
        <v>513722897.4864493</v>
      </c>
      <c r="AQ13" s="28">
        <f>AO13/AF53</f>
        <v>0.10103933176461727</v>
      </c>
      <c r="AR13" s="28">
        <f>AP13/AF53</f>
        <v>7.4168603055825247E-2</v>
      </c>
      <c r="BC13" s="20">
        <f t="shared" si="6"/>
        <v>1.3371306482896899E-2</v>
      </c>
      <c r="BD13">
        <f t="shared" si="7"/>
        <v>2024</v>
      </c>
      <c r="BE13" s="20">
        <f>SUM(T50:T53)/AVERAGE(AF50:AF53)</f>
        <v>5.7049624136922633E-2</v>
      </c>
      <c r="BF13" s="20">
        <f>SUM(P50:P53)/AVERAGE(AF50:AF53)</f>
        <v>1.0963151866877087E-2</v>
      </c>
      <c r="BG13" s="20">
        <f>SUM(D50:D53)/AVERAGE(AF50:AF53)</f>
        <v>7.0438722737171874E-2</v>
      </c>
      <c r="BH13" s="20">
        <f>(SUM(H50:H53)+SUM(J50:J53))/AVERAGE(AF50:AF53)</f>
        <v>3.6367359941673152E-3</v>
      </c>
      <c r="BI13" s="27">
        <f t="shared" si="2"/>
        <v>-2.7988986461293639E-2</v>
      </c>
    </row>
    <row r="14" spans="1:61" s="29" customFormat="1">
      <c r="A14" s="29">
        <v>2015</v>
      </c>
      <c r="B14" s="29">
        <v>1</v>
      </c>
      <c r="C14" s="30"/>
      <c r="D14" s="52">
        <v>94935467.946732298</v>
      </c>
      <c r="E14" s="37"/>
      <c r="F14" s="52">
        <v>17255645.071814399</v>
      </c>
      <c r="G14" s="31">
        <v>0</v>
      </c>
      <c r="H14" s="31">
        <v>0</v>
      </c>
      <c r="I14" s="31">
        <v>0</v>
      </c>
      <c r="J14" s="32">
        <v>0</v>
      </c>
      <c r="K14" s="30"/>
      <c r="L14" s="52">
        <v>2539896.5458378801</v>
      </c>
      <c r="M14" s="33"/>
      <c r="N14" s="52">
        <v>705811.99728036299</v>
      </c>
      <c r="O14" s="30"/>
      <c r="P14" s="52">
        <v>17062704.611343101</v>
      </c>
      <c r="Q14" s="33"/>
      <c r="R14" s="52">
        <v>17864532.400856201</v>
      </c>
      <c r="S14" s="33"/>
      <c r="T14" s="52">
        <v>68306587.984066397</v>
      </c>
      <c r="U14" s="30"/>
      <c r="V14" s="52">
        <v>116424.766458671</v>
      </c>
      <c r="W14" s="33"/>
      <c r="X14" s="52">
        <v>292425.44715261197</v>
      </c>
      <c r="Y14" s="30"/>
      <c r="Z14" s="30">
        <f t="shared" ref="Z14:Z45" si="9">R14+V14-N14-L14-F14</f>
        <v>-2520396.4476177692</v>
      </c>
      <c r="AA14" s="30"/>
      <c r="AB14" s="30">
        <f t="shared" ref="AB14:AB45" si="10">T14-P14-D14</f>
        <v>-43691584.574009001</v>
      </c>
      <c r="AC14" s="17"/>
      <c r="AD14" s="30">
        <v>5092693740.32864</v>
      </c>
      <c r="AE14" s="30">
        <v>103.09103866</v>
      </c>
      <c r="AF14" s="30">
        <f t="shared" ref="AF14:AF25" si="11">AD14*100/AE14</f>
        <v>4939996537.5502996</v>
      </c>
      <c r="AG14" s="30"/>
      <c r="AH14" s="34">
        <f t="shared" ref="AH14:AH45" si="12">AB14/AF14</f>
        <v>-8.8444565177115027E-3</v>
      </c>
      <c r="AI14" s="35">
        <f t="shared" si="4"/>
        <v>2025</v>
      </c>
      <c r="AJ14" s="36">
        <f>SUM(AB54:AB57)/AVERAGE(AF54:AF57)</f>
        <v>-2.335396964946005E-2</v>
      </c>
      <c r="AK14" s="30">
        <v>24341792</v>
      </c>
      <c r="AL14" s="36">
        <f>AK14/AVERAGE(AF54:AF57)</f>
        <v>3.4633153443086777E-3</v>
      </c>
      <c r="AM14" s="36">
        <f>(AF57-AF53)/AF53</f>
        <v>2.2541635424459774E-2</v>
      </c>
      <c r="AN14" s="36"/>
      <c r="AO14" s="30">
        <f t="shared" si="5"/>
        <v>715616408.23764908</v>
      </c>
      <c r="AP14" s="30">
        <f t="shared" si="8"/>
        <v>500710782.69997638</v>
      </c>
      <c r="AQ14" s="37">
        <f>AO14/AF57</f>
        <v>0.10103933176461728</v>
      </c>
      <c r="AR14" s="37">
        <f>AP14/AF57</f>
        <v>7.0696370721761284E-2</v>
      </c>
      <c r="AU14" s="29">
        <v>11004289</v>
      </c>
      <c r="AW14" s="29">
        <f>(AU14-AT6)/AT6</f>
        <v>-1.4268368331829186E-2</v>
      </c>
      <c r="AX14" s="53">
        <v>6368.9065332603996</v>
      </c>
      <c r="BC14" s="34">
        <f t="shared" si="6"/>
        <v>1.5435953799932048E-2</v>
      </c>
      <c r="BD14" s="29">
        <f t="shared" si="7"/>
        <v>2025</v>
      </c>
      <c r="BE14" s="34">
        <f>SUM(T54:T57)/AVERAGE(AF54:AF57)</f>
        <v>5.7158627543258546E-2</v>
      </c>
      <c r="BF14" s="34">
        <f>SUM(P54:P57)/AVERAGE(AF54:AF57)</f>
        <v>1.0768943003569932E-2</v>
      </c>
      <c r="BG14" s="34">
        <f>SUM(D54:D57)/AVERAGE(AF54:AF57)</f>
        <v>6.9743654189148657E-2</v>
      </c>
      <c r="BH14" s="34">
        <f>(SUM(H54:H57)+SUM(J54:J57))/AVERAGE(AF54:AF57)</f>
        <v>5.0026552482451501E-3</v>
      </c>
      <c r="BI14" s="36">
        <f t="shared" si="2"/>
        <v>-2.8356624897705199E-2</v>
      </c>
    </row>
    <row r="15" spans="1:61" s="39" customFormat="1">
      <c r="A15" s="39">
        <v>2015</v>
      </c>
      <c r="B15" s="39">
        <v>2</v>
      </c>
      <c r="C15" s="40"/>
      <c r="D15" s="55">
        <v>109339014.260114</v>
      </c>
      <c r="E15" s="40"/>
      <c r="F15" s="55">
        <v>19873660.112290099</v>
      </c>
      <c r="G15" s="41">
        <v>0</v>
      </c>
      <c r="H15" s="41">
        <v>0</v>
      </c>
      <c r="I15" s="41">
        <v>0</v>
      </c>
      <c r="J15" s="42">
        <v>0</v>
      </c>
      <c r="K15" s="40"/>
      <c r="L15" s="55">
        <v>2236649.19177722</v>
      </c>
      <c r="M15" s="43"/>
      <c r="N15" s="55">
        <v>815524.15203720704</v>
      </c>
      <c r="O15" s="40"/>
      <c r="P15" s="55">
        <v>16092756.5546983</v>
      </c>
      <c r="Q15" s="43"/>
      <c r="R15" s="55">
        <v>21768919.327668201</v>
      </c>
      <c r="S15" s="43"/>
      <c r="T15" s="55">
        <v>83235349.7985847</v>
      </c>
      <c r="U15" s="40"/>
      <c r="V15" s="55">
        <v>117941.839121197</v>
      </c>
      <c r="W15" s="43"/>
      <c r="X15" s="55">
        <v>296235.896296694</v>
      </c>
      <c r="Y15" s="40"/>
      <c r="Z15" s="40">
        <f t="shared" si="9"/>
        <v>-1038972.2893151268</v>
      </c>
      <c r="AA15" s="40"/>
      <c r="AB15" s="40">
        <f t="shared" si="10"/>
        <v>-42196421.016227603</v>
      </c>
      <c r="AC15" s="17"/>
      <c r="AD15" s="40">
        <v>5951478855.3666</v>
      </c>
      <c r="AE15" s="40">
        <v>106.73436665</v>
      </c>
      <c r="AF15" s="40">
        <f t="shared" si="11"/>
        <v>5575972427.7771788</v>
      </c>
      <c r="AG15" s="40"/>
      <c r="AH15" s="44">
        <f t="shared" si="12"/>
        <v>-7.5675447758713011E-3</v>
      </c>
      <c r="AI15" s="45">
        <f t="shared" si="4"/>
        <v>2026</v>
      </c>
      <c r="AJ15" s="46">
        <f>SUM(AB58:AB61)/AVERAGE(AF58:AF61)</f>
        <v>-2.2269305898961807E-2</v>
      </c>
      <c r="AK15" s="40">
        <v>22745123</v>
      </c>
      <c r="AL15" s="46">
        <f>AK15/AVERAGE(AF58:AF61)</f>
        <v>3.1470592069812856E-3</v>
      </c>
      <c r="AM15" s="46">
        <f>(AF61-AF57)/AF57</f>
        <v>3.6270047147803047E-2</v>
      </c>
      <c r="AN15" s="46"/>
      <c r="AO15" s="40">
        <f t="shared" si="5"/>
        <v>741571849.10417008</v>
      </c>
      <c r="AP15" s="40">
        <f t="shared" si="8"/>
        <v>495750785.91551185</v>
      </c>
      <c r="AQ15" s="47">
        <f>AO15/AF61</f>
        <v>0.10103933176461728</v>
      </c>
      <c r="AR15" s="47">
        <f>AP15/AF61</f>
        <v>6.7546156439456301E-2</v>
      </c>
      <c r="AU15" s="39">
        <v>11039157</v>
      </c>
      <c r="AW15" s="39">
        <f t="shared" ref="AW15:AW46" si="13">(AU15-AU14)/AU14</f>
        <v>3.1685827226093388E-3</v>
      </c>
      <c r="AX15" s="56">
        <v>6691.6267211455997</v>
      </c>
      <c r="AY15" s="44">
        <f t="shared" ref="AY15:AY46" si="14">(AX15-AX14)/AX14</f>
        <v>5.06712080323138E-2</v>
      </c>
      <c r="BC15" s="44">
        <f t="shared" si="6"/>
        <v>1.3822787597134715E-2</v>
      </c>
      <c r="BD15" s="39">
        <f t="shared" si="7"/>
        <v>2026</v>
      </c>
      <c r="BE15" s="44">
        <f>SUM(T58:T61)/AVERAGE(AF58:AF61)</f>
        <v>5.742071742375511E-2</v>
      </c>
      <c r="BF15" s="44">
        <f>SUM(P58:P61)/AVERAGE(AF58:AF61)</f>
        <v>1.0453923561507658E-2</v>
      </c>
      <c r="BG15" s="44">
        <f>SUM(D58:D61)/AVERAGE(AF58:AF61)</f>
        <v>6.9236099761209272E-2</v>
      </c>
      <c r="BH15" s="44">
        <f>(SUM(H58:H61)+SUM(J58:J61))/AVERAGE(AF58:AF61)</f>
        <v>6.4594608609310922E-3</v>
      </c>
      <c r="BI15" s="46">
        <f t="shared" si="2"/>
        <v>-2.8728766759892901E-2</v>
      </c>
    </row>
    <row r="16" spans="1:61" s="39" customFormat="1">
      <c r="A16" s="39">
        <v>2015</v>
      </c>
      <c r="B16" s="39">
        <v>3</v>
      </c>
      <c r="C16" s="40"/>
      <c r="D16" s="55">
        <v>106210928.692734</v>
      </c>
      <c r="E16" s="40"/>
      <c r="F16" s="55">
        <v>19305093.532566201</v>
      </c>
      <c r="G16" s="41">
        <v>0</v>
      </c>
      <c r="H16" s="41">
        <v>0</v>
      </c>
      <c r="I16" s="41">
        <v>0</v>
      </c>
      <c r="J16" s="42">
        <v>0</v>
      </c>
      <c r="K16" s="40"/>
      <c r="L16" s="55">
        <v>2734803.8185367598</v>
      </c>
      <c r="M16" s="43"/>
      <c r="N16" s="55">
        <v>793894.77475975105</v>
      </c>
      <c r="O16" s="40"/>
      <c r="P16" s="55">
        <v>18558684.828998402</v>
      </c>
      <c r="Q16" s="43"/>
      <c r="R16" s="55">
        <v>20018134.0063628</v>
      </c>
      <c r="S16" s="43"/>
      <c r="T16" s="55">
        <v>76541070.379033193</v>
      </c>
      <c r="U16" s="40"/>
      <c r="V16" s="55">
        <v>123359.29092606</v>
      </c>
      <c r="W16" s="43"/>
      <c r="X16" s="55">
        <v>309842.97333581501</v>
      </c>
      <c r="Y16" s="40"/>
      <c r="Z16" s="40">
        <f t="shared" si="9"/>
        <v>-2692298.8285738509</v>
      </c>
      <c r="AA16" s="40"/>
      <c r="AB16" s="40">
        <f t="shared" si="10"/>
        <v>-48228543.142699212</v>
      </c>
      <c r="AC16" s="17"/>
      <c r="AD16" s="40">
        <v>6221730755.7715998</v>
      </c>
      <c r="AE16" s="40">
        <v>110.48458934999999</v>
      </c>
      <c r="AF16" s="40">
        <f t="shared" si="11"/>
        <v>5631310929.7641611</v>
      </c>
      <c r="AG16" s="40"/>
      <c r="AH16" s="44">
        <f t="shared" si="12"/>
        <v>-8.5643545071873734E-3</v>
      </c>
      <c r="AI16" s="45">
        <f t="shared" si="4"/>
        <v>2027</v>
      </c>
      <c r="AJ16" s="46">
        <f>SUM(AB62:AB65)/AVERAGE(AF62:AF65)</f>
        <v>-2.0238869171843827E-2</v>
      </c>
      <c r="AK16" s="40">
        <v>21188031</v>
      </c>
      <c r="AL16" s="46">
        <f>AK16/AVERAGE(AF62:AF65)</f>
        <v>2.8333923201813022E-3</v>
      </c>
      <c r="AM16" s="46">
        <f>(AF65-AF61)/AF61</f>
        <v>3.1262521072223777E-2</v>
      </c>
      <c r="AN16" s="46"/>
      <c r="AO16" s="40">
        <f t="shared" si="5"/>
        <v>764755254.66335714</v>
      </c>
      <c r="AP16" s="40">
        <f t="shared" si="8"/>
        <v>489759265.72625536</v>
      </c>
      <c r="AQ16" s="47">
        <f>AO16/AF65</f>
        <v>0.10103933176461728</v>
      </c>
      <c r="AR16" s="47">
        <f>AP16/AF65</f>
        <v>6.4706909344864311E-2</v>
      </c>
      <c r="AU16" s="39">
        <v>11069835</v>
      </c>
      <c r="AW16" s="39">
        <f t="shared" si="13"/>
        <v>2.7790165499050334E-3</v>
      </c>
      <c r="AX16" s="56">
        <v>6984.1911310187998</v>
      </c>
      <c r="AY16" s="44">
        <f t="shared" si="14"/>
        <v>4.372096981272041E-2</v>
      </c>
      <c r="BC16" s="44">
        <f t="shared" si="6"/>
        <v>1.4454010095105808E-2</v>
      </c>
      <c r="BD16" s="39">
        <f t="shared" si="7"/>
        <v>2027</v>
      </c>
      <c r="BE16" s="44">
        <f>SUM(T62:T65)/AVERAGE(AF62:AF65)</f>
        <v>5.7695305139752538E-2</v>
      </c>
      <c r="BF16" s="44">
        <f>SUM(P62:P65)/AVERAGE(AF62:AF65)</f>
        <v>1.0224116567331265E-2</v>
      </c>
      <c r="BG16" s="44">
        <f>SUM(D62:D65)/AVERAGE(AF62:AF65)</f>
        <v>6.7710057744265112E-2</v>
      </c>
      <c r="BH16" s="44">
        <f>(SUM(H62:H65)+SUM(J62:J65))/AVERAGE(AF62:AF65)</f>
        <v>7.902304469136992E-3</v>
      </c>
      <c r="BI16" s="46">
        <f t="shared" si="2"/>
        <v>-2.8141173640980819E-2</v>
      </c>
    </row>
    <row r="17" spans="1:61" s="39" customFormat="1">
      <c r="A17" s="39">
        <v>2015</v>
      </c>
      <c r="B17" s="39">
        <v>4</v>
      </c>
      <c r="C17" s="40"/>
      <c r="D17" s="55">
        <v>114771012.910385</v>
      </c>
      <c r="E17" s="40"/>
      <c r="F17" s="55">
        <v>20860990.166767199</v>
      </c>
      <c r="G17" s="41">
        <v>0</v>
      </c>
      <c r="H17" s="41">
        <v>0</v>
      </c>
      <c r="I17" s="41">
        <v>0</v>
      </c>
      <c r="J17" s="42">
        <v>0</v>
      </c>
      <c r="K17" s="40"/>
      <c r="L17" s="55">
        <v>2602828.7029223</v>
      </c>
      <c r="M17" s="43"/>
      <c r="N17" s="55">
        <v>858883.92639526003</v>
      </c>
      <c r="O17" s="40"/>
      <c r="P17" s="55">
        <v>18231416.464090601</v>
      </c>
      <c r="Q17" s="43"/>
      <c r="R17" s="55">
        <v>23064733.3455512</v>
      </c>
      <c r="S17" s="43"/>
      <c r="T17" s="55">
        <v>88190007.006364107</v>
      </c>
      <c r="U17" s="40"/>
      <c r="V17" s="55">
        <v>115904.1045511</v>
      </c>
      <c r="W17" s="43"/>
      <c r="X17" s="55">
        <v>291117.69455178798</v>
      </c>
      <c r="Y17" s="40"/>
      <c r="Z17" s="40">
        <f t="shared" si="9"/>
        <v>-1142065.3459824584</v>
      </c>
      <c r="AA17" s="40"/>
      <c r="AB17" s="40">
        <f t="shared" si="10"/>
        <v>-44812422.368111491</v>
      </c>
      <c r="AC17" s="17"/>
      <c r="AD17" s="40">
        <v>6552140231.3025303</v>
      </c>
      <c r="AE17" s="40">
        <v>115.79241048</v>
      </c>
      <c r="AF17" s="40">
        <f t="shared" si="11"/>
        <v>5658523044.9401817</v>
      </c>
      <c r="AG17" s="40"/>
      <c r="AH17" s="44">
        <f t="shared" si="12"/>
        <v>-7.919455662230181E-3</v>
      </c>
      <c r="AI17" s="45">
        <f t="shared" si="4"/>
        <v>2028</v>
      </c>
      <c r="AJ17" s="46">
        <f>SUM(AB66:AB69)/AVERAGE(AF66:AF69)</f>
        <v>-1.7996215019955786E-2</v>
      </c>
      <c r="AK17" s="40">
        <v>19675061</v>
      </c>
      <c r="AL17" s="46">
        <f>AK17/AVERAGE(AF66:AF69)</f>
        <v>2.5366528437287647E-3</v>
      </c>
      <c r="AM17" s="46">
        <f>(AF69-AF65)/AF65</f>
        <v>3.3321843913982824E-2</v>
      </c>
      <c r="AN17" s="46"/>
      <c r="AO17" s="40">
        <f t="shared" si="5"/>
        <v>790238309.8916477</v>
      </c>
      <c r="AP17" s="40">
        <f t="shared" si="8"/>
        <v>486105177.29991615</v>
      </c>
      <c r="AQ17" s="47">
        <f>AO17/AF69</f>
        <v>0.10103933176461727</v>
      </c>
      <c r="AR17" s="47">
        <f>AP17/AF69</f>
        <v>6.2153076694597048E-2</v>
      </c>
      <c r="AU17" s="39">
        <v>11079853</v>
      </c>
      <c r="AW17" s="39">
        <f t="shared" si="13"/>
        <v>9.0498187190685316E-4</v>
      </c>
      <c r="AX17" s="56">
        <v>6967.8308273950997</v>
      </c>
      <c r="AY17" s="44">
        <f t="shared" si="14"/>
        <v>-2.3424765039775628E-3</v>
      </c>
      <c r="BC17" s="44">
        <f t="shared" si="6"/>
        <v>1.3110468534483652E-2</v>
      </c>
      <c r="BD17" s="39">
        <f t="shared" si="7"/>
        <v>2028</v>
      </c>
      <c r="BE17" s="44">
        <f>SUM(T66:T69)/AVERAGE(AF66:AF69)</f>
        <v>5.7984413089369281E-2</v>
      </c>
      <c r="BF17" s="44">
        <f>SUM(P66:P69)/AVERAGE(AF66:AF69)</f>
        <v>9.8414764992075573E-3</v>
      </c>
      <c r="BG17" s="44">
        <f>SUM(D66:D69)/AVERAGE(AF66:AF69)</f>
        <v>6.6139151610117505E-2</v>
      </c>
      <c r="BH17" s="44">
        <f>(SUM(H66:H69)+SUM(J66:J69))/AVERAGE(AF66:AF69)</f>
        <v>9.3833525290311325E-3</v>
      </c>
      <c r="BI17" s="46">
        <f t="shared" si="2"/>
        <v>-2.7379567548986919E-2</v>
      </c>
    </row>
    <row r="18" spans="1:61" s="29" customFormat="1">
      <c r="A18" s="29">
        <f t="shared" ref="A18:A49" si="15">A14+1</f>
        <v>2016</v>
      </c>
      <c r="B18" s="29">
        <f t="shared" ref="B18:B49" si="16">B14</f>
        <v>1</v>
      </c>
      <c r="C18" s="30"/>
      <c r="D18" s="52">
        <v>100240264.60821301</v>
      </c>
      <c r="E18" s="30"/>
      <c r="F18" s="52">
        <v>18219854.6591102</v>
      </c>
      <c r="G18" s="31">
        <v>0</v>
      </c>
      <c r="H18" s="31">
        <v>0</v>
      </c>
      <c r="I18" s="31">
        <v>0</v>
      </c>
      <c r="J18" s="32">
        <v>0</v>
      </c>
      <c r="K18" s="30"/>
      <c r="L18" s="52">
        <v>2640788.5999428201</v>
      </c>
      <c r="M18" s="33"/>
      <c r="N18" s="52">
        <v>746581.10841980204</v>
      </c>
      <c r="O18" s="30"/>
      <c r="P18" s="52">
        <v>17810533.580371</v>
      </c>
      <c r="Q18" s="33"/>
      <c r="R18" s="52">
        <v>18956103.483738702</v>
      </c>
      <c r="S18" s="33"/>
      <c r="T18" s="52">
        <v>72480304.627789095</v>
      </c>
      <c r="U18" s="30"/>
      <c r="V18" s="52">
        <v>109424.910354893</v>
      </c>
      <c r="W18" s="33"/>
      <c r="X18" s="52">
        <v>274843.82673443598</v>
      </c>
      <c r="Y18" s="30"/>
      <c r="Z18" s="30">
        <f t="shared" si="9"/>
        <v>-2541695.9733792264</v>
      </c>
      <c r="AA18" s="30"/>
      <c r="AB18" s="30">
        <f t="shared" si="10"/>
        <v>-45570493.560794912</v>
      </c>
      <c r="AC18" s="17"/>
      <c r="AD18" s="30">
        <v>6962845278.2518702</v>
      </c>
      <c r="AE18" s="30">
        <v>131.11898839</v>
      </c>
      <c r="AF18" s="30">
        <f t="shared" si="11"/>
        <v>5310325654.3908043</v>
      </c>
      <c r="AG18" s="30"/>
      <c r="AH18" s="34">
        <f t="shared" si="12"/>
        <v>-8.5814875634068286E-3</v>
      </c>
      <c r="AI18" s="35">
        <f t="shared" si="4"/>
        <v>2029</v>
      </c>
      <c r="AJ18" s="36">
        <f>SUM(AB70:AB73)/AVERAGE(AF70:AF73)</f>
        <v>-1.7003240954238545E-2</v>
      </c>
      <c r="AK18" s="30">
        <v>18242950</v>
      </c>
      <c r="AL18" s="36">
        <f>AK18/AVERAGE(AF70:AF73)</f>
        <v>2.2934349123218374E-3</v>
      </c>
      <c r="AM18" s="36">
        <f>(AF73-AF69)/AF69</f>
        <v>2.8098900277934873E-2</v>
      </c>
      <c r="AN18" s="36"/>
      <c r="AO18" s="30">
        <f t="shared" si="5"/>
        <v>812443137.35709691</v>
      </c>
      <c r="AP18" s="30">
        <f t="shared" si="8"/>
        <v>481287478.92050606</v>
      </c>
      <c r="AQ18" s="37">
        <f>AO18/AF73</f>
        <v>0.10103933176461728</v>
      </c>
      <c r="AR18" s="37">
        <f>AP18/AF73</f>
        <v>5.985522311751787E-2</v>
      </c>
      <c r="AU18" s="29">
        <v>11091626</v>
      </c>
      <c r="AW18" s="29">
        <f t="shared" si="13"/>
        <v>1.0625592234842828E-3</v>
      </c>
      <c r="AX18" s="53">
        <v>6546.8359095505002</v>
      </c>
      <c r="AY18" s="34">
        <f t="shared" si="14"/>
        <v>-6.0419796099152288E-2</v>
      </c>
      <c r="BC18" s="34">
        <f t="shared" si="6"/>
        <v>1.4944580088999038E-2</v>
      </c>
      <c r="BD18" s="29">
        <f t="shared" si="7"/>
        <v>2029</v>
      </c>
      <c r="BE18" s="34">
        <f>SUM(T70:T73)/AVERAGE(AF70:AF73)</f>
        <v>5.8278020635796041E-2</v>
      </c>
      <c r="BF18" s="34">
        <f>SUM(P70:P73)/AVERAGE(AF70:AF73)</f>
        <v>9.819558698957051E-3</v>
      </c>
      <c r="BG18" s="34">
        <f>SUM(D70:D73)/AVERAGE(AF70:AF73)</f>
        <v>6.5461702891077542E-2</v>
      </c>
      <c r="BH18" s="34">
        <f>(SUM(H70:H73)+SUM(J70:J73))/AVERAGE(AF70:AF73)</f>
        <v>1.0779410437147616E-2</v>
      </c>
      <c r="BI18" s="36">
        <f t="shared" si="2"/>
        <v>-2.7782651391386162E-2</v>
      </c>
    </row>
    <row r="19" spans="1:61" s="39" customFormat="1">
      <c r="A19" s="39">
        <f t="shared" si="15"/>
        <v>2016</v>
      </c>
      <c r="B19" s="39">
        <f t="shared" si="16"/>
        <v>2</v>
      </c>
      <c r="C19" s="40"/>
      <c r="D19" s="55">
        <v>103301064.511197</v>
      </c>
      <c r="E19" s="40"/>
      <c r="F19" s="55">
        <v>18776191.272854801</v>
      </c>
      <c r="G19" s="41">
        <v>0</v>
      </c>
      <c r="H19" s="41">
        <v>0</v>
      </c>
      <c r="I19" s="41">
        <v>0</v>
      </c>
      <c r="J19" s="42">
        <v>0</v>
      </c>
      <c r="K19" s="40"/>
      <c r="L19" s="55">
        <v>2248745.6258871201</v>
      </c>
      <c r="M19" s="43"/>
      <c r="N19" s="55">
        <v>770770.993377637</v>
      </c>
      <c r="O19" s="40"/>
      <c r="P19" s="55">
        <v>15909306.3341702</v>
      </c>
      <c r="Q19" s="43"/>
      <c r="R19" s="55">
        <v>21350096.797455899</v>
      </c>
      <c r="S19" s="43"/>
      <c r="T19" s="55">
        <v>81633945.554257199</v>
      </c>
      <c r="U19" s="40"/>
      <c r="V19" s="55">
        <v>106122.576781039</v>
      </c>
      <c r="W19" s="43"/>
      <c r="X19" s="55">
        <v>266549.31688610499</v>
      </c>
      <c r="Y19" s="40"/>
      <c r="Z19" s="40">
        <f t="shared" si="9"/>
        <v>-339488.51788261905</v>
      </c>
      <c r="AA19" s="40"/>
      <c r="AB19" s="40">
        <f t="shared" si="10"/>
        <v>-37576425.291110002</v>
      </c>
      <c r="AC19" s="17"/>
      <c r="AD19" s="40">
        <v>8401125356.75455</v>
      </c>
      <c r="AE19" s="40">
        <v>147.89635652000001</v>
      </c>
      <c r="AF19" s="40">
        <f t="shared" si="11"/>
        <v>5680414010.4820404</v>
      </c>
      <c r="AG19" s="40"/>
      <c r="AH19" s="44">
        <f t="shared" si="12"/>
        <v>-6.6150856648424577E-3</v>
      </c>
      <c r="AI19" s="45">
        <f t="shared" si="4"/>
        <v>2030</v>
      </c>
      <c r="AJ19" s="46">
        <f>SUM(AB74:AB77)/AVERAGE(AF74:AF77)</f>
        <v>-1.654831448463075E-2</v>
      </c>
      <c r="AK19" s="40">
        <v>16840766</v>
      </c>
      <c r="AL19" s="46">
        <f>AK19/AVERAGE(AF74:AF77)</f>
        <v>2.0642263359324621E-3</v>
      </c>
      <c r="AM19" s="46">
        <f>(AF77-AF73)/AF73</f>
        <v>2.1370515914100541E-2</v>
      </c>
      <c r="AN19" s="46"/>
      <c r="AO19" s="40">
        <f t="shared" si="5"/>
        <v>829805466.35328841</v>
      </c>
      <c r="AP19" s="40">
        <f t="shared" si="8"/>
        <v>474567752.14867854</v>
      </c>
      <c r="AQ19" s="47">
        <f>AO19/AF77</f>
        <v>0.10103933176461727</v>
      </c>
      <c r="AR19" s="47">
        <f>AP19/AF77</f>
        <v>5.7784638084951281E-2</v>
      </c>
      <c r="AU19" s="39">
        <v>11171229</v>
      </c>
      <c r="AW19" s="39">
        <f t="shared" si="13"/>
        <v>7.1768557648806408E-3</v>
      </c>
      <c r="AX19" s="56">
        <v>6356.2046503346</v>
      </c>
      <c r="AY19" s="44">
        <f t="shared" si="14"/>
        <v>-2.9118075028855998E-2</v>
      </c>
      <c r="BC19" s="44">
        <f t="shared" si="6"/>
        <v>1.3120922980539589E-2</v>
      </c>
      <c r="BD19" s="39">
        <f t="shared" si="7"/>
        <v>2030</v>
      </c>
      <c r="BE19" s="44">
        <f>SUM(T74:T77)/AVERAGE(AF74:AF77)</f>
        <v>5.8443177394161029E-2</v>
      </c>
      <c r="BF19" s="44">
        <f>SUM(P74:P77)/AVERAGE(AF74:AF77)</f>
        <v>9.6781879105897039E-3</v>
      </c>
      <c r="BG19" s="44">
        <f>SUM(D74:D77)/AVERAGE(AF74:AF77)</f>
        <v>6.5313303968202077E-2</v>
      </c>
      <c r="BH19" s="44">
        <f>(SUM(H74:H77)+SUM(J74:J77))/AVERAGE(AF74:AF77)</f>
        <v>1.2099193784026267E-2</v>
      </c>
      <c r="BI19" s="46">
        <f t="shared" si="2"/>
        <v>-2.8647508268657015E-2</v>
      </c>
    </row>
    <row r="20" spans="1:61" s="39" customFormat="1">
      <c r="A20" s="39">
        <f t="shared" si="15"/>
        <v>2016</v>
      </c>
      <c r="B20" s="39">
        <f t="shared" si="16"/>
        <v>3</v>
      </c>
      <c r="C20" s="40"/>
      <c r="D20" s="55">
        <v>97904122.827609494</v>
      </c>
      <c r="E20" s="40"/>
      <c r="F20" s="55">
        <v>17795233.237049598</v>
      </c>
      <c r="G20" s="41">
        <v>0</v>
      </c>
      <c r="H20" s="41">
        <v>0</v>
      </c>
      <c r="I20" s="41">
        <v>0</v>
      </c>
      <c r="J20" s="42">
        <v>0</v>
      </c>
      <c r="K20" s="40"/>
      <c r="L20" s="55">
        <v>1926072.42011175</v>
      </c>
      <c r="M20" s="43"/>
      <c r="N20" s="55">
        <v>731080.45248197403</v>
      </c>
      <c r="O20" s="40"/>
      <c r="P20" s="55">
        <v>14016587.8900728</v>
      </c>
      <c r="Q20" s="43"/>
      <c r="R20" s="55">
        <v>18954291.2400463</v>
      </c>
      <c r="S20" s="43"/>
      <c r="T20" s="55">
        <v>72473375.356961295</v>
      </c>
      <c r="U20" s="40"/>
      <c r="V20" s="55">
        <v>115976.965700388</v>
      </c>
      <c r="W20" s="43"/>
      <c r="X20" s="55">
        <v>291300.700752348</v>
      </c>
      <c r="Y20" s="40"/>
      <c r="Z20" s="40">
        <f t="shared" si="9"/>
        <v>-1382117.9038966335</v>
      </c>
      <c r="AA20" s="40"/>
      <c r="AB20" s="40">
        <f t="shared" si="10"/>
        <v>-39447335.360721</v>
      </c>
      <c r="AC20" s="17"/>
      <c r="AD20" s="40">
        <v>8448889759.2748203</v>
      </c>
      <c r="AE20" s="40">
        <v>155.88165151000001</v>
      </c>
      <c r="AF20" s="40">
        <f t="shared" si="11"/>
        <v>5420066876.0125456</v>
      </c>
      <c r="AG20" s="40"/>
      <c r="AH20" s="44">
        <f t="shared" si="12"/>
        <v>-7.2780163535070179E-3</v>
      </c>
      <c r="AI20" s="45">
        <f t="shared" si="4"/>
        <v>2031</v>
      </c>
      <c r="AJ20" s="46">
        <f>SUM(AB78:AB81)/AVERAGE(AF78:AF81)</f>
        <v>-1.6186644845393998E-2</v>
      </c>
      <c r="AK20" s="40">
        <v>15487278</v>
      </c>
      <c r="AL20" s="46">
        <f>AK20/AVERAGE(AF78:AF81)</f>
        <v>1.8610915648907959E-3</v>
      </c>
      <c r="AM20" s="46">
        <f>(AF81-AF77)/AF77</f>
        <v>2.1263081374339059E-2</v>
      </c>
      <c r="AN20" s="46"/>
      <c r="AO20" s="40">
        <f t="shared" si="5"/>
        <v>847449687.50922978</v>
      </c>
      <c r="AP20" s="40">
        <f t="shared" si="8"/>
        <v>469020887.76588482</v>
      </c>
      <c r="AQ20" s="47">
        <f>AO20/AF81</f>
        <v>0.10103933176461727</v>
      </c>
      <c r="AR20" s="47">
        <f>AP20/AF81</f>
        <v>5.5920201260321337E-2</v>
      </c>
      <c r="AU20" s="39">
        <v>11262070</v>
      </c>
      <c r="AW20" s="39">
        <f t="shared" si="13"/>
        <v>8.1316925827946054E-3</v>
      </c>
      <c r="AX20" s="56">
        <v>6421.7509021330998</v>
      </c>
      <c r="AY20" s="44">
        <f t="shared" si="14"/>
        <v>1.0312168252016441E-2</v>
      </c>
      <c r="BC20" s="44">
        <f t="shared" si="6"/>
        <v>1.4960471692646606E-2</v>
      </c>
      <c r="BD20" s="39">
        <f t="shared" si="7"/>
        <v>2031</v>
      </c>
      <c r="BE20" s="44">
        <f>SUM(T78:T81)/AVERAGE(AF78:AF81)</f>
        <v>5.8668272357985357E-2</v>
      </c>
      <c r="BF20" s="44">
        <f>SUM(P78:P81)/AVERAGE(AF78:AF81)</f>
        <v>9.6127573846630995E-3</v>
      </c>
      <c r="BG20" s="44">
        <f>SUM(D78:D81)/AVERAGE(AF78:AF81)</f>
        <v>6.5242159818716269E-2</v>
      </c>
      <c r="BH20" s="44">
        <f>(SUM(H78:H81)+SUM(J78:J81))/AVERAGE(AF78:AF81)</f>
        <v>1.3439703910453932E-2</v>
      </c>
      <c r="BI20" s="46">
        <f t="shared" si="2"/>
        <v>-2.962634875584793E-2</v>
      </c>
    </row>
    <row r="21" spans="1:61">
      <c r="A21" s="39">
        <f t="shared" si="15"/>
        <v>2016</v>
      </c>
      <c r="B21" s="39">
        <f t="shared" si="16"/>
        <v>4</v>
      </c>
      <c r="C21" s="40"/>
      <c r="D21" s="55">
        <v>106656433.064731</v>
      </c>
      <c r="E21" s="40"/>
      <c r="F21" s="55">
        <v>19386069.225712199</v>
      </c>
      <c r="G21" s="57">
        <v>22714</v>
      </c>
      <c r="H21" s="57">
        <v>124965.72628654201</v>
      </c>
      <c r="I21" s="58">
        <v>702</v>
      </c>
      <c r="J21" s="57">
        <v>3862.1968765145998</v>
      </c>
      <c r="K21" s="40"/>
      <c r="L21" s="55">
        <v>3303720.5617130701</v>
      </c>
      <c r="M21" s="43"/>
      <c r="N21" s="55">
        <v>798561.77464650595</v>
      </c>
      <c r="O21" s="40"/>
      <c r="P21" s="55">
        <v>21536472.970246099</v>
      </c>
      <c r="Q21" s="43"/>
      <c r="R21" s="55">
        <v>22010676.469193202</v>
      </c>
      <c r="S21" s="43"/>
      <c r="T21" s="55">
        <v>84159729.182707801</v>
      </c>
      <c r="U21" s="40"/>
      <c r="V21" s="55">
        <v>116561.02930682201</v>
      </c>
      <c r="W21" s="43"/>
      <c r="X21" s="55">
        <v>292767.70014149998</v>
      </c>
      <c r="Y21" s="40"/>
      <c r="Z21" s="40">
        <f t="shared" si="9"/>
        <v>-1361114.0635717511</v>
      </c>
      <c r="AA21" s="40"/>
      <c r="AB21" s="40">
        <f t="shared" si="10"/>
        <v>-44033176.852269299</v>
      </c>
      <c r="AC21" s="17"/>
      <c r="AD21" s="40">
        <v>8942134800.3519897</v>
      </c>
      <c r="AE21" s="40">
        <v>164.01000929</v>
      </c>
      <c r="AF21" s="40">
        <f t="shared" si="11"/>
        <v>5452188460.364418</v>
      </c>
      <c r="AG21" s="40"/>
      <c r="AH21" s="44">
        <f t="shared" si="12"/>
        <v>-8.0762389584248112E-3</v>
      </c>
      <c r="AI21" s="45">
        <f t="shared" si="4"/>
        <v>2032</v>
      </c>
      <c r="AJ21" s="46">
        <f>SUM(AB82:AB85)/AVERAGE(AF82:AF85)</f>
        <v>-1.5249598354054475E-2</v>
      </c>
      <c r="AK21" s="40">
        <v>14182517</v>
      </c>
      <c r="AL21" s="46">
        <f>AK21/AVERAGE(AF82:AF85)</f>
        <v>1.6646130707962312E-3</v>
      </c>
      <c r="AM21" s="46">
        <f>(AF85-AF81)/AF81</f>
        <v>2.317582116837108E-2</v>
      </c>
      <c r="AN21" s="46"/>
      <c r="AO21" s="40">
        <f t="shared" si="5"/>
        <v>867090029.91613555</v>
      </c>
      <c r="AP21" s="40">
        <f t="shared" si="8"/>
        <v>465558287.9243176</v>
      </c>
      <c r="AQ21" s="47">
        <f>AO21/AF85</f>
        <v>0.10103933176461725</v>
      </c>
      <c r="AR21" s="47">
        <f>AP21/AF85</f>
        <v>5.4250074025072093E-2</v>
      </c>
      <c r="AU21" s="39">
        <v>11267048</v>
      </c>
      <c r="AW21" s="39">
        <f t="shared" si="13"/>
        <v>4.4201465627544492E-4</v>
      </c>
      <c r="AX21" s="56">
        <v>6485.7556979743003</v>
      </c>
      <c r="AY21" s="44">
        <f t="shared" si="14"/>
        <v>9.966876139642887E-3</v>
      </c>
      <c r="BC21" s="44">
        <f t="shared" si="6"/>
        <v>1.3137624024011746E-2</v>
      </c>
      <c r="BD21" s="39">
        <f t="shared" si="7"/>
        <v>2032</v>
      </c>
      <c r="BE21" s="44">
        <f>SUM(T82:T85)/AVERAGE(AF82:AF85)</f>
        <v>5.8705028769212755E-2</v>
      </c>
      <c r="BF21" s="44">
        <f>SUM(P82:P85)/AVERAGE(AF82:AF85)</f>
        <v>9.3405826503650726E-3</v>
      </c>
      <c r="BG21" s="44">
        <f>SUM(D82:D85)/AVERAGE(AF82:AF85)</f>
        <v>6.4614044472902143E-2</v>
      </c>
      <c r="BH21" s="44">
        <f>(SUM(H82:H85)+SUM(J82:J85))/AVERAGE(AF82:AF85)</f>
        <v>1.4770827002287918E-2</v>
      </c>
      <c r="BI21" s="46">
        <f t="shared" si="2"/>
        <v>-3.0020425356342393E-2</v>
      </c>
    </row>
    <row r="22" spans="1:61" s="29" customFormat="1">
      <c r="A22" s="29">
        <f t="shared" si="15"/>
        <v>2017</v>
      </c>
      <c r="B22" s="29">
        <f t="shared" si="16"/>
        <v>1</v>
      </c>
      <c r="C22" s="30"/>
      <c r="D22" s="52">
        <v>101471183.210428</v>
      </c>
      <c r="E22" s="30"/>
      <c r="F22" s="52">
        <v>18443588.685723301</v>
      </c>
      <c r="G22" s="59">
        <v>68797</v>
      </c>
      <c r="H22" s="59">
        <v>378500.79560338298</v>
      </c>
      <c r="I22" s="59">
        <v>2128</v>
      </c>
      <c r="J22" s="59">
        <v>11707.6281384944</v>
      </c>
      <c r="K22" s="30"/>
      <c r="L22" s="52">
        <v>3660222.6711521298</v>
      </c>
      <c r="M22" s="33"/>
      <c r="N22" s="52">
        <v>761614.89932379103</v>
      </c>
      <c r="O22" s="30"/>
      <c r="P22" s="52">
        <v>23183093.3039301</v>
      </c>
      <c r="Q22" s="33"/>
      <c r="R22" s="52">
        <v>19236463.486876301</v>
      </c>
      <c r="S22" s="33"/>
      <c r="T22" s="52">
        <v>73552285.3990639</v>
      </c>
      <c r="U22" s="30"/>
      <c r="V22" s="52">
        <v>87135.567113885394</v>
      </c>
      <c r="W22" s="33"/>
      <c r="X22" s="52">
        <v>218859.42270899701</v>
      </c>
      <c r="Y22" s="30"/>
      <c r="Z22" s="30">
        <f t="shared" si="9"/>
        <v>-3541827.2022090368</v>
      </c>
      <c r="AA22" s="30"/>
      <c r="AB22" s="30">
        <f t="shared" si="10"/>
        <v>-51101991.115294203</v>
      </c>
      <c r="AC22" s="17"/>
      <c r="AD22" s="30">
        <v>9157377218.4824009</v>
      </c>
      <c r="AE22" s="30">
        <v>172.09591728000001</v>
      </c>
      <c r="AF22" s="30">
        <f t="shared" si="11"/>
        <v>5321089171.2110472</v>
      </c>
      <c r="AG22" s="30"/>
      <c r="AH22" s="34">
        <f t="shared" si="12"/>
        <v>-9.6036712543315084E-3</v>
      </c>
      <c r="AI22" s="35">
        <f t="shared" si="4"/>
        <v>2033</v>
      </c>
      <c r="AJ22" s="36">
        <f>SUM(AB86:AB89)/AVERAGE(AF86:AF89)</f>
        <v>-1.5000691482311623E-2</v>
      </c>
      <c r="AK22" s="30">
        <v>12927227</v>
      </c>
      <c r="AL22" s="36">
        <f>AK22/AVERAGE(AF86:AF89)</f>
        <v>1.4851359526326688E-3</v>
      </c>
      <c r="AM22" s="36">
        <f>(AF89-AF85)/AF85</f>
        <v>2.7165871259470193E-2</v>
      </c>
      <c r="AN22" s="36"/>
      <c r="AO22" s="30">
        <f t="shared" si="5"/>
        <v>890645286.03920746</v>
      </c>
      <c r="AP22" s="30">
        <f t="shared" si="8"/>
        <v>465118179.16432428</v>
      </c>
      <c r="AQ22" s="37">
        <f>AO22/AF89</f>
        <v>0.10103933176461725</v>
      </c>
      <c r="AR22" s="37">
        <f>AP22/AF89</f>
        <v>5.276537219809644E-2</v>
      </c>
      <c r="AU22" s="29">
        <v>11116578</v>
      </c>
      <c r="AW22" s="29">
        <f t="shared" si="13"/>
        <v>-1.3354873432686184E-2</v>
      </c>
      <c r="AX22" s="53">
        <v>6584.0500436289003</v>
      </c>
      <c r="AY22" s="34">
        <f t="shared" si="14"/>
        <v>1.5155419080200676E-2</v>
      </c>
      <c r="BC22" s="34">
        <f t="shared" si="6"/>
        <v>1.4972203370068786E-2</v>
      </c>
      <c r="BD22" s="29">
        <f t="shared" si="7"/>
        <v>2033</v>
      </c>
      <c r="BE22" s="34">
        <f>SUM(T86:T89)/AVERAGE(AF86:AF89)</f>
        <v>5.8852156005454119E-2</v>
      </c>
      <c r="BF22" s="34">
        <f>SUM(P86:P89)/AVERAGE(AF86:AF89)</f>
        <v>9.30672151200862E-3</v>
      </c>
      <c r="BG22" s="34">
        <f>SUM(D86:D89)/AVERAGE(AF86:AF89)</f>
        <v>6.4546125975757124E-2</v>
      </c>
      <c r="BH22" s="34">
        <f>(SUM(H86:H89)+SUM(J86:J89))/AVERAGE(AF86:AF89)</f>
        <v>1.615832363407706E-2</v>
      </c>
      <c r="BI22" s="36">
        <f t="shared" si="2"/>
        <v>-3.1159015116388682E-2</v>
      </c>
    </row>
    <row r="23" spans="1:61" s="39" customFormat="1">
      <c r="A23" s="39">
        <f t="shared" si="15"/>
        <v>2017</v>
      </c>
      <c r="B23" s="39">
        <f t="shared" si="16"/>
        <v>2</v>
      </c>
      <c r="C23" s="40"/>
      <c r="D23" s="55">
        <v>108007485.523725</v>
      </c>
      <c r="E23" s="40"/>
      <c r="F23" s="55">
        <v>19631639.0028462</v>
      </c>
      <c r="G23" s="57">
        <v>101425</v>
      </c>
      <c r="H23" s="57">
        <v>558010.42478702799</v>
      </c>
      <c r="I23" s="57">
        <v>3137</v>
      </c>
      <c r="J23" s="57">
        <v>17258.8484353651</v>
      </c>
      <c r="K23" s="40"/>
      <c r="L23" s="55">
        <v>3372117.0810181801</v>
      </c>
      <c r="M23" s="43"/>
      <c r="N23" s="55">
        <v>813786.919793598</v>
      </c>
      <c r="O23" s="40"/>
      <c r="P23" s="55">
        <v>21975147.090518899</v>
      </c>
      <c r="Q23" s="43"/>
      <c r="R23" s="55">
        <v>21831989.668235499</v>
      </c>
      <c r="S23" s="43"/>
      <c r="T23" s="55">
        <v>83476504.712157398</v>
      </c>
      <c r="U23" s="40"/>
      <c r="V23" s="55">
        <v>95910.331959445393</v>
      </c>
      <c r="W23" s="43"/>
      <c r="X23" s="55">
        <v>240899.10216613999</v>
      </c>
      <c r="Y23" s="40"/>
      <c r="Z23" s="40">
        <f t="shared" si="9"/>
        <v>-1889643.0034630336</v>
      </c>
      <c r="AA23" s="40"/>
      <c r="AB23" s="40">
        <f t="shared" si="10"/>
        <v>-46506127.902086504</v>
      </c>
      <c r="AC23" s="17"/>
      <c r="AD23" s="40">
        <v>10595155405.883801</v>
      </c>
      <c r="AE23" s="40">
        <v>183.45579240999999</v>
      </c>
      <c r="AF23" s="40">
        <f t="shared" si="11"/>
        <v>5775318002.6090412</v>
      </c>
      <c r="AG23" s="40"/>
      <c r="AH23" s="44">
        <f t="shared" si="12"/>
        <v>-8.0525657428867168E-3</v>
      </c>
      <c r="AI23" s="45">
        <f t="shared" si="4"/>
        <v>2034</v>
      </c>
      <c r="AJ23" s="46">
        <f>SUM(AB90:AB93)/AVERAGE(AF90:AF93)</f>
        <v>-1.4614383343694677E-2</v>
      </c>
      <c r="AK23" s="40">
        <v>11761006</v>
      </c>
      <c r="AL23" s="46">
        <f>AK23/AVERAGE(AF90:AF93)</f>
        <v>1.3273971640912683E-3</v>
      </c>
      <c r="AM23" s="46">
        <f>(AF93-AF89)/AF89</f>
        <v>1.7181823178272972E-2</v>
      </c>
      <c r="AN23" s="46"/>
      <c r="AO23" s="40">
        <f t="shared" si="5"/>
        <v>905948195.85849547</v>
      </c>
      <c r="AP23" s="40">
        <f t="shared" si="8"/>
        <v>461256418.41089749</v>
      </c>
      <c r="AQ23" s="47">
        <f>AO23/AF93</f>
        <v>0.10103933176461725</v>
      </c>
      <c r="AR23" s="47">
        <f>AP23/AF93</f>
        <v>5.1443383298770046E-2</v>
      </c>
      <c r="AU23" s="39">
        <v>11136575</v>
      </c>
      <c r="AW23" s="39">
        <f t="shared" si="13"/>
        <v>1.7988449323164018E-3</v>
      </c>
      <c r="AX23" s="56">
        <v>6551.3566988074999</v>
      </c>
      <c r="AY23" s="44">
        <f t="shared" si="14"/>
        <v>-4.9655371093414334E-3</v>
      </c>
      <c r="BC23" s="44">
        <f t="shared" si="6"/>
        <v>1.3165120483641813E-2</v>
      </c>
      <c r="BD23" s="39">
        <f t="shared" si="7"/>
        <v>2034</v>
      </c>
      <c r="BE23" s="44">
        <f>SUM(T90:T93)/AVERAGE(AF90:AF93)</f>
        <v>5.8943909305284883E-2</v>
      </c>
      <c r="BF23" s="44">
        <f>SUM(P90:P93)/AVERAGE(AF90:AF93)</f>
        <v>9.1733233763320304E-3</v>
      </c>
      <c r="BG23" s="44">
        <f>SUM(D90:D93)/AVERAGE(AF90:AF93)</f>
        <v>6.438496927264753E-2</v>
      </c>
      <c r="BH23" s="44">
        <f>(SUM(H90:H93)+SUM(J90:J93))/AVERAGE(AF90:AF93)</f>
        <v>1.7658159884742133E-2</v>
      </c>
      <c r="BI23" s="46">
        <f t="shared" si="2"/>
        <v>-3.2272543228436812E-2</v>
      </c>
    </row>
    <row r="24" spans="1:61" s="39" customFormat="1">
      <c r="A24" s="39">
        <f t="shared" si="15"/>
        <v>2017</v>
      </c>
      <c r="B24" s="39">
        <f t="shared" si="16"/>
        <v>3</v>
      </c>
      <c r="C24" s="40"/>
      <c r="D24" s="55">
        <v>103134839.36607701</v>
      </c>
      <c r="E24" s="40"/>
      <c r="F24" s="55">
        <v>18745977.8850848</v>
      </c>
      <c r="G24" s="57">
        <v>122031</v>
      </c>
      <c r="H24" s="57">
        <v>671378.55703412101</v>
      </c>
      <c r="I24" s="57">
        <v>3774</v>
      </c>
      <c r="J24" s="57">
        <v>20763.434489980202</v>
      </c>
      <c r="K24" s="40"/>
      <c r="L24" s="55">
        <v>2993524.0450095101</v>
      </c>
      <c r="M24" s="43"/>
      <c r="N24" s="55">
        <v>777925.37423239998</v>
      </c>
      <c r="O24" s="40"/>
      <c r="P24" s="55">
        <v>19813326.384103201</v>
      </c>
      <c r="Q24" s="43"/>
      <c r="R24" s="55">
        <v>19582424.0254253</v>
      </c>
      <c r="S24" s="43"/>
      <c r="T24" s="55">
        <v>74875095.503194004</v>
      </c>
      <c r="U24" s="40"/>
      <c r="V24" s="55">
        <v>104659.772014402</v>
      </c>
      <c r="W24" s="43"/>
      <c r="X24" s="55">
        <v>262875.17305062898</v>
      </c>
      <c r="Y24" s="40"/>
      <c r="Z24" s="40">
        <f t="shared" si="9"/>
        <v>-2830343.5068870094</v>
      </c>
      <c r="AA24" s="40"/>
      <c r="AB24" s="40">
        <f t="shared" si="10"/>
        <v>-48073070.246986203</v>
      </c>
      <c r="AC24" s="17"/>
      <c r="AD24" s="40">
        <v>10937239663.7218</v>
      </c>
      <c r="AE24" s="40">
        <v>191.50871928999999</v>
      </c>
      <c r="AF24" s="40">
        <f t="shared" si="11"/>
        <v>5711092269.986743</v>
      </c>
      <c r="AG24" s="40"/>
      <c r="AH24" s="44">
        <f t="shared" si="12"/>
        <v>-8.4174914314766956E-3</v>
      </c>
      <c r="AI24" s="45">
        <f t="shared" si="4"/>
        <v>2035</v>
      </c>
      <c r="AJ24" s="46">
        <f>SUM(AB94:AB97)/AVERAGE(AF94:AF97)</f>
        <v>-1.3604691693752464E-2</v>
      </c>
      <c r="AK24" s="40">
        <v>10643718</v>
      </c>
      <c r="AL24" s="46">
        <f>AK24/AVERAGE(AF94:AF97)</f>
        <v>1.1666574129499091E-3</v>
      </c>
      <c r="AM24" s="46">
        <f>(AF97-AF93)/AF93</f>
        <v>2.945037912415685E-2</v>
      </c>
      <c r="AN24" s="46"/>
      <c r="AO24" s="40">
        <f t="shared" si="5"/>
        <v>932628713.69337416</v>
      </c>
      <c r="AP24" s="40">
        <f t="shared" si="8"/>
        <v>464053959.84893847</v>
      </c>
      <c r="AQ24" s="47">
        <f>AO24/AF97</f>
        <v>0.10103933176461727</v>
      </c>
      <c r="AR24" s="47">
        <f>AP24/AF97</f>
        <v>5.0274778502344949E-2</v>
      </c>
      <c r="AU24" s="39">
        <v>11137097</v>
      </c>
      <c r="AW24" s="39">
        <f t="shared" si="13"/>
        <v>4.6872579765322821E-5</v>
      </c>
      <c r="AX24" s="56">
        <v>6734.1800242166</v>
      </c>
      <c r="AY24" s="44">
        <f t="shared" si="14"/>
        <v>2.7906177882571746E-2</v>
      </c>
      <c r="BC24" s="44">
        <f t="shared" si="6"/>
        <v>1.5027573874826887E-2</v>
      </c>
      <c r="BD24" s="39">
        <f t="shared" si="7"/>
        <v>2035</v>
      </c>
      <c r="BE24" s="44">
        <f>SUM(T94:T97)/AVERAGE(AF94:AF97)</f>
        <v>5.8782662495098364E-2</v>
      </c>
      <c r="BF24" s="44">
        <f>SUM(P94:P97)/AVERAGE(AF94:AF97)</f>
        <v>8.8369130743099628E-3</v>
      </c>
      <c r="BG24" s="44">
        <f>SUM(D94:D97)/AVERAGE(AF94:AF97)</f>
        <v>6.3550441114540862E-2</v>
      </c>
      <c r="BH24" s="44">
        <f>(SUM(H94:H97)+SUM(J94:J97))/AVERAGE(AF94:AF97)</f>
        <v>1.890321375635573E-2</v>
      </c>
      <c r="BI24" s="46">
        <f t="shared" si="2"/>
        <v>-3.250790545010819E-2</v>
      </c>
    </row>
    <row r="25" spans="1:61">
      <c r="A25" s="39">
        <f t="shared" si="15"/>
        <v>2017</v>
      </c>
      <c r="B25" s="39">
        <f t="shared" si="16"/>
        <v>4</v>
      </c>
      <c r="C25" s="40"/>
      <c r="D25" s="55">
        <v>111712934.36590201</v>
      </c>
      <c r="E25" s="40"/>
      <c r="F25" s="55">
        <v>20305148.192143701</v>
      </c>
      <c r="G25" s="57">
        <v>168974</v>
      </c>
      <c r="H25" s="57">
        <v>929645.09260993998</v>
      </c>
      <c r="I25" s="57">
        <v>5226</v>
      </c>
      <c r="J25" s="57">
        <v>28751.910080719801</v>
      </c>
      <c r="K25" s="40"/>
      <c r="L25" s="55">
        <v>3407298.6874624598</v>
      </c>
      <c r="M25" s="43"/>
      <c r="N25" s="55">
        <v>844752.11853869294</v>
      </c>
      <c r="O25" s="40"/>
      <c r="P25" s="55">
        <v>22328066.000889398</v>
      </c>
      <c r="Q25" s="43"/>
      <c r="R25" s="55">
        <v>22462383.1001205</v>
      </c>
      <c r="S25" s="43"/>
      <c r="T25" s="55">
        <v>85886868.636240095</v>
      </c>
      <c r="U25" s="40"/>
      <c r="V25" s="55">
        <v>107767.707848416</v>
      </c>
      <c r="W25" s="43"/>
      <c r="X25" s="55">
        <v>270681.41182290699</v>
      </c>
      <c r="Y25" s="40"/>
      <c r="Z25" s="40">
        <f t="shared" si="9"/>
        <v>-1987048.1901759394</v>
      </c>
      <c r="AA25" s="40"/>
      <c r="AB25" s="40">
        <f t="shared" si="10"/>
        <v>-48154131.73055131</v>
      </c>
      <c r="AC25" s="17"/>
      <c r="AD25" s="40">
        <v>11544217084.2855</v>
      </c>
      <c r="AE25" s="40">
        <v>200.87293846</v>
      </c>
      <c r="AF25" s="40">
        <f t="shared" si="11"/>
        <v>5747024548.3486614</v>
      </c>
      <c r="AG25" s="40"/>
      <c r="AH25" s="44">
        <f t="shared" si="12"/>
        <v>-8.3789674683724513E-3</v>
      </c>
      <c r="AI25" s="45">
        <f t="shared" si="4"/>
        <v>2036</v>
      </c>
      <c r="AJ25" s="46">
        <f>SUM(AB98:AB101)/AVERAGE(AF98:AF101)</f>
        <v>-1.283137691192879E-2</v>
      </c>
      <c r="AK25" s="40">
        <v>9587255</v>
      </c>
      <c r="AL25" s="46">
        <f>AK25/AVERAGE(AF98:AF101)</f>
        <v>1.0232935719350195E-3</v>
      </c>
      <c r="AM25" s="46">
        <f>(AF101-AF97)/AF97</f>
        <v>1.8994360332094874E-2</v>
      </c>
      <c r="AN25" s="46"/>
      <c r="AO25" s="40">
        <f t="shared" si="5"/>
        <v>950343399.53732419</v>
      </c>
      <c r="AP25" s="40">
        <f t="shared" si="8"/>
        <v>463197932.30258662</v>
      </c>
      <c r="AQ25" s="47">
        <f>AO25/AF101</f>
        <v>0.10103933176461725</v>
      </c>
      <c r="AR25" s="47">
        <f>AP25/AF101</f>
        <v>4.9246629773396645E-2</v>
      </c>
      <c r="AS25" s="39"/>
      <c r="AT25" s="39"/>
      <c r="AU25" s="39">
        <v>11182588</v>
      </c>
      <c r="AV25" s="39"/>
      <c r="AW25" s="39">
        <f t="shared" si="13"/>
        <v>4.0846371365895438E-3</v>
      </c>
      <c r="AX25" s="56">
        <v>6721.2591396848002</v>
      </c>
      <c r="AY25" s="44">
        <f t="shared" si="14"/>
        <v>-1.9187019778704191E-3</v>
      </c>
      <c r="AZ25" s="39">
        <v>100</v>
      </c>
      <c r="BA25">
        <v>100</v>
      </c>
      <c r="BC25" s="44">
        <f t="shared" si="6"/>
        <v>1.3186172846777556E-2</v>
      </c>
      <c r="BD25" s="39">
        <f t="shared" si="7"/>
        <v>2036</v>
      </c>
      <c r="BE25" s="44">
        <f>SUM(T98:T101)/AVERAGE(AF98:AF101)</f>
        <v>5.9156491007860135E-2</v>
      </c>
      <c r="BF25" s="44">
        <f>SUM(P98:P101)/AVERAGE(AF98:AF101)</f>
        <v>8.8158515668696168E-3</v>
      </c>
      <c r="BG25" s="44">
        <f>SUM(D98:D101)/AVERAGE(AF98:AF101)</f>
        <v>6.3172016352919302E-2</v>
      </c>
      <c r="BH25" s="44">
        <f>(SUM(H98:H101)+SUM(J98:J101))/AVERAGE(AF98:AF101)</f>
        <v>2.0276667126593793E-2</v>
      </c>
      <c r="BI25" s="46">
        <f t="shared" si="2"/>
        <v>-3.3108044038522584E-2</v>
      </c>
    </row>
    <row r="26" spans="1:61" s="29" customFormat="1">
      <c r="A26" s="29">
        <f t="shared" si="15"/>
        <v>2018</v>
      </c>
      <c r="B26" s="29">
        <f t="shared" si="16"/>
        <v>1</v>
      </c>
      <c r="C26" s="30">
        <f>D26*0.081</f>
        <v>8464673.9804976191</v>
      </c>
      <c r="D26" s="52">
        <v>104502147.907378</v>
      </c>
      <c r="E26" s="30"/>
      <c r="F26" s="52">
        <v>18994502.397605099</v>
      </c>
      <c r="G26" s="59">
        <v>183168</v>
      </c>
      <c r="H26" s="59">
        <v>1007736.29270289</v>
      </c>
      <c r="I26" s="59">
        <v>5665</v>
      </c>
      <c r="J26" s="59">
        <v>31167.1585547795</v>
      </c>
      <c r="K26" s="30"/>
      <c r="L26" s="52">
        <v>3657759.7665794101</v>
      </c>
      <c r="M26" s="33"/>
      <c r="N26" s="52">
        <v>793463.31020704296</v>
      </c>
      <c r="O26" s="30"/>
      <c r="P26" s="52">
        <v>23345533.840273399</v>
      </c>
      <c r="Q26" s="33"/>
      <c r="R26" s="52">
        <v>19516704.0445383</v>
      </c>
      <c r="S26" s="33"/>
      <c r="T26" s="52">
        <v>74623809.4602101</v>
      </c>
      <c r="U26" s="30"/>
      <c r="V26" s="52">
        <v>93461.478518864606</v>
      </c>
      <c r="W26" s="33"/>
      <c r="X26" s="52">
        <v>234748.288347439</v>
      </c>
      <c r="Y26" s="30"/>
      <c r="Z26" s="30">
        <f t="shared" si="9"/>
        <v>-3835559.9513343852</v>
      </c>
      <c r="AA26" s="30"/>
      <c r="AB26" s="30">
        <f t="shared" si="10"/>
        <v>-53223872.287441298</v>
      </c>
      <c r="AC26" s="17"/>
      <c r="AD26" s="30"/>
      <c r="AE26" s="30"/>
      <c r="AF26" s="30">
        <f>BA26/100*AF25</f>
        <v>5687390252.2626686</v>
      </c>
      <c r="AG26" s="34">
        <f t="shared" ref="AG26:AG57" si="17">(AF26-AF25)/AF25</f>
        <v>-1.0376551480561887E-2</v>
      </c>
      <c r="AH26" s="34">
        <f t="shared" si="12"/>
        <v>-9.3582240582605943E-3</v>
      </c>
      <c r="AI26" s="35">
        <f t="shared" si="4"/>
        <v>2037</v>
      </c>
      <c r="AJ26" s="36">
        <f>SUM(AB102:AB105)/AVERAGE(AF102:AF105)</f>
        <v>-1.2823655359881038E-2</v>
      </c>
      <c r="AK26" s="30">
        <v>8587936</v>
      </c>
      <c r="AL26" s="36">
        <f>AK26/AVERAGE(AF102:AF105)</f>
        <v>9.0465140373083156E-4</v>
      </c>
      <c r="AM26" s="36">
        <f>(AF105-AF101)/AF101</f>
        <v>1.9487400558253109E-2</v>
      </c>
      <c r="AN26" s="36"/>
      <c r="AO26" s="30">
        <f t="shared" si="5"/>
        <v>968863122.03199995</v>
      </c>
      <c r="AP26" s="30">
        <f t="shared" si="8"/>
        <v>463560082.15584016</v>
      </c>
      <c r="AQ26" s="37">
        <f>AO26/AF105</f>
        <v>0.10103933176461725</v>
      </c>
      <c r="AR26" s="37">
        <f>AP26/AF105</f>
        <v>4.8343052665214548E-2</v>
      </c>
      <c r="AU26" s="29">
        <v>11191499</v>
      </c>
      <c r="AW26" s="29">
        <f t="shared" si="13"/>
        <v>7.968638386749114E-4</v>
      </c>
      <c r="AX26" s="53">
        <v>6646.2195162113003</v>
      </c>
      <c r="AY26" s="34">
        <f t="shared" si="14"/>
        <v>-1.1164518717994102E-2</v>
      </c>
      <c r="AZ26" s="29">
        <f t="shared" ref="AZ26:AZ57" si="18">AZ25*((1+AY26))</f>
        <v>98.883548128200587</v>
      </c>
      <c r="BA26" s="29">
        <f>BA25*(1+AW26)*(1+AY26)</f>
        <v>98.962344851943811</v>
      </c>
      <c r="BC26" s="34">
        <f t="shared" si="6"/>
        <v>1.5053671990748129E-2</v>
      </c>
      <c r="BD26" s="29">
        <f t="shared" si="7"/>
        <v>2037</v>
      </c>
      <c r="BE26" s="34">
        <f>SUM(T102:T105)/AVERAGE(AF102:AF105)</f>
        <v>5.927264913611309E-2</v>
      </c>
      <c r="BF26" s="34">
        <f>SUM(P102:P105)/AVERAGE(AF102:AF105)</f>
        <v>8.7491381741890469E-3</v>
      </c>
      <c r="BG26" s="34">
        <f>SUM(D102:D105)/AVERAGE(AF102:AF105)</f>
        <v>6.3347166321805093E-2</v>
      </c>
      <c r="BH26" s="34">
        <f>(SUM(H102:H105)+SUM(J102:J105))/AVERAGE(AF102:AF105)</f>
        <v>2.2031855885785646E-2</v>
      </c>
      <c r="BI26" s="36">
        <f t="shared" si="2"/>
        <v>-3.4855511245666687E-2</v>
      </c>
    </row>
    <row r="27" spans="1:61" s="39" customFormat="1">
      <c r="A27" s="39">
        <f t="shared" si="15"/>
        <v>2018</v>
      </c>
      <c r="B27" s="39">
        <f t="shared" si="16"/>
        <v>2</v>
      </c>
      <c r="C27" s="40">
        <f>D27*0.081</f>
        <v>8319136.4056563927</v>
      </c>
      <c r="D27" s="55">
        <v>102705387.724153</v>
      </c>
      <c r="E27" s="40"/>
      <c r="F27" s="55">
        <v>18667919.9656494</v>
      </c>
      <c r="G27" s="57">
        <v>219481</v>
      </c>
      <c r="H27" s="57">
        <v>1207519.70463576</v>
      </c>
      <c r="I27" s="57">
        <v>6788</v>
      </c>
      <c r="J27" s="57">
        <v>37345.573216212397</v>
      </c>
      <c r="K27" s="40"/>
      <c r="L27" s="55">
        <v>2726730.2086314699</v>
      </c>
      <c r="M27" s="43"/>
      <c r="N27" s="55">
        <v>781884.19253287103</v>
      </c>
      <c r="O27" s="40"/>
      <c r="P27" s="55">
        <v>18450712.149101999</v>
      </c>
      <c r="Q27" s="43"/>
      <c r="R27" s="55">
        <v>22274519.893395901</v>
      </c>
      <c r="S27" s="43"/>
      <c r="T27" s="55">
        <v>85168557.382905096</v>
      </c>
      <c r="U27" s="40"/>
      <c r="V27" s="55">
        <v>96132.090605756297</v>
      </c>
      <c r="W27" s="43"/>
      <c r="X27" s="55">
        <v>241456.09595088099</v>
      </c>
      <c r="Y27" s="40"/>
      <c r="Z27" s="40">
        <f t="shared" si="9"/>
        <v>194117.61718791723</v>
      </c>
      <c r="AA27" s="40"/>
      <c r="AB27" s="40">
        <f t="shared" si="10"/>
        <v>-35987542.490349904</v>
      </c>
      <c r="AC27" s="17"/>
      <c r="AD27" s="40"/>
      <c r="AE27" s="40"/>
      <c r="AF27" s="40">
        <f>BA27/100*AF25</f>
        <v>5692905887.7713909</v>
      </c>
      <c r="AG27" s="44">
        <f t="shared" si="17"/>
        <v>9.6980078103976904E-4</v>
      </c>
      <c r="AH27" s="44">
        <f t="shared" si="12"/>
        <v>-6.3214715296194702E-3</v>
      </c>
      <c r="AI27" s="45">
        <f t="shared" si="4"/>
        <v>2038</v>
      </c>
      <c r="AJ27" s="46">
        <f>SUM(AB106:AB109)/AVERAGE(AF106:AF109)</f>
        <v>-1.2433523733170448E-2</v>
      </c>
      <c r="AK27" s="40">
        <v>7643270</v>
      </c>
      <c r="AL27" s="46">
        <f>AK27/AVERAGE(AF106:AF109)</f>
        <v>7.8907331400162825E-4</v>
      </c>
      <c r="AM27" s="46">
        <f>(AF109-AF105)/AF105</f>
        <v>2.2093493947789044E-2</v>
      </c>
      <c r="AN27" s="46"/>
      <c r="AO27" s="40">
        <f t="shared" si="5"/>
        <v>990268693.55484998</v>
      </c>
      <c r="AP27" s="40">
        <f t="shared" si="8"/>
        <v>466081382.24305826</v>
      </c>
      <c r="AQ27" s="47">
        <f>AO27/AF109</f>
        <v>0.10103933176461725</v>
      </c>
      <c r="AR27" s="47">
        <f>AP27/AF109</f>
        <v>4.7555326868625625E-2</v>
      </c>
      <c r="AU27" s="39">
        <v>11272418</v>
      </c>
      <c r="AW27" s="39">
        <f t="shared" si="13"/>
        <v>7.2303987160254402E-3</v>
      </c>
      <c r="AX27" s="56">
        <v>6604.9089002572</v>
      </c>
      <c r="AY27" s="44">
        <f t="shared" si="14"/>
        <v>-6.215656261930021E-3</v>
      </c>
      <c r="AZ27" s="39">
        <f t="shared" si="18"/>
        <v>98.268921983075685</v>
      </c>
      <c r="BA27" s="39">
        <f t="shared" ref="BA27:BA90" si="19">BA26*(1+AW27)*(1+AY27)</f>
        <v>99.058318611274757</v>
      </c>
      <c r="BC27" s="44">
        <f t="shared" si="6"/>
        <v>1.3182709644748809E-2</v>
      </c>
      <c r="BD27" s="39">
        <f t="shared" si="7"/>
        <v>2038</v>
      </c>
      <c r="BE27" s="44">
        <f>SUM(T106:T109)/AVERAGE(AF106:AF109)</f>
        <v>5.9404739392813419E-2</v>
      </c>
      <c r="BF27" s="44">
        <f>SUM(P106:P109)/AVERAGE(AF106:AF109)</f>
        <v>8.7193484762990558E-3</v>
      </c>
      <c r="BG27" s="44">
        <f>SUM(D106:D109)/AVERAGE(AF106:AF109)</f>
        <v>6.3118914649684818E-2</v>
      </c>
      <c r="BH27" s="44">
        <f>(SUM(H106:H109)+SUM(J106:J109))/AVERAGE(AF106:AF109)</f>
        <v>2.3797436337170828E-2</v>
      </c>
      <c r="BI27" s="46">
        <f t="shared" si="2"/>
        <v>-3.6230960070341274E-2</v>
      </c>
    </row>
    <row r="28" spans="1:61" s="39" customFormat="1">
      <c r="A28" s="39">
        <f t="shared" si="15"/>
        <v>2018</v>
      </c>
      <c r="B28" s="39">
        <f t="shared" si="16"/>
        <v>3</v>
      </c>
      <c r="C28" s="40">
        <f>D28*0.081</f>
        <v>8230340.5235281</v>
      </c>
      <c r="D28" s="55">
        <v>101609142.265779</v>
      </c>
      <c r="E28" s="40"/>
      <c r="F28" s="55">
        <v>18468664.377085801</v>
      </c>
      <c r="G28" s="57">
        <v>249655</v>
      </c>
      <c r="H28" s="57">
        <v>1373528.1498664599</v>
      </c>
      <c r="I28" s="57">
        <v>7721</v>
      </c>
      <c r="J28" s="57">
        <v>42478.663936708297</v>
      </c>
      <c r="K28" s="40"/>
      <c r="L28" s="55">
        <v>2587695.9452494802</v>
      </c>
      <c r="M28" s="43"/>
      <c r="N28" s="55">
        <v>775630.92998890602</v>
      </c>
      <c r="O28" s="40"/>
      <c r="P28" s="55">
        <v>17694859.0899655</v>
      </c>
      <c r="Q28" s="43"/>
      <c r="R28" s="55">
        <v>19840494.248834498</v>
      </c>
      <c r="S28" s="43"/>
      <c r="T28" s="55">
        <v>75861849.369784102</v>
      </c>
      <c r="U28" s="40"/>
      <c r="V28" s="55">
        <v>96443.312088815495</v>
      </c>
      <c r="W28" s="43"/>
      <c r="X28" s="55">
        <v>242237.794588683</v>
      </c>
      <c r="Y28" s="40"/>
      <c r="Z28" s="40">
        <f t="shared" si="9"/>
        <v>-1895053.6914008707</v>
      </c>
      <c r="AA28" s="40"/>
      <c r="AB28" s="40">
        <f t="shared" si="10"/>
        <v>-43442151.985960402</v>
      </c>
      <c r="AC28" s="17"/>
      <c r="AD28" s="40"/>
      <c r="AE28" s="40"/>
      <c r="AF28" s="40">
        <f>BA28/100*AF25</f>
        <v>5774396438.1330109</v>
      </c>
      <c r="AG28" s="44">
        <f t="shared" si="17"/>
        <v>1.4314403218339721E-2</v>
      </c>
      <c r="AH28" s="44">
        <f t="shared" si="12"/>
        <v>-7.5232368354685051E-3</v>
      </c>
      <c r="AI28" s="45">
        <f t="shared" si="4"/>
        <v>2039</v>
      </c>
      <c r="AJ28" s="46">
        <f>SUM(AB110:AB113)/AVERAGE(AF110:AF113)</f>
        <v>-1.2536789837583721E-2</v>
      </c>
      <c r="AK28" s="40">
        <v>6785350</v>
      </c>
      <c r="AL28" s="46">
        <f>AK28/AVERAGE(AF110:AF113)</f>
        <v>6.8646197004065455E-4</v>
      </c>
      <c r="AM28" s="46">
        <f>(AF113-AF109)/AF109</f>
        <v>1.7872664518157562E-2</v>
      </c>
      <c r="AN28" s="46"/>
      <c r="AO28" s="40">
        <f t="shared" si="5"/>
        <v>1007967433.6975899</v>
      </c>
      <c r="AP28" s="40">
        <f t="shared" si="8"/>
        <v>467570743.07807362</v>
      </c>
      <c r="AQ28" s="47">
        <f>AO28/AF113</f>
        <v>0.10103933176461724</v>
      </c>
      <c r="AR28" s="47">
        <f>AP28/AF113</f>
        <v>4.6869604963316637E-2</v>
      </c>
      <c r="AU28" s="39">
        <v>11324479</v>
      </c>
      <c r="AW28" s="39">
        <f t="shared" si="13"/>
        <v>4.6184412252987779E-3</v>
      </c>
      <c r="AX28" s="56">
        <v>6668.6554362916004</v>
      </c>
      <c r="AY28" s="44">
        <f t="shared" si="14"/>
        <v>9.6513876265451656E-3</v>
      </c>
      <c r="AZ28" s="39">
        <f t="shared" si="18"/>
        <v>99.217353440777075</v>
      </c>
      <c r="BA28" s="39">
        <f t="shared" si="19"/>
        <v>100.4762793260073</v>
      </c>
      <c r="BC28" s="44">
        <f t="shared" si="6"/>
        <v>1.5047395054376149E-2</v>
      </c>
      <c r="BD28" s="39">
        <f t="shared" si="7"/>
        <v>2039</v>
      </c>
      <c r="BE28" s="44">
        <f>SUM(T110:T113)/AVERAGE(AF110:AF113)</f>
        <v>5.9491043553575519E-2</v>
      </c>
      <c r="BF28" s="44">
        <f>SUM(P110:P113)/AVERAGE(AF110:AF113)</f>
        <v>8.7544096878011905E-3</v>
      </c>
      <c r="BG28" s="44">
        <f>SUM(D110:D113)/AVERAGE(AF110:AF113)</f>
        <v>6.3273423703358034E-2</v>
      </c>
      <c r="BH28" s="44">
        <f>(SUM(H110:H113)+SUM(J110:J113))/AVERAGE(AF110:AF113)</f>
        <v>2.5573616795631859E-2</v>
      </c>
      <c r="BI28" s="46">
        <f t="shared" si="2"/>
        <v>-3.8110406633215577E-2</v>
      </c>
    </row>
    <row r="29" spans="1:61" s="39" customFormat="1">
      <c r="A29" s="39">
        <f t="shared" si="15"/>
        <v>2018</v>
      </c>
      <c r="B29" s="39">
        <f t="shared" si="16"/>
        <v>4</v>
      </c>
      <c r="C29" s="40">
        <f>D29*0.081</f>
        <v>8318732.0203436855</v>
      </c>
      <c r="D29" s="55">
        <v>102700395.312885</v>
      </c>
      <c r="E29" s="40"/>
      <c r="F29" s="55">
        <v>18667012.535805002</v>
      </c>
      <c r="G29" s="57">
        <v>266411</v>
      </c>
      <c r="H29" s="57">
        <v>1465714.7180472</v>
      </c>
      <c r="I29" s="57">
        <v>8239</v>
      </c>
      <c r="J29" s="57">
        <v>45328.547101999698</v>
      </c>
      <c r="K29" s="40"/>
      <c r="L29" s="55">
        <v>2628129.3084095502</v>
      </c>
      <c r="M29" s="43"/>
      <c r="N29" s="55">
        <v>789884.42932027602</v>
      </c>
      <c r="O29" s="40"/>
      <c r="P29" s="55">
        <v>17983086.551474299</v>
      </c>
      <c r="Q29" s="43"/>
      <c r="R29" s="55">
        <v>22690527.3800111</v>
      </c>
      <c r="S29" s="43"/>
      <c r="T29" s="55">
        <v>86759198.0640544</v>
      </c>
      <c r="U29" s="40"/>
      <c r="V29" s="55">
        <v>104250.641129879</v>
      </c>
      <c r="W29" s="43"/>
      <c r="X29" s="55">
        <v>261847.55422441199</v>
      </c>
      <c r="Y29" s="40"/>
      <c r="Z29" s="40">
        <f t="shared" si="9"/>
        <v>709751.74760615081</v>
      </c>
      <c r="AA29" s="40"/>
      <c r="AB29" s="40">
        <f t="shared" si="10"/>
        <v>-33924283.800304905</v>
      </c>
      <c r="AC29" s="17"/>
      <c r="AD29" s="40"/>
      <c r="AE29" s="40"/>
      <c r="AF29" s="40">
        <f>BA29/100*AF25</f>
        <v>5794684718.0486708</v>
      </c>
      <c r="AG29" s="44">
        <f t="shared" si="17"/>
        <v>3.5134892681908674E-3</v>
      </c>
      <c r="AH29" s="44">
        <f t="shared" si="12"/>
        <v>-5.8543795652317605E-3</v>
      </c>
      <c r="AI29" s="45">
        <f t="shared" si="4"/>
        <v>2040</v>
      </c>
      <c r="AJ29" s="46">
        <f>SUM(AB114:AB117)/AVERAGE(AF114:AF117)</f>
        <v>-1.2410982553138253E-2</v>
      </c>
      <c r="AK29" s="40">
        <v>5982042</v>
      </c>
      <c r="AL29" s="46">
        <f>AK29/AVERAGE(AF114:AF117)</f>
        <v>5.9203938752555748E-4</v>
      </c>
      <c r="AM29" s="46">
        <f>(AF117-AF113)/AF113</f>
        <v>2.0953331735401679E-2</v>
      </c>
      <c r="AN29" s="46"/>
      <c r="AO29" s="40">
        <f t="shared" si="5"/>
        <v>1029087709.7143369</v>
      </c>
      <c r="AP29" s="40">
        <f t="shared" si="8"/>
        <v>471328631.86378187</v>
      </c>
      <c r="AQ29" s="47">
        <f>AO29/AF117</f>
        <v>0.10103933176461724</v>
      </c>
      <c r="AR29" s="47">
        <f>AP29/AF117</f>
        <v>4.6276648292950008E-2</v>
      </c>
      <c r="AU29" s="39">
        <v>11306951</v>
      </c>
      <c r="AW29" s="39">
        <f t="shared" si="13"/>
        <v>-1.5477974748330586E-3</v>
      </c>
      <c r="AX29" s="56">
        <v>6702.4597358545998</v>
      </c>
      <c r="AY29" s="44">
        <f t="shared" si="14"/>
        <v>5.0691327338690294E-3</v>
      </c>
      <c r="AZ29" s="39">
        <f t="shared" si="18"/>
        <v>99.720299374871573</v>
      </c>
      <c r="BA29" s="39">
        <f>BA28*(1+AW29)*(1+AY29)</f>
        <v>100.82930165512697</v>
      </c>
      <c r="BC29" s="44">
        <f t="shared" si="6"/>
        <v>1.3144594753266509E-2</v>
      </c>
      <c r="BD29" s="39">
        <f t="shared" si="7"/>
        <v>2040</v>
      </c>
      <c r="BE29" s="44">
        <f>SUM(T114:T117)/AVERAGE(AF114:AF117)</f>
        <v>5.9699406205572181E-2</v>
      </c>
      <c r="BF29" s="44">
        <f>SUM(P114:P117)/AVERAGE(AF114:AF117)</f>
        <v>8.6321639911100118E-3</v>
      </c>
      <c r="BG29" s="44">
        <f>SUM(D114:D117)/AVERAGE(AF114:AF117)</f>
        <v>6.3478224767600427E-2</v>
      </c>
      <c r="BH29" s="44">
        <f>(SUM(H114:H117)+SUM(J114:J117))/AVERAGE(AF114:AF117)</f>
        <v>2.7389218620906559E-2</v>
      </c>
      <c r="BI29" s="46">
        <f t="shared" si="2"/>
        <v>-3.9800201174044814E-2</v>
      </c>
    </row>
    <row r="30" spans="1:61" s="29" customFormat="1">
      <c r="A30" s="29">
        <f t="shared" si="15"/>
        <v>2019</v>
      </c>
      <c r="B30" s="29">
        <f t="shared" si="16"/>
        <v>1</v>
      </c>
      <c r="C30" s="30"/>
      <c r="D30" s="52">
        <v>103382598.266812</v>
      </c>
      <c r="E30" s="30"/>
      <c r="F30" s="52">
        <v>18791010.998071201</v>
      </c>
      <c r="G30" s="59">
        <v>300922</v>
      </c>
      <c r="H30" s="59">
        <v>1655584.0576560199</v>
      </c>
      <c r="I30" s="59">
        <v>9307</v>
      </c>
      <c r="J30" s="59">
        <v>51204.367991056097</v>
      </c>
      <c r="K30" s="30"/>
      <c r="L30" s="52">
        <v>3051700.8842498399</v>
      </c>
      <c r="M30" s="33"/>
      <c r="N30" s="52">
        <v>797028.44772347796</v>
      </c>
      <c r="O30" s="30"/>
      <c r="P30" s="52">
        <v>20220305.753512301</v>
      </c>
      <c r="Q30" s="33"/>
      <c r="R30" s="52">
        <v>20207173.956784502</v>
      </c>
      <c r="S30" s="33"/>
      <c r="T30" s="52">
        <v>77263881.0138845</v>
      </c>
      <c r="U30" s="30"/>
      <c r="V30" s="52">
        <v>103561.582444111</v>
      </c>
      <c r="W30" s="33"/>
      <c r="X30" s="52">
        <v>260116.83746689401</v>
      </c>
      <c r="Y30" s="30"/>
      <c r="Z30" s="30">
        <f t="shared" si="9"/>
        <v>-2329004.7908159047</v>
      </c>
      <c r="AA30" s="30"/>
      <c r="AB30" s="30">
        <f t="shared" si="10"/>
        <v>-46339023.006439798</v>
      </c>
      <c r="AC30" s="17"/>
      <c r="AD30" s="30"/>
      <c r="AE30" s="30"/>
      <c r="AF30" s="30">
        <f>BA30/100*AF25</f>
        <v>5868832048.2815142</v>
      </c>
      <c r="AG30" s="34">
        <f t="shared" si="17"/>
        <v>1.2795748835462461E-2</v>
      </c>
      <c r="AH30" s="34">
        <f t="shared" si="12"/>
        <v>-7.8957827767466258E-3</v>
      </c>
      <c r="AK30" s="30"/>
      <c r="AP30" s="49">
        <f>(AP29-AP6)/AP6</f>
        <v>-0.18830979500602699</v>
      </c>
      <c r="AU30" s="29">
        <v>11394013</v>
      </c>
      <c r="AW30" s="29">
        <f t="shared" si="13"/>
        <v>7.6998653306271517E-3</v>
      </c>
      <c r="AX30" s="53">
        <v>6736.3537108215996</v>
      </c>
      <c r="AY30" s="34">
        <f t="shared" si="14"/>
        <v>5.0569457039309146E-3</v>
      </c>
      <c r="AZ30" s="29">
        <f t="shared" si="18"/>
        <v>100.22457951439003</v>
      </c>
      <c r="BA30" s="29">
        <f t="shared" si="19"/>
        <v>102.11948807436106</v>
      </c>
      <c r="BC30" s="34">
        <f t="shared" si="6"/>
        <v>1.5029865137673858E-2</v>
      </c>
    </row>
    <row r="31" spans="1:61" s="39" customFormat="1">
      <c r="A31" s="39">
        <f t="shared" si="15"/>
        <v>2019</v>
      </c>
      <c r="B31" s="39">
        <f t="shared" si="16"/>
        <v>2</v>
      </c>
      <c r="C31" s="40"/>
      <c r="D31" s="55">
        <v>104209521.853361</v>
      </c>
      <c r="E31" s="40"/>
      <c r="F31" s="55">
        <v>18941314.148407001</v>
      </c>
      <c r="G31" s="57">
        <v>324097</v>
      </c>
      <c r="H31" s="57">
        <v>1783086.0699255699</v>
      </c>
      <c r="I31" s="57">
        <v>10024</v>
      </c>
      <c r="J31" s="57">
        <v>55149.090441855202</v>
      </c>
      <c r="K31" s="40"/>
      <c r="L31" s="55">
        <v>2592561.1032489701</v>
      </c>
      <c r="M31" s="43"/>
      <c r="N31" s="55">
        <v>804841.08216381096</v>
      </c>
      <c r="O31" s="40"/>
      <c r="P31" s="55">
        <v>17880810.056830999</v>
      </c>
      <c r="Q31" s="43"/>
      <c r="R31" s="55">
        <v>23206200.696559198</v>
      </c>
      <c r="S31" s="43"/>
      <c r="T31" s="55">
        <v>88730919.684158996</v>
      </c>
      <c r="U31" s="40"/>
      <c r="V31" s="55">
        <v>108660.798946386</v>
      </c>
      <c r="W31" s="43"/>
      <c r="X31" s="55">
        <v>272924.59917569801</v>
      </c>
      <c r="Y31" s="40"/>
      <c r="Z31" s="40">
        <f t="shared" si="9"/>
        <v>976145.16168580204</v>
      </c>
      <c r="AA31" s="40"/>
      <c r="AB31" s="40">
        <f t="shared" si="10"/>
        <v>-33359412.226033002</v>
      </c>
      <c r="AC31" s="17"/>
      <c r="AD31" s="40"/>
      <c r="AE31" s="40"/>
      <c r="AF31" s="40">
        <f>BA31/100*AF25</f>
        <v>5904540574.762681</v>
      </c>
      <c r="AG31" s="44">
        <f t="shared" si="17"/>
        <v>6.0844348905201425E-3</v>
      </c>
      <c r="AH31" s="44">
        <f t="shared" si="12"/>
        <v>-5.6497896497855471E-3</v>
      </c>
      <c r="AK31" s="40"/>
      <c r="AU31" s="39">
        <v>11436037</v>
      </c>
      <c r="AW31" s="39">
        <f t="shared" si="13"/>
        <v>3.6882527692394243E-3</v>
      </c>
      <c r="AX31" s="56">
        <v>6752.4359258718996</v>
      </c>
      <c r="AY31" s="44">
        <f t="shared" si="14"/>
        <v>2.3873768719217827E-3</v>
      </c>
      <c r="AZ31" s="39">
        <f t="shared" si="18"/>
        <v>100.46385335752078</v>
      </c>
      <c r="BA31" s="39">
        <f t="shared" si="19"/>
        <v>102.74082745060277</v>
      </c>
      <c r="BC31" s="44">
        <f t="shared" si="6"/>
        <v>1.316370659112388E-2</v>
      </c>
    </row>
    <row r="32" spans="1:61" s="39" customFormat="1">
      <c r="A32" s="39">
        <f t="shared" si="15"/>
        <v>2019</v>
      </c>
      <c r="B32" s="39">
        <f t="shared" si="16"/>
        <v>3</v>
      </c>
      <c r="C32" s="40">
        <f>SUM(C26:C29)</f>
        <v>33332882.930025794</v>
      </c>
      <c r="D32" s="55">
        <v>105066393.23246901</v>
      </c>
      <c r="E32" s="40"/>
      <c r="F32" s="55">
        <v>19097060.6645393</v>
      </c>
      <c r="G32" s="57">
        <v>359761</v>
      </c>
      <c r="H32" s="57">
        <v>1979298.8753444001</v>
      </c>
      <c r="I32" s="57">
        <v>11126</v>
      </c>
      <c r="J32" s="57">
        <v>61211.969299289798</v>
      </c>
      <c r="K32" s="40"/>
      <c r="L32" s="55">
        <v>2481113.3482953999</v>
      </c>
      <c r="M32" s="43"/>
      <c r="N32" s="55">
        <v>813305.09780112305</v>
      </c>
      <c r="O32" s="40"/>
      <c r="P32" s="55">
        <v>17349073.6433248</v>
      </c>
      <c r="Q32" s="43"/>
      <c r="R32" s="55">
        <v>20614611.5114084</v>
      </c>
      <c r="S32" s="43"/>
      <c r="T32" s="55">
        <v>78821753.817294598</v>
      </c>
      <c r="U32" s="40"/>
      <c r="V32" s="55">
        <v>111444.915039805</v>
      </c>
      <c r="W32" s="43"/>
      <c r="X32" s="55">
        <v>279917.49611942598</v>
      </c>
      <c r="Y32" s="40"/>
      <c r="Z32" s="40">
        <f t="shared" si="9"/>
        <v>-1665422.6841876209</v>
      </c>
      <c r="AA32" s="40"/>
      <c r="AB32" s="40">
        <f t="shared" si="10"/>
        <v>-43593713.05849921</v>
      </c>
      <c r="AC32" s="17"/>
      <c r="AD32" s="40"/>
      <c r="AE32" s="40"/>
      <c r="AF32" s="40">
        <f>BA32/100*AF25</f>
        <v>5977606598.4571943</v>
      </c>
      <c r="AG32" s="44">
        <f t="shared" si="17"/>
        <v>1.2374548496933657E-2</v>
      </c>
      <c r="AH32" s="44">
        <f t="shared" si="12"/>
        <v>-7.2928374158564803E-3</v>
      </c>
      <c r="AK32" s="40"/>
      <c r="AU32" s="39">
        <v>11462202</v>
      </c>
      <c r="AW32" s="39">
        <f t="shared" si="13"/>
        <v>2.2879429298803423E-3</v>
      </c>
      <c r="AX32" s="56">
        <v>6820.3896095229002</v>
      </c>
      <c r="AY32" s="44">
        <f t="shared" si="14"/>
        <v>1.0063580668812662E-2</v>
      </c>
      <c r="AZ32" s="39">
        <f t="shared" si="18"/>
        <v>101.47487945008396</v>
      </c>
      <c r="BA32" s="39">
        <f t="shared" si="19"/>
        <v>104.01219880250534</v>
      </c>
      <c r="BC32" s="44">
        <f t="shared" si="6"/>
        <v>1.5086751051282926E-2</v>
      </c>
    </row>
    <row r="33" spans="1:55" s="39" customFormat="1">
      <c r="A33" s="39">
        <f t="shared" si="15"/>
        <v>2019</v>
      </c>
      <c r="B33" s="39">
        <f t="shared" si="16"/>
        <v>4</v>
      </c>
      <c r="C33" s="40"/>
      <c r="D33" s="55">
        <v>105630972.277188</v>
      </c>
      <c r="E33" s="40"/>
      <c r="F33" s="55">
        <v>19199679.588966101</v>
      </c>
      <c r="G33" s="57">
        <v>403828</v>
      </c>
      <c r="H33" s="57">
        <v>2221742.5074773999</v>
      </c>
      <c r="I33" s="57">
        <v>12489</v>
      </c>
      <c r="J33" s="57">
        <v>68710.793149274701</v>
      </c>
      <c r="K33" s="40"/>
      <c r="L33" s="55">
        <v>2567007.9185992</v>
      </c>
      <c r="M33" s="43"/>
      <c r="N33" s="55">
        <v>818547.57998264604</v>
      </c>
      <c r="O33" s="40"/>
      <c r="P33" s="55">
        <v>17823623.5671372</v>
      </c>
      <c r="Q33" s="43"/>
      <c r="R33" s="55">
        <v>23699027.056575999</v>
      </c>
      <c r="S33" s="43"/>
      <c r="T33" s="55">
        <v>90615283.985781595</v>
      </c>
      <c r="U33" s="40"/>
      <c r="V33" s="55">
        <v>106710.671533527</v>
      </c>
      <c r="W33" s="43"/>
      <c r="X33" s="55">
        <v>268026.44135193201</v>
      </c>
      <c r="Y33" s="40"/>
      <c r="Z33" s="40">
        <f t="shared" si="9"/>
        <v>1220502.6405615807</v>
      </c>
      <c r="AA33" s="40"/>
      <c r="AB33" s="40">
        <f t="shared" si="10"/>
        <v>-32839311.858543605</v>
      </c>
      <c r="AC33" s="17"/>
      <c r="AD33" s="40"/>
      <c r="AE33" s="40"/>
      <c r="AF33" s="40">
        <f>BA33/100*AF25</f>
        <v>6019480432.5132799</v>
      </c>
      <c r="AG33" s="44">
        <f t="shared" si="17"/>
        <v>7.0051170759369008E-3</v>
      </c>
      <c r="AH33" s="44">
        <f t="shared" si="12"/>
        <v>-5.4555060402168946E-3</v>
      </c>
      <c r="AK33" s="40"/>
      <c r="AU33" s="39">
        <v>11526291</v>
      </c>
      <c r="AW33" s="39">
        <f t="shared" si="13"/>
        <v>5.5913340211592851E-3</v>
      </c>
      <c r="AX33" s="56">
        <v>6829.9785458340002</v>
      </c>
      <c r="AY33" s="44">
        <f t="shared" si="14"/>
        <v>1.4059220748491533E-3</v>
      </c>
      <c r="AZ33" s="39">
        <f t="shared" si="18"/>
        <v>101.6175452231455</v>
      </c>
      <c r="BA33" s="39">
        <f t="shared" si="19"/>
        <v>104.7408164324425</v>
      </c>
      <c r="BC33" s="44">
        <f t="shared" si="6"/>
        <v>1.3155939910616546E-2</v>
      </c>
    </row>
    <row r="34" spans="1:55" s="29" customFormat="1">
      <c r="A34" s="29">
        <f t="shared" si="15"/>
        <v>2020</v>
      </c>
      <c r="B34" s="29">
        <f t="shared" si="16"/>
        <v>1</v>
      </c>
      <c r="C34" s="30"/>
      <c r="D34" s="52">
        <v>108171447.25953799</v>
      </c>
      <c r="E34" s="30"/>
      <c r="F34" s="52">
        <v>19661440.989182301</v>
      </c>
      <c r="G34" s="59">
        <v>451000</v>
      </c>
      <c r="H34" s="59">
        <v>2481268.9334872998</v>
      </c>
      <c r="I34" s="59">
        <v>13948</v>
      </c>
      <c r="J34" s="59">
        <v>76737.780674680398</v>
      </c>
      <c r="K34" s="30"/>
      <c r="L34" s="52">
        <v>3056397.4269103701</v>
      </c>
      <c r="M34" s="33"/>
      <c r="N34" s="52">
        <v>838789.62568952504</v>
      </c>
      <c r="O34" s="30"/>
      <c r="P34" s="52">
        <v>20474433.815333899</v>
      </c>
      <c r="Q34" s="33"/>
      <c r="R34" s="52">
        <v>20840591.5623665</v>
      </c>
      <c r="S34" s="33"/>
      <c r="T34" s="52">
        <v>79685808.128207996</v>
      </c>
      <c r="U34" s="30"/>
      <c r="V34" s="52">
        <v>110018.40051382101</v>
      </c>
      <c r="W34" s="33"/>
      <c r="X34" s="52">
        <v>276334.50290570199</v>
      </c>
      <c r="Y34" s="30"/>
      <c r="Z34" s="30">
        <f t="shared" si="9"/>
        <v>-2606018.0789018758</v>
      </c>
      <c r="AA34" s="30"/>
      <c r="AB34" s="30">
        <f t="shared" si="10"/>
        <v>-48960072.946663901</v>
      </c>
      <c r="AC34" s="17"/>
      <c r="AD34" s="30"/>
      <c r="AE34" s="30"/>
      <c r="AF34" s="30">
        <f>BA34/100*AF25</f>
        <v>6044721478.0270901</v>
      </c>
      <c r="AG34" s="34">
        <f t="shared" si="17"/>
        <v>4.193226607644508E-3</v>
      </c>
      <c r="AH34" s="34">
        <f t="shared" si="12"/>
        <v>-8.0996408394723527E-3</v>
      </c>
      <c r="AK34" s="30"/>
      <c r="AU34" s="29">
        <v>11565467</v>
      </c>
      <c r="AW34" s="29">
        <f t="shared" si="13"/>
        <v>3.3988383600587562E-3</v>
      </c>
      <c r="AX34" s="53">
        <v>6835.3858220641996</v>
      </c>
      <c r="AY34" s="34">
        <f t="shared" si="14"/>
        <v>7.9169739610640468E-4</v>
      </c>
      <c r="AZ34" s="29">
        <f t="shared" si="18"/>
        <v>101.69799556909739</v>
      </c>
      <c r="BA34" s="29">
        <f t="shared" si="19"/>
        <v>105.18001841081343</v>
      </c>
      <c r="BC34" s="34">
        <f t="shared" si="6"/>
        <v>1.5082831447737966E-2</v>
      </c>
    </row>
    <row r="35" spans="1:55" s="39" customFormat="1">
      <c r="A35" s="39">
        <f t="shared" si="15"/>
        <v>2020</v>
      </c>
      <c r="B35" s="39">
        <f t="shared" si="16"/>
        <v>2</v>
      </c>
      <c r="C35" s="40"/>
      <c r="D35" s="55">
        <v>108576903.993909</v>
      </c>
      <c r="E35" s="40"/>
      <c r="F35" s="55">
        <v>19735137.550136801</v>
      </c>
      <c r="G35" s="57">
        <v>475849</v>
      </c>
      <c r="H35" s="57">
        <v>2617980.7998469998</v>
      </c>
      <c r="I35" s="57">
        <v>14717</v>
      </c>
      <c r="J35" s="57">
        <v>80968.591782999094</v>
      </c>
      <c r="K35" s="40"/>
      <c r="L35" s="55">
        <v>2527497.51560137</v>
      </c>
      <c r="M35" s="43"/>
      <c r="N35" s="55">
        <v>843559.02768695005</v>
      </c>
      <c r="O35" s="40"/>
      <c r="P35" s="55">
        <v>17756209.503855798</v>
      </c>
      <c r="Q35" s="43"/>
      <c r="R35" s="55">
        <v>23809235.9727429</v>
      </c>
      <c r="S35" s="43"/>
      <c r="T35" s="55">
        <v>91036677.328740001</v>
      </c>
      <c r="U35" s="40"/>
      <c r="V35" s="55">
        <v>108412.97555713401</v>
      </c>
      <c r="W35" s="43"/>
      <c r="X35" s="55">
        <v>272302.13827136502</v>
      </c>
      <c r="Y35" s="40"/>
      <c r="Z35" s="40">
        <f t="shared" si="9"/>
        <v>811454.85487491265</v>
      </c>
      <c r="AA35" s="40"/>
      <c r="AB35" s="40">
        <f t="shared" si="10"/>
        <v>-35296436.169024795</v>
      </c>
      <c r="AC35" s="17"/>
      <c r="AD35" s="40"/>
      <c r="AE35" s="40"/>
      <c r="AF35" s="40">
        <f>BA35/100*AF25</f>
        <v>6049995829.8273239</v>
      </c>
      <c r="AG35" s="44">
        <f t="shared" si="17"/>
        <v>8.7255497534607885E-4</v>
      </c>
      <c r="AH35" s="44">
        <f t="shared" si="12"/>
        <v>-5.8341257022043614E-3</v>
      </c>
      <c r="AK35" s="60"/>
      <c r="AU35" s="39">
        <v>11605522</v>
      </c>
      <c r="AW35" s="39">
        <f t="shared" si="13"/>
        <v>3.4633275076570622E-3</v>
      </c>
      <c r="AX35" s="56">
        <v>6817.7380123734001</v>
      </c>
      <c r="AY35" s="44">
        <f t="shared" si="14"/>
        <v>-2.5818308066581181E-3</v>
      </c>
      <c r="AZ35" s="39">
        <f t="shared" si="18"/>
        <v>101.43542855116172</v>
      </c>
      <c r="BA35" s="39">
        <f t="shared" si="19"/>
        <v>105.27179375918479</v>
      </c>
      <c r="BC35" s="44">
        <f t="shared" si="6"/>
        <v>1.3218703711588215E-2</v>
      </c>
    </row>
    <row r="36" spans="1:55">
      <c r="A36" s="39">
        <f t="shared" si="15"/>
        <v>2020</v>
      </c>
      <c r="B36" s="39">
        <f t="shared" si="16"/>
        <v>3</v>
      </c>
      <c r="C36" s="40"/>
      <c r="D36" s="55">
        <v>109535038.582361</v>
      </c>
      <c r="E36" s="40"/>
      <c r="F36" s="55">
        <v>19909289.853242502</v>
      </c>
      <c r="G36" s="57">
        <v>492592</v>
      </c>
      <c r="H36" s="57">
        <v>2710095.84586336</v>
      </c>
      <c r="I36" s="57">
        <v>15235</v>
      </c>
      <c r="J36" s="57">
        <v>83818.474948290503</v>
      </c>
      <c r="K36" s="40"/>
      <c r="L36" s="55">
        <v>2501162.8358714301</v>
      </c>
      <c r="M36" s="43"/>
      <c r="N36" s="55">
        <v>853084.81897030398</v>
      </c>
      <c r="O36" s="40"/>
      <c r="P36" s="55">
        <v>17671966.818625599</v>
      </c>
      <c r="Q36" s="43"/>
      <c r="R36" s="55">
        <v>20838491.700807199</v>
      </c>
      <c r="S36" s="43"/>
      <c r="T36" s="55">
        <v>79677779.125537604</v>
      </c>
      <c r="U36" s="40"/>
      <c r="V36" s="55">
        <v>109284.065109979</v>
      </c>
      <c r="W36" s="43"/>
      <c r="X36" s="55">
        <v>274490.06408602401</v>
      </c>
      <c r="Y36" s="40"/>
      <c r="Z36" s="40">
        <f t="shared" si="9"/>
        <v>-2315761.7421670556</v>
      </c>
      <c r="AA36" s="40"/>
      <c r="AB36" s="40">
        <f t="shared" si="10"/>
        <v>-47529226.275448993</v>
      </c>
      <c r="AC36" s="17"/>
      <c r="AD36" s="40"/>
      <c r="AE36" s="40"/>
      <c r="AF36" s="40">
        <f>BA36/100*AF25</f>
        <v>6061638309.9781151</v>
      </c>
      <c r="AG36" s="44">
        <f t="shared" si="17"/>
        <v>1.9243782108728268E-3</v>
      </c>
      <c r="AH36" s="44">
        <f t="shared" si="12"/>
        <v>-7.8409868495800429E-3</v>
      </c>
      <c r="AI36" s="39"/>
      <c r="AJ36" s="39"/>
      <c r="AU36" s="39">
        <v>11596552</v>
      </c>
      <c r="AW36" s="39">
        <f t="shared" si="13"/>
        <v>-7.729079312416968E-4</v>
      </c>
      <c r="AX36" s="56">
        <v>6836.1416269343999</v>
      </c>
      <c r="AY36" s="44">
        <f t="shared" si="14"/>
        <v>2.6993725085357337E-3</v>
      </c>
      <c r="AZ36" s="39">
        <f t="shared" si="18"/>
        <v>101.70924055838428</v>
      </c>
      <c r="BA36" s="39">
        <f t="shared" si="19"/>
        <v>105.47437650531447</v>
      </c>
      <c r="BC36" s="44">
        <f t="shared" si="6"/>
        <v>1.5142810302687439E-2</v>
      </c>
    </row>
    <row r="37" spans="1:55">
      <c r="A37" s="39">
        <f t="shared" si="15"/>
        <v>2020</v>
      </c>
      <c r="B37" s="39">
        <f t="shared" si="16"/>
        <v>4</v>
      </c>
      <c r="C37" s="40"/>
      <c r="D37" s="55">
        <v>110155319.49207801</v>
      </c>
      <c r="E37" s="40"/>
      <c r="F37" s="55">
        <v>20022033.250988401</v>
      </c>
      <c r="G37" s="57">
        <v>514289</v>
      </c>
      <c r="H37" s="57">
        <v>2829466.3382134102</v>
      </c>
      <c r="I37" s="57">
        <v>15906</v>
      </c>
      <c r="J37" s="57">
        <v>87510.118971283795</v>
      </c>
      <c r="K37" s="40"/>
      <c r="L37" s="55">
        <v>2535957.9628729098</v>
      </c>
      <c r="M37" s="43"/>
      <c r="N37" s="55">
        <v>859634.84040904802</v>
      </c>
      <c r="O37" s="40"/>
      <c r="P37" s="55">
        <v>17888555.183432501</v>
      </c>
      <c r="Q37" s="43"/>
      <c r="R37" s="55">
        <v>24118995.051399399</v>
      </c>
      <c r="S37" s="43"/>
      <c r="T37" s="55">
        <v>92221068.013329193</v>
      </c>
      <c r="U37" s="40"/>
      <c r="V37" s="55">
        <v>110551.151814816</v>
      </c>
      <c r="W37" s="43"/>
      <c r="X37" s="55">
        <v>277672.620577341</v>
      </c>
      <c r="Y37" s="40"/>
      <c r="Z37" s="40">
        <f t="shared" si="9"/>
        <v>811920.14894385263</v>
      </c>
      <c r="AA37" s="40"/>
      <c r="AB37" s="40">
        <f t="shared" si="10"/>
        <v>-35822806.662181318</v>
      </c>
      <c r="AC37" s="17"/>
      <c r="AD37" s="40"/>
      <c r="AE37" s="40"/>
      <c r="AF37" s="40">
        <f>BA37/100*AF25</f>
        <v>6135854657.9481859</v>
      </c>
      <c r="AG37" s="44">
        <f t="shared" si="17"/>
        <v>1.2243612069018152E-2</v>
      </c>
      <c r="AH37" s="44">
        <f t="shared" si="12"/>
        <v>-5.8382749688794576E-3</v>
      </c>
      <c r="AI37" s="39"/>
      <c r="AJ37" s="39"/>
      <c r="AU37" s="39">
        <v>11648999</v>
      </c>
      <c r="AW37" s="39">
        <f t="shared" si="13"/>
        <v>4.5226374184326517E-3</v>
      </c>
      <c r="AX37" s="56">
        <v>6888.6856655088004</v>
      </c>
      <c r="AY37" s="44">
        <f t="shared" si="14"/>
        <v>7.6862126974340242E-3</v>
      </c>
      <c r="AZ37" s="39">
        <f t="shared" si="18"/>
        <v>102.4909994146105</v>
      </c>
      <c r="BA37" s="39">
        <f t="shared" si="19"/>
        <v>106.7657638544671</v>
      </c>
      <c r="BC37" s="44">
        <f t="shared" si="6"/>
        <v>1.3250872920004554E-2</v>
      </c>
    </row>
    <row r="38" spans="1:55" s="29" customFormat="1">
      <c r="A38" s="29">
        <f t="shared" si="15"/>
        <v>2021</v>
      </c>
      <c r="B38" s="29">
        <f t="shared" si="16"/>
        <v>1</v>
      </c>
      <c r="C38" s="30"/>
      <c r="D38" s="52">
        <v>110817426.43623</v>
      </c>
      <c r="E38" s="30"/>
      <c r="F38" s="52">
        <v>20142379.025596801</v>
      </c>
      <c r="G38" s="59">
        <v>557756</v>
      </c>
      <c r="H38" s="59">
        <v>3068608.94737504</v>
      </c>
      <c r="I38" s="59">
        <v>17250</v>
      </c>
      <c r="J38" s="59">
        <v>94904.410427174997</v>
      </c>
      <c r="K38" s="30"/>
      <c r="L38" s="52">
        <v>3039117.1209084</v>
      </c>
      <c r="M38" s="33"/>
      <c r="N38" s="52">
        <v>867212.05358388601</v>
      </c>
      <c r="O38" s="30"/>
      <c r="P38" s="52">
        <v>20541138.0376454</v>
      </c>
      <c r="Q38" s="33"/>
      <c r="R38" s="52">
        <v>21334769.8230744</v>
      </c>
      <c r="S38" s="33"/>
      <c r="T38" s="52">
        <v>81575341.539294705</v>
      </c>
      <c r="U38" s="30"/>
      <c r="V38" s="52">
        <v>114348.926082315</v>
      </c>
      <c r="W38" s="33"/>
      <c r="X38" s="52">
        <v>287211.53460859403</v>
      </c>
      <c r="Y38" s="30"/>
      <c r="Z38" s="30">
        <f t="shared" si="9"/>
        <v>-2599589.4509323724</v>
      </c>
      <c r="AA38" s="30"/>
      <c r="AB38" s="30">
        <f t="shared" si="10"/>
        <v>-49783222.934580699</v>
      </c>
      <c r="AC38" s="17"/>
      <c r="AD38" s="30"/>
      <c r="AE38" s="30"/>
      <c r="AF38" s="30">
        <f>BA38/100*AF25</f>
        <v>6196988741.3245687</v>
      </c>
      <c r="AG38" s="34">
        <f t="shared" si="17"/>
        <v>9.9634177770478536E-3</v>
      </c>
      <c r="AH38" s="34">
        <f t="shared" si="12"/>
        <v>-8.0334538293738832E-3</v>
      </c>
      <c r="AU38" s="29">
        <v>11728657</v>
      </c>
      <c r="AW38" s="29">
        <f t="shared" si="13"/>
        <v>6.8381841220863694E-3</v>
      </c>
      <c r="AX38" s="53">
        <v>6910.0682000807001</v>
      </c>
      <c r="AY38" s="34">
        <f t="shared" si="14"/>
        <v>3.1040078775782473E-3</v>
      </c>
      <c r="AZ38" s="29">
        <f t="shared" si="18"/>
        <v>102.80913228417431</v>
      </c>
      <c r="BA38" s="29">
        <f t="shared" si="19"/>
        <v>107.82951576403478</v>
      </c>
      <c r="BC38" s="34">
        <f t="shared" si="6"/>
        <v>1.5179587477392989E-2</v>
      </c>
    </row>
    <row r="39" spans="1:55" s="39" customFormat="1">
      <c r="A39" s="39">
        <f t="shared" si="15"/>
        <v>2021</v>
      </c>
      <c r="B39" s="39">
        <f t="shared" si="16"/>
        <v>2</v>
      </c>
      <c r="C39" s="40"/>
      <c r="D39" s="55">
        <v>111642578.375815</v>
      </c>
      <c r="E39" s="40"/>
      <c r="F39" s="55">
        <v>20292360.158125602</v>
      </c>
      <c r="G39" s="57">
        <v>584130</v>
      </c>
      <c r="H39" s="57">
        <v>3213710.9137869999</v>
      </c>
      <c r="I39" s="57">
        <v>18065</v>
      </c>
      <c r="J39" s="57">
        <v>99388.299963299505</v>
      </c>
      <c r="K39" s="40"/>
      <c r="L39" s="55">
        <v>2533776.8890347602</v>
      </c>
      <c r="M39" s="43"/>
      <c r="N39" s="55">
        <v>875351.77177973802</v>
      </c>
      <c r="O39" s="40"/>
      <c r="P39" s="55">
        <v>17963707.500075102</v>
      </c>
      <c r="Q39" s="43"/>
      <c r="R39" s="55">
        <v>24594054.720791999</v>
      </c>
      <c r="S39" s="43"/>
      <c r="T39" s="55">
        <v>94037499.833480895</v>
      </c>
      <c r="U39" s="40"/>
      <c r="V39" s="55">
        <v>111725.72755271199</v>
      </c>
      <c r="W39" s="43"/>
      <c r="X39" s="55">
        <v>280622.81619135401</v>
      </c>
      <c r="Y39" s="40"/>
      <c r="Z39" s="40">
        <f t="shared" si="9"/>
        <v>1004291.6294046119</v>
      </c>
      <c r="AA39" s="40"/>
      <c r="AB39" s="40">
        <f t="shared" si="10"/>
        <v>-35568786.042409211</v>
      </c>
      <c r="AC39" s="17"/>
      <c r="AD39" s="40"/>
      <c r="AE39" s="40"/>
      <c r="AF39" s="40">
        <f>BA39/100*AF25</f>
        <v>6233118019.5012407</v>
      </c>
      <c r="AG39" s="44">
        <f t="shared" si="17"/>
        <v>5.8301345515999062E-3</v>
      </c>
      <c r="AH39" s="44">
        <f t="shared" si="12"/>
        <v>-5.7064194727465371E-3</v>
      </c>
      <c r="AU39" s="39">
        <v>11698254</v>
      </c>
      <c r="AW39" s="39">
        <f t="shared" si="13"/>
        <v>-2.5921978961444604E-3</v>
      </c>
      <c r="AX39" s="56">
        <v>6968.4183468259998</v>
      </c>
      <c r="AY39" s="44">
        <f t="shared" si="14"/>
        <v>8.4442215410577715E-3</v>
      </c>
      <c r="AZ39" s="39">
        <f t="shared" si="18"/>
        <v>103.6772753736258</v>
      </c>
      <c r="BA39" s="39">
        <f t="shared" si="19"/>
        <v>108.45817634957298</v>
      </c>
      <c r="BC39" s="44">
        <f t="shared" ref="BC39:BC70" si="20">T46/AF46</f>
        <v>1.3237849275879834E-2</v>
      </c>
    </row>
    <row r="40" spans="1:55" s="39" customFormat="1">
      <c r="A40" s="39">
        <f t="shared" si="15"/>
        <v>2021</v>
      </c>
      <c r="B40" s="39">
        <f t="shared" si="16"/>
        <v>3</v>
      </c>
      <c r="C40" s="40"/>
      <c r="D40" s="55">
        <v>112294049.63555001</v>
      </c>
      <c r="E40" s="40"/>
      <c r="F40" s="55">
        <v>20410772.771194398</v>
      </c>
      <c r="G40" s="57">
        <v>634442</v>
      </c>
      <c r="H40" s="57">
        <v>3490512.6933471202</v>
      </c>
      <c r="I40" s="57">
        <v>19622</v>
      </c>
      <c r="J40" s="57">
        <v>107954.454574031</v>
      </c>
      <c r="K40" s="40"/>
      <c r="L40" s="55">
        <v>2495397.26668269</v>
      </c>
      <c r="M40" s="43"/>
      <c r="N40" s="55">
        <v>883426.67146847001</v>
      </c>
      <c r="O40" s="40"/>
      <c r="P40" s="55">
        <v>17808981.172848001</v>
      </c>
      <c r="Q40" s="43"/>
      <c r="R40" s="55">
        <v>21705998.455518398</v>
      </c>
      <c r="S40" s="43"/>
      <c r="T40" s="55">
        <v>82994766.390460894</v>
      </c>
      <c r="U40" s="40"/>
      <c r="V40" s="55">
        <v>119306.79419596</v>
      </c>
      <c r="W40" s="43"/>
      <c r="X40" s="55">
        <v>299664.26991703</v>
      </c>
      <c r="Y40" s="40"/>
      <c r="Z40" s="40">
        <f t="shared" si="9"/>
        <v>-1964291.4596311972</v>
      </c>
      <c r="AA40" s="40"/>
      <c r="AB40" s="40">
        <f t="shared" si="10"/>
        <v>-47108264.417937115</v>
      </c>
      <c r="AC40" s="17"/>
      <c r="AD40" s="40"/>
      <c r="AE40" s="40"/>
      <c r="AF40" s="40">
        <f>BA40/100*AF25</f>
        <v>6308539485.1557503</v>
      </c>
      <c r="AG40" s="44">
        <f t="shared" si="17"/>
        <v>1.2100118338613552E-2</v>
      </c>
      <c r="AH40" s="44">
        <f t="shared" si="12"/>
        <v>-7.4673804497514479E-3</v>
      </c>
      <c r="AU40" s="39">
        <v>11801060</v>
      </c>
      <c r="AW40" s="39">
        <f t="shared" si="13"/>
        <v>8.7881490690833002E-3</v>
      </c>
      <c r="AX40" s="56">
        <v>6991.2964778223004</v>
      </c>
      <c r="AY40" s="44">
        <f t="shared" si="14"/>
        <v>3.2831167501189396E-3</v>
      </c>
      <c r="AZ40" s="39">
        <f t="shared" si="18"/>
        <v>104.01765997301163</v>
      </c>
      <c r="BA40" s="39">
        <f t="shared" si="19"/>
        <v>109.77053311819301</v>
      </c>
      <c r="BC40" s="44">
        <f t="shared" si="20"/>
        <v>1.5058563736534959E-2</v>
      </c>
    </row>
    <row r="41" spans="1:55" s="39" customFormat="1">
      <c r="A41" s="39">
        <f t="shared" si="15"/>
        <v>2021</v>
      </c>
      <c r="B41" s="39">
        <f t="shared" si="16"/>
        <v>4</v>
      </c>
      <c r="C41" s="40"/>
      <c r="D41" s="55">
        <v>113284294.901669</v>
      </c>
      <c r="E41" s="40"/>
      <c r="F41" s="55">
        <v>20590761.570067599</v>
      </c>
      <c r="G41" s="57">
        <v>668540</v>
      </c>
      <c r="H41" s="57">
        <v>3678109.8288106401</v>
      </c>
      <c r="I41" s="57">
        <v>20677</v>
      </c>
      <c r="J41" s="57">
        <v>113758.753298707</v>
      </c>
      <c r="K41" s="40"/>
      <c r="L41" s="55">
        <v>2494564.32019111</v>
      </c>
      <c r="M41" s="43"/>
      <c r="N41" s="55">
        <v>894297.87411606696</v>
      </c>
      <c r="O41" s="40"/>
      <c r="P41" s="55">
        <v>17864469.158987299</v>
      </c>
      <c r="Q41" s="43"/>
      <c r="R41" s="55">
        <v>25012724.848040398</v>
      </c>
      <c r="S41" s="43"/>
      <c r="T41" s="55">
        <v>95638321.351866603</v>
      </c>
      <c r="U41" s="40"/>
      <c r="V41" s="55">
        <v>116118.232788644</v>
      </c>
      <c r="W41" s="43"/>
      <c r="X41" s="55">
        <v>291655.52294961503</v>
      </c>
      <c r="Y41" s="40"/>
      <c r="Z41" s="40">
        <f t="shared" si="9"/>
        <v>1149219.3164542653</v>
      </c>
      <c r="AA41" s="40"/>
      <c r="AB41" s="40">
        <f t="shared" si="10"/>
        <v>-35510442.708789691</v>
      </c>
      <c r="AC41" s="17"/>
      <c r="AD41" s="40"/>
      <c r="AE41" s="40"/>
      <c r="AF41" s="40">
        <f>BA41/100*AF25</f>
        <v>6340873176.4492321</v>
      </c>
      <c r="AG41" s="44">
        <f t="shared" si="17"/>
        <v>5.1253846265945256E-3</v>
      </c>
      <c r="AH41" s="44">
        <f t="shared" si="12"/>
        <v>-5.6002449064396619E-3</v>
      </c>
      <c r="AU41" s="39">
        <v>11827846</v>
      </c>
      <c r="AW41" s="39">
        <f t="shared" si="13"/>
        <v>2.2697961030619285E-3</v>
      </c>
      <c r="AX41" s="56">
        <v>7011.2155316182998</v>
      </c>
      <c r="AY41" s="44">
        <f t="shared" si="14"/>
        <v>2.8491215984311853E-3</v>
      </c>
      <c r="AZ41" s="39">
        <f t="shared" si="18"/>
        <v>104.31401893465902</v>
      </c>
      <c r="BA41" s="39">
        <f t="shared" si="19"/>
        <v>110.33314932109008</v>
      </c>
      <c r="BC41" s="44">
        <f t="shared" si="20"/>
        <v>1.3238230406050978E-2</v>
      </c>
    </row>
    <row r="42" spans="1:55" s="29" customFormat="1">
      <c r="A42" s="29">
        <f t="shared" si="15"/>
        <v>2022</v>
      </c>
      <c r="B42" s="29">
        <f t="shared" si="16"/>
        <v>1</v>
      </c>
      <c r="C42" s="30"/>
      <c r="D42" s="52">
        <v>113790340.12453</v>
      </c>
      <c r="E42" s="30"/>
      <c r="F42" s="52">
        <v>20682741.2794936</v>
      </c>
      <c r="G42" s="59">
        <v>709259</v>
      </c>
      <c r="H42" s="59">
        <v>3902133.75276335</v>
      </c>
      <c r="I42" s="59">
        <v>21935</v>
      </c>
      <c r="J42" s="59">
        <v>120679.898128701</v>
      </c>
      <c r="K42" s="30"/>
      <c r="L42" s="52">
        <v>3064773.3443883602</v>
      </c>
      <c r="M42" s="33"/>
      <c r="N42" s="52">
        <v>900140.47224155394</v>
      </c>
      <c r="O42" s="30"/>
      <c r="P42" s="52">
        <v>20855430.7472477</v>
      </c>
      <c r="Q42" s="33"/>
      <c r="R42" s="52">
        <v>22090389.712012298</v>
      </c>
      <c r="S42" s="33"/>
      <c r="T42" s="52">
        <v>84464519.675509006</v>
      </c>
      <c r="U42" s="30"/>
      <c r="V42" s="52">
        <v>114009.37159387099</v>
      </c>
      <c r="W42" s="33"/>
      <c r="X42" s="52">
        <v>286358.67162989802</v>
      </c>
      <c r="Y42" s="30"/>
      <c r="Z42" s="30">
        <f t="shared" si="9"/>
        <v>-2443256.0125173479</v>
      </c>
      <c r="AA42" s="30"/>
      <c r="AB42" s="30">
        <f t="shared" si="10"/>
        <v>-50181251.196268693</v>
      </c>
      <c r="AC42" s="17"/>
      <c r="AD42" s="30"/>
      <c r="AE42" s="30"/>
      <c r="AF42" s="30">
        <f>BA42/100*AF25</f>
        <v>6389773272.6593256</v>
      </c>
      <c r="AG42" s="34">
        <f t="shared" si="17"/>
        <v>7.7118868094877462E-3</v>
      </c>
      <c r="AH42" s="34">
        <f t="shared" si="12"/>
        <v>-7.853369604049195E-3</v>
      </c>
      <c r="AU42" s="29">
        <v>11875194</v>
      </c>
      <c r="AW42" s="29">
        <f t="shared" si="13"/>
        <v>4.0030957454129856E-3</v>
      </c>
      <c r="AX42" s="53">
        <v>7037.1149871301004</v>
      </c>
      <c r="AY42" s="34">
        <f t="shared" si="14"/>
        <v>3.6940036139243631E-3</v>
      </c>
      <c r="AZ42" s="29">
        <f t="shared" si="18"/>
        <v>104.69935529758662</v>
      </c>
      <c r="BA42" s="29">
        <f t="shared" si="19"/>
        <v>111.18402607998864</v>
      </c>
      <c r="BC42" s="34">
        <f t="shared" si="20"/>
        <v>1.5205223002966459E-2</v>
      </c>
    </row>
    <row r="43" spans="1:55" s="39" customFormat="1">
      <c r="A43" s="39">
        <f t="shared" si="15"/>
        <v>2022</v>
      </c>
      <c r="B43" s="39">
        <f t="shared" si="16"/>
        <v>2</v>
      </c>
      <c r="C43" s="40"/>
      <c r="D43" s="55">
        <v>114406283.04915</v>
      </c>
      <c r="E43" s="40"/>
      <c r="F43" s="55">
        <v>20794696.1970983</v>
      </c>
      <c r="G43" s="57">
        <v>754152</v>
      </c>
      <c r="H43" s="57">
        <v>4149121.79318695</v>
      </c>
      <c r="I43" s="57">
        <v>23325</v>
      </c>
      <c r="J43" s="57">
        <v>128327.268012398</v>
      </c>
      <c r="K43" s="40"/>
      <c r="L43" s="55">
        <v>2498452.0807717</v>
      </c>
      <c r="M43" s="43"/>
      <c r="N43" s="55">
        <v>907143.17662872397</v>
      </c>
      <c r="O43" s="40"/>
      <c r="P43" s="55">
        <v>17955313.831569299</v>
      </c>
      <c r="Q43" s="43"/>
      <c r="R43" s="55">
        <v>25371980.508613501</v>
      </c>
      <c r="S43" s="43"/>
      <c r="T43" s="55">
        <v>97011966.507366896</v>
      </c>
      <c r="U43" s="40"/>
      <c r="V43" s="55">
        <v>115328.914046046</v>
      </c>
      <c r="W43" s="43"/>
      <c r="X43" s="55">
        <v>289672.98183511599</v>
      </c>
      <c r="Y43" s="40"/>
      <c r="Z43" s="40">
        <f t="shared" si="9"/>
        <v>1287017.968160823</v>
      </c>
      <c r="AA43" s="40"/>
      <c r="AB43" s="40">
        <f t="shared" si="10"/>
        <v>-35349630.373352408</v>
      </c>
      <c r="AC43" s="17"/>
      <c r="AD43" s="40"/>
      <c r="AE43" s="40"/>
      <c r="AF43" s="40">
        <f>BA43/100*AF25</f>
        <v>6406470435.0255184</v>
      </c>
      <c r="AG43" s="44">
        <f t="shared" si="17"/>
        <v>2.6131071719926167E-3</v>
      </c>
      <c r="AH43" s="44">
        <f t="shared" si="12"/>
        <v>-5.5178012186068263E-3</v>
      </c>
      <c r="AU43" s="39">
        <v>11849383</v>
      </c>
      <c r="AW43" s="39">
        <f t="shared" si="13"/>
        <v>-2.1735223862448059E-3</v>
      </c>
      <c r="AX43" s="56">
        <v>7070.8724222731998</v>
      </c>
      <c r="AY43" s="44">
        <f t="shared" si="14"/>
        <v>4.7970560669872613E-3</v>
      </c>
      <c r="AZ43" s="39">
        <f t="shared" si="18"/>
        <v>105.20160397512656</v>
      </c>
      <c r="BA43" s="39">
        <f t="shared" si="19"/>
        <v>111.47456185594929</v>
      </c>
      <c r="BC43" s="44">
        <f t="shared" si="20"/>
        <v>1.3287155082075484E-2</v>
      </c>
    </row>
    <row r="44" spans="1:55" s="39" customFormat="1">
      <c r="A44" s="39">
        <f t="shared" si="15"/>
        <v>2022</v>
      </c>
      <c r="B44" s="39">
        <f t="shared" si="16"/>
        <v>3</v>
      </c>
      <c r="C44" s="40"/>
      <c r="D44" s="55">
        <v>115119803.20623299</v>
      </c>
      <c r="E44" s="40"/>
      <c r="F44" s="55">
        <v>20924386.9317469</v>
      </c>
      <c r="G44" s="57">
        <v>793275</v>
      </c>
      <c r="H44" s="57">
        <v>4364364.9960357798</v>
      </c>
      <c r="I44" s="57">
        <v>24534</v>
      </c>
      <c r="J44" s="57">
        <v>134978.82929972801</v>
      </c>
      <c r="K44" s="40"/>
      <c r="L44" s="55">
        <v>2467628.91136117</v>
      </c>
      <c r="M44" s="43"/>
      <c r="N44" s="55">
        <v>915716.66755982896</v>
      </c>
      <c r="O44" s="40"/>
      <c r="P44" s="55">
        <v>17842541.076485001</v>
      </c>
      <c r="Q44" s="43"/>
      <c r="R44" s="55">
        <v>22431635.759254798</v>
      </c>
      <c r="S44" s="43"/>
      <c r="T44" s="55">
        <v>85769303.513515994</v>
      </c>
      <c r="U44" s="40"/>
      <c r="V44" s="55">
        <v>117152.703762619</v>
      </c>
      <c r="W44" s="43"/>
      <c r="X44" s="55">
        <v>294253.81578998198</v>
      </c>
      <c r="Y44" s="40"/>
      <c r="Z44" s="40">
        <f t="shared" si="9"/>
        <v>-1758944.0476504788</v>
      </c>
      <c r="AA44" s="40"/>
      <c r="AB44" s="40">
        <f t="shared" si="10"/>
        <v>-47193040.769201994</v>
      </c>
      <c r="AC44" s="17"/>
      <c r="AD44" s="40"/>
      <c r="AE44" s="40"/>
      <c r="AF44" s="40">
        <f>BA44/100*AF25</f>
        <v>6472728553.9077168</v>
      </c>
      <c r="AG44" s="44">
        <f t="shared" si="17"/>
        <v>1.0342374877740992E-2</v>
      </c>
      <c r="AH44" s="44">
        <f t="shared" si="12"/>
        <v>-7.2910582262422554E-3</v>
      </c>
      <c r="AU44" s="39">
        <v>11929863</v>
      </c>
      <c r="AW44" s="39">
        <f t="shared" si="13"/>
        <v>6.7919148195311101E-3</v>
      </c>
      <c r="AX44" s="56">
        <v>7095.8079126584998</v>
      </c>
      <c r="AY44" s="44">
        <f t="shared" si="14"/>
        <v>3.5265083141301453E-3</v>
      </c>
      <c r="AZ44" s="39">
        <f t="shared" si="18"/>
        <v>105.57259830620465</v>
      </c>
      <c r="BA44" s="39">
        <f t="shared" si="19"/>
        <v>112.62747356399544</v>
      </c>
      <c r="BC44" s="44">
        <f t="shared" si="20"/>
        <v>1.5190580615361307E-2</v>
      </c>
    </row>
    <row r="45" spans="1:55" s="39" customFormat="1">
      <c r="A45" s="39">
        <f t="shared" si="15"/>
        <v>2022</v>
      </c>
      <c r="B45" s="39">
        <f t="shared" si="16"/>
        <v>4</v>
      </c>
      <c r="C45" s="40"/>
      <c r="D45" s="55">
        <v>115821264.106819</v>
      </c>
      <c r="E45" s="40"/>
      <c r="F45" s="55">
        <v>21051885.7537788</v>
      </c>
      <c r="G45" s="57">
        <v>848064</v>
      </c>
      <c r="H45" s="57">
        <v>4665797.9086673502</v>
      </c>
      <c r="I45" s="57">
        <v>26229</v>
      </c>
      <c r="J45" s="57">
        <v>144304.21919387701</v>
      </c>
      <c r="K45" s="40"/>
      <c r="L45" s="55">
        <v>2433031.9197000498</v>
      </c>
      <c r="M45" s="43"/>
      <c r="N45" s="55">
        <v>924145.07095939305</v>
      </c>
      <c r="O45" s="40"/>
      <c r="P45" s="55">
        <v>17709387.7110116</v>
      </c>
      <c r="Q45" s="43"/>
      <c r="R45" s="55">
        <v>25886264.312757399</v>
      </c>
      <c r="S45" s="43"/>
      <c r="T45" s="55">
        <v>98978375.206362605</v>
      </c>
      <c r="U45" s="40"/>
      <c r="V45" s="55">
        <v>115993.00992049401</v>
      </c>
      <c r="W45" s="43"/>
      <c r="X45" s="55">
        <v>291340.99920757598</v>
      </c>
      <c r="Y45" s="40"/>
      <c r="Z45" s="40">
        <f t="shared" si="9"/>
        <v>1593194.5782396495</v>
      </c>
      <c r="AA45" s="40"/>
      <c r="AB45" s="40">
        <f t="shared" si="10"/>
        <v>-34552276.611468002</v>
      </c>
      <c r="AC45" s="17"/>
      <c r="AD45" s="40"/>
      <c r="AE45" s="40"/>
      <c r="AF45" s="40">
        <f>BA45/100*AF25</f>
        <v>6520491769.2112141</v>
      </c>
      <c r="AG45" s="44">
        <f t="shared" si="17"/>
        <v>7.3791469711272997E-3</v>
      </c>
      <c r="AH45" s="44">
        <f t="shared" si="12"/>
        <v>-5.2990292503118678E-3</v>
      </c>
      <c r="AU45" s="39">
        <v>11928384</v>
      </c>
      <c r="AW45" s="39">
        <f t="shared" si="13"/>
        <v>-1.2397460054654441E-4</v>
      </c>
      <c r="AX45" s="56">
        <v>7149.0552233905</v>
      </c>
      <c r="AY45" s="44">
        <f t="shared" si="14"/>
        <v>7.5040518835085921E-3</v>
      </c>
      <c r="AZ45" s="39">
        <f t="shared" si="18"/>
        <v>106.36482056137122</v>
      </c>
      <c r="BA45" s="39">
        <f t="shared" si="19"/>
        <v>113.45856824441091</v>
      </c>
      <c r="BC45" s="44">
        <f t="shared" si="20"/>
        <v>1.3315877141720719E-2</v>
      </c>
    </row>
    <row r="46" spans="1:55" s="29" customFormat="1">
      <c r="A46" s="29">
        <f t="shared" si="15"/>
        <v>2023</v>
      </c>
      <c r="B46" s="29">
        <f t="shared" si="16"/>
        <v>1</v>
      </c>
      <c r="C46" s="30"/>
      <c r="D46" s="52">
        <v>116367998.51014</v>
      </c>
      <c r="E46" s="30"/>
      <c r="F46" s="52">
        <v>21151261.203400701</v>
      </c>
      <c r="G46" s="59">
        <v>881904</v>
      </c>
      <c r="H46" s="59">
        <v>4851975.6042531803</v>
      </c>
      <c r="I46" s="59">
        <v>27276</v>
      </c>
      <c r="J46" s="59">
        <v>150064.504278935</v>
      </c>
      <c r="K46" s="30"/>
      <c r="L46" s="52">
        <v>3002504.7533385302</v>
      </c>
      <c r="M46" s="33"/>
      <c r="N46" s="52">
        <v>929955.70789671305</v>
      </c>
      <c r="O46" s="30"/>
      <c r="P46" s="52">
        <v>20696353.361935701</v>
      </c>
      <c r="Q46" s="33"/>
      <c r="R46" s="52">
        <v>22761260.946325298</v>
      </c>
      <c r="S46" s="33"/>
      <c r="T46" s="52">
        <v>87029653.9854552</v>
      </c>
      <c r="U46" s="30"/>
      <c r="V46" s="52">
        <v>120594.711362695</v>
      </c>
      <c r="W46" s="33"/>
      <c r="X46" s="52">
        <v>302899.14652304701</v>
      </c>
      <c r="Y46" s="30"/>
      <c r="Z46" s="30">
        <f t="shared" ref="Z46:Z77" si="21">R46+V46-N46-L46-F46</f>
        <v>-2201866.0069479533</v>
      </c>
      <c r="AA46" s="30"/>
      <c r="AB46" s="30">
        <f t="shared" ref="AB46:AB77" si="22">T46-P46-D46</f>
        <v>-50034697.886620507</v>
      </c>
      <c r="AC46" s="17"/>
      <c r="AD46" s="30"/>
      <c r="AE46" s="30"/>
      <c r="AF46" s="30">
        <f>BA46/100*AF25</f>
        <v>6574304645.092804</v>
      </c>
      <c r="AG46" s="34">
        <f t="shared" si="17"/>
        <v>8.2528860991261787E-3</v>
      </c>
      <c r="AH46" s="34">
        <f t="shared" ref="AH46:AH77" si="23">AB46/AF46</f>
        <v>-7.610644864771734E-3</v>
      </c>
      <c r="AU46" s="29">
        <v>11987166</v>
      </c>
      <c r="AW46" s="29">
        <f t="shared" si="13"/>
        <v>4.9279097654803868E-3</v>
      </c>
      <c r="AX46" s="53">
        <v>7172.7090986533003</v>
      </c>
      <c r="AY46" s="34">
        <f t="shared" si="14"/>
        <v>3.3086714990547008E-3</v>
      </c>
      <c r="AZ46" s="29">
        <f t="shared" si="18"/>
        <v>106.71674681166469</v>
      </c>
      <c r="BA46" s="29">
        <f t="shared" si="19"/>
        <v>114.39492888510196</v>
      </c>
      <c r="BC46" s="34">
        <f t="shared" si="20"/>
        <v>1.5242565759733958E-2</v>
      </c>
    </row>
    <row r="47" spans="1:55" s="39" customFormat="1">
      <c r="A47" s="39">
        <f t="shared" si="15"/>
        <v>2023</v>
      </c>
      <c r="B47" s="39">
        <f t="shared" si="16"/>
        <v>2</v>
      </c>
      <c r="C47" s="40"/>
      <c r="D47" s="55">
        <v>117286695.313573</v>
      </c>
      <c r="E47" s="40"/>
      <c r="F47" s="55">
        <v>21318245.222245399</v>
      </c>
      <c r="G47" s="57">
        <v>917394</v>
      </c>
      <c r="H47" s="57">
        <v>5047231.1130103096</v>
      </c>
      <c r="I47" s="57">
        <v>28373</v>
      </c>
      <c r="J47" s="57">
        <v>156099.87461160799</v>
      </c>
      <c r="K47" s="40"/>
      <c r="L47" s="55">
        <v>2453272.7699205298</v>
      </c>
      <c r="M47" s="43"/>
      <c r="N47" s="55">
        <v>939534.34313950303</v>
      </c>
      <c r="O47" s="40"/>
      <c r="P47" s="55">
        <v>17899084.813992299</v>
      </c>
      <c r="Q47" s="43"/>
      <c r="R47" s="55">
        <v>25980583.010985602</v>
      </c>
      <c r="S47" s="43"/>
      <c r="T47" s="55">
        <v>99339010.923799902</v>
      </c>
      <c r="U47" s="40"/>
      <c r="V47" s="55">
        <v>122635.845368763</v>
      </c>
      <c r="W47" s="43"/>
      <c r="X47" s="55">
        <v>308025.88667102699</v>
      </c>
      <c r="Y47" s="40"/>
      <c r="Z47" s="40">
        <f t="shared" si="21"/>
        <v>1392166.5210489295</v>
      </c>
      <c r="AA47" s="40"/>
      <c r="AB47" s="40">
        <f t="shared" si="22"/>
        <v>-35846769.203765392</v>
      </c>
      <c r="AC47" s="17"/>
      <c r="AD47" s="40"/>
      <c r="AE47" s="40"/>
      <c r="AF47" s="40">
        <f>BA47/100*AF25</f>
        <v>6596845002.0757589</v>
      </c>
      <c r="AG47" s="44">
        <f t="shared" si="17"/>
        <v>3.428553771048557E-3</v>
      </c>
      <c r="AH47" s="44">
        <f t="shared" si="23"/>
        <v>-5.4339262469386305E-3</v>
      </c>
      <c r="AU47" s="39">
        <v>12019530</v>
      </c>
      <c r="AW47" s="39">
        <f t="shared" ref="AW47:AW78" si="24">(AU47-AU46)/AU46</f>
        <v>2.699887529713028E-3</v>
      </c>
      <c r="AX47" s="56">
        <v>7177.9215366361004</v>
      </c>
      <c r="AY47" s="44">
        <f t="shared" ref="AY47:AY78" si="25">(AX47-AX46)/AX46</f>
        <v>7.2670422166971243E-4</v>
      </c>
      <c r="AZ47" s="39">
        <f t="shared" si="18"/>
        <v>106.79429832209559</v>
      </c>
      <c r="BA47" s="39">
        <f t="shared" si="19"/>
        <v>114.78713804991982</v>
      </c>
      <c r="BC47" s="44">
        <f t="shared" si="20"/>
        <v>1.3303347270768857E-2</v>
      </c>
    </row>
    <row r="48" spans="1:55" s="39" customFormat="1">
      <c r="A48" s="39">
        <f t="shared" si="15"/>
        <v>2023</v>
      </c>
      <c r="B48" s="39">
        <f t="shared" si="16"/>
        <v>3</v>
      </c>
      <c r="C48" s="40"/>
      <c r="D48" s="55">
        <v>118250280.14763799</v>
      </c>
      <c r="E48" s="40"/>
      <c r="F48" s="55">
        <v>21493388.172007199</v>
      </c>
      <c r="G48" s="57">
        <v>931071</v>
      </c>
      <c r="H48" s="57">
        <v>5122477.9316429105</v>
      </c>
      <c r="I48" s="57">
        <v>28796</v>
      </c>
      <c r="J48" s="57">
        <v>158427.095806431</v>
      </c>
      <c r="K48" s="40"/>
      <c r="L48" s="55">
        <v>2417766.846897</v>
      </c>
      <c r="M48" s="43"/>
      <c r="N48" s="55">
        <v>950068.49909874401</v>
      </c>
      <c r="O48" s="40"/>
      <c r="P48" s="55">
        <v>17772800.228644401</v>
      </c>
      <c r="Q48" s="43"/>
      <c r="R48" s="55">
        <v>22991441.9606613</v>
      </c>
      <c r="S48" s="43"/>
      <c r="T48" s="55">
        <v>87909771.043948799</v>
      </c>
      <c r="U48" s="40"/>
      <c r="V48" s="55">
        <v>120822.07943318201</v>
      </c>
      <c r="W48" s="43"/>
      <c r="X48" s="55">
        <v>303470.229564076</v>
      </c>
      <c r="Y48" s="40"/>
      <c r="Z48" s="40">
        <f t="shared" si="21"/>
        <v>-1748959.4779084623</v>
      </c>
      <c r="AA48" s="40"/>
      <c r="AB48" s="40">
        <f t="shared" si="22"/>
        <v>-48113309.332333595</v>
      </c>
      <c r="AC48" s="17"/>
      <c r="AD48" s="40"/>
      <c r="AE48" s="40"/>
      <c r="AF48" s="40">
        <f>BA48/100*AF25</f>
        <v>6640598353.9738579</v>
      </c>
      <c r="AG48" s="44">
        <f t="shared" si="17"/>
        <v>6.6324662599062953E-3</v>
      </c>
      <c r="AH48" s="44">
        <f t="shared" si="23"/>
        <v>-7.2453274189579154E-3</v>
      </c>
      <c r="AU48" s="39">
        <v>12040707</v>
      </c>
      <c r="AW48" s="39">
        <f t="shared" si="24"/>
        <v>1.7618825361723795E-3</v>
      </c>
      <c r="AX48" s="56">
        <v>7212.8207161876999</v>
      </c>
      <c r="AY48" s="44">
        <f t="shared" si="25"/>
        <v>4.8620174201506779E-3</v>
      </c>
      <c r="AZ48" s="39">
        <f t="shared" si="18"/>
        <v>107.31353406091037</v>
      </c>
      <c r="BA48" s="39">
        <f t="shared" si="19"/>
        <v>115.54845987010711</v>
      </c>
      <c r="BC48" s="44">
        <f t="shared" si="20"/>
        <v>1.5243168019187514E-2</v>
      </c>
    </row>
    <row r="49" spans="1:55" s="39" customFormat="1">
      <c r="A49" s="39">
        <f t="shared" si="15"/>
        <v>2023</v>
      </c>
      <c r="B49" s="39">
        <f t="shared" si="16"/>
        <v>4</v>
      </c>
      <c r="C49" s="40"/>
      <c r="D49" s="55">
        <v>118674965.671731</v>
      </c>
      <c r="E49" s="40"/>
      <c r="F49" s="55">
        <v>21570579.793109201</v>
      </c>
      <c r="G49" s="57">
        <v>966025</v>
      </c>
      <c r="H49" s="57">
        <v>5314784.5265456103</v>
      </c>
      <c r="I49" s="57">
        <v>29877</v>
      </c>
      <c r="J49" s="57">
        <v>164374.43885986699</v>
      </c>
      <c r="K49" s="40"/>
      <c r="L49" s="55">
        <v>2419504.9514346002</v>
      </c>
      <c r="M49" s="43"/>
      <c r="N49" s="55">
        <v>954912.84970064799</v>
      </c>
      <c r="O49" s="40"/>
      <c r="P49" s="55">
        <v>17808471.449049801</v>
      </c>
      <c r="Q49" s="43"/>
      <c r="R49" s="55">
        <v>26610862.796989702</v>
      </c>
      <c r="S49" s="43"/>
      <c r="T49" s="55">
        <v>101748940.313007</v>
      </c>
      <c r="U49" s="40"/>
      <c r="V49" s="55">
        <v>120647.251942406</v>
      </c>
      <c r="W49" s="43"/>
      <c r="X49" s="55">
        <v>303031.11331141199</v>
      </c>
      <c r="Y49" s="40"/>
      <c r="Z49" s="40">
        <f t="shared" si="21"/>
        <v>1786512.4546876587</v>
      </c>
      <c r="AA49" s="40"/>
      <c r="AB49" s="40">
        <f t="shared" si="22"/>
        <v>-34734496.807773799</v>
      </c>
      <c r="AC49" s="17"/>
      <c r="AD49" s="40"/>
      <c r="AE49" s="40"/>
      <c r="AF49" s="40">
        <f>BA49/100*AF25</f>
        <v>6691709835.0452547</v>
      </c>
      <c r="AG49" s="44">
        <f t="shared" si="17"/>
        <v>7.6968186218958363E-3</v>
      </c>
      <c r="AH49" s="44">
        <f t="shared" si="23"/>
        <v>-5.1906758756730962E-3</v>
      </c>
      <c r="AU49" s="39">
        <v>12059855</v>
      </c>
      <c r="AW49" s="39">
        <f t="shared" si="24"/>
        <v>1.5902720662499302E-3</v>
      </c>
      <c r="AX49" s="56">
        <v>7256.7962086913003</v>
      </c>
      <c r="AY49" s="44">
        <f t="shared" si="25"/>
        <v>6.0968509039613927E-3</v>
      </c>
      <c r="AZ49" s="39">
        <f t="shared" si="18"/>
        <v>107.96780867805693</v>
      </c>
      <c r="BA49" s="39">
        <f t="shared" si="19"/>
        <v>116.43781540776675</v>
      </c>
      <c r="BC49" s="44">
        <f t="shared" si="20"/>
        <v>1.3360979836872067E-2</v>
      </c>
    </row>
    <row r="50" spans="1:55" s="29" customFormat="1">
      <c r="A50" s="29">
        <f t="shared" ref="A50:A81" si="26">A46+1</f>
        <v>2024</v>
      </c>
      <c r="B50" s="29">
        <f t="shared" ref="B50:B81" si="27">B46</f>
        <v>1</v>
      </c>
      <c r="C50" s="30"/>
      <c r="D50" s="52">
        <v>119335996.347183</v>
      </c>
      <c r="E50" s="30"/>
      <c r="F50" s="52">
        <v>21690729.943141401</v>
      </c>
      <c r="G50" s="59">
        <v>1001274</v>
      </c>
      <c r="H50" s="59">
        <v>5508714.1244092304</v>
      </c>
      <c r="I50" s="59">
        <v>30967</v>
      </c>
      <c r="J50" s="59">
        <v>170371.29725787399</v>
      </c>
      <c r="K50" s="30"/>
      <c r="L50" s="52">
        <v>3008892.4051723201</v>
      </c>
      <c r="M50" s="33"/>
      <c r="N50" s="52">
        <v>962830.25422871497</v>
      </c>
      <c r="O50" s="30"/>
      <c r="P50" s="52">
        <v>20910364.9720263</v>
      </c>
      <c r="Q50" s="33"/>
      <c r="R50" s="52">
        <v>23502926.463147201</v>
      </c>
      <c r="S50" s="33"/>
      <c r="T50" s="52">
        <v>89865476.370434806</v>
      </c>
      <c r="U50" s="30"/>
      <c r="V50" s="52">
        <v>122707.438979411</v>
      </c>
      <c r="W50" s="33"/>
      <c r="X50" s="52">
        <v>308205.70917996299</v>
      </c>
      <c r="Y50" s="30"/>
      <c r="Z50" s="30">
        <f t="shared" si="21"/>
        <v>-2036818.7004158273</v>
      </c>
      <c r="AA50" s="30"/>
      <c r="AB50" s="30">
        <f t="shared" si="22"/>
        <v>-50380884.948774502</v>
      </c>
      <c r="AC50" s="17"/>
      <c r="AD50" s="30"/>
      <c r="AE50" s="30"/>
      <c r="AF50" s="30">
        <f>BA50/100*AF25</f>
        <v>6763334650.2942762</v>
      </c>
      <c r="AG50" s="34">
        <f t="shared" si="17"/>
        <v>1.0703514798850681E-2</v>
      </c>
      <c r="AH50" s="34">
        <f t="shared" si="23"/>
        <v>-7.4491190446390821E-3</v>
      </c>
      <c r="AU50" s="29">
        <v>12161978</v>
      </c>
      <c r="AW50" s="29">
        <f t="shared" si="24"/>
        <v>8.4680122605122529E-3</v>
      </c>
      <c r="AX50" s="53">
        <v>7272.8825754848003</v>
      </c>
      <c r="AY50" s="34">
        <f t="shared" si="25"/>
        <v>2.2167312310953065E-3</v>
      </c>
      <c r="AZ50" s="29">
        <f t="shared" si="18"/>
        <v>108.20714429150649</v>
      </c>
      <c r="BA50" s="29">
        <f t="shared" si="19"/>
        <v>117.68410928812962</v>
      </c>
      <c r="BC50" s="34">
        <f t="shared" si="20"/>
        <v>1.524260687830243E-2</v>
      </c>
    </row>
    <row r="51" spans="1:55" s="39" customFormat="1">
      <c r="A51" s="39">
        <f t="shared" si="26"/>
        <v>2024</v>
      </c>
      <c r="B51" s="39">
        <f t="shared" si="27"/>
        <v>2</v>
      </c>
      <c r="C51" s="40"/>
      <c r="D51" s="55">
        <v>119871625.262077</v>
      </c>
      <c r="E51" s="40"/>
      <c r="F51" s="55">
        <v>21788086.838783398</v>
      </c>
      <c r="G51" s="57">
        <v>1051853</v>
      </c>
      <c r="H51" s="57">
        <v>5786984.8591916095</v>
      </c>
      <c r="I51" s="57">
        <v>32531</v>
      </c>
      <c r="J51" s="57">
        <v>178975.96380327101</v>
      </c>
      <c r="K51" s="40"/>
      <c r="L51" s="55">
        <v>2436457.88062937</v>
      </c>
      <c r="M51" s="43"/>
      <c r="N51" s="55">
        <v>967659.75462392299</v>
      </c>
      <c r="O51" s="40"/>
      <c r="P51" s="55">
        <v>17966569.9891751</v>
      </c>
      <c r="Q51" s="43"/>
      <c r="R51" s="55">
        <v>26964464.006003998</v>
      </c>
      <c r="S51" s="43"/>
      <c r="T51" s="55">
        <v>103100965.182891</v>
      </c>
      <c r="U51" s="40"/>
      <c r="V51" s="55">
        <v>118944.283128749</v>
      </c>
      <c r="W51" s="43"/>
      <c r="X51" s="55">
        <v>298753.74663103803</v>
      </c>
      <c r="Y51" s="40"/>
      <c r="Z51" s="40">
        <f t="shared" si="21"/>
        <v>1891203.815096058</v>
      </c>
      <c r="AA51" s="40"/>
      <c r="AB51" s="40">
        <f t="shared" si="22"/>
        <v>-34737230.068361104</v>
      </c>
      <c r="AC51" s="17"/>
      <c r="AD51" s="40"/>
      <c r="AE51" s="40"/>
      <c r="AF51" s="40">
        <f>BA51/100*AF25</f>
        <v>6787164216.6614275</v>
      </c>
      <c r="AG51" s="44">
        <f t="shared" si="17"/>
        <v>3.5233457457431038E-3</v>
      </c>
      <c r="AH51" s="44">
        <f t="shared" si="23"/>
        <v>-5.1180771467244941E-3</v>
      </c>
      <c r="AU51" s="39">
        <v>12185933</v>
      </c>
      <c r="AW51" s="39">
        <f t="shared" si="24"/>
        <v>1.9696631584105811E-3</v>
      </c>
      <c r="AX51" s="56">
        <v>7284.1601135507999</v>
      </c>
      <c r="AY51" s="44">
        <f t="shared" si="25"/>
        <v>1.5506283717564124E-3</v>
      </c>
      <c r="AZ51" s="39">
        <f t="shared" si="18"/>
        <v>108.37493335947164</v>
      </c>
      <c r="BA51" s="39">
        <f t="shared" si="19"/>
        <v>118.09875109393151</v>
      </c>
      <c r="BC51" s="44">
        <f t="shared" si="20"/>
        <v>1.3353778383617922E-2</v>
      </c>
    </row>
    <row r="52" spans="1:55" s="39" customFormat="1">
      <c r="A52" s="39">
        <f t="shared" si="26"/>
        <v>2024</v>
      </c>
      <c r="B52" s="39">
        <f t="shared" si="27"/>
        <v>3</v>
      </c>
      <c r="C52" s="40"/>
      <c r="D52" s="55">
        <v>120812262.54905701</v>
      </c>
      <c r="E52" s="40"/>
      <c r="F52" s="55">
        <v>21959058.800227199</v>
      </c>
      <c r="G52" s="57">
        <v>1105255</v>
      </c>
      <c r="H52" s="57">
        <v>6080786.9070543395</v>
      </c>
      <c r="I52" s="57">
        <v>34183</v>
      </c>
      <c r="J52" s="57">
        <v>188064.780384471</v>
      </c>
      <c r="K52" s="40"/>
      <c r="L52" s="55">
        <v>2401215.4969326402</v>
      </c>
      <c r="M52" s="43"/>
      <c r="N52" s="55">
        <v>977416.75860562199</v>
      </c>
      <c r="O52" s="40"/>
      <c r="P52" s="55">
        <v>17837377.249763198</v>
      </c>
      <c r="Q52" s="43"/>
      <c r="R52" s="55">
        <v>23888661.6824173</v>
      </c>
      <c r="S52" s="43"/>
      <c r="T52" s="55">
        <v>91340368.413641199</v>
      </c>
      <c r="U52" s="40"/>
      <c r="V52" s="55">
        <v>123195.42586092099</v>
      </c>
      <c r="W52" s="43"/>
      <c r="X52" s="55">
        <v>309431.39153579401</v>
      </c>
      <c r="Y52" s="40"/>
      <c r="Z52" s="40">
        <f t="shared" si="21"/>
        <v>-1325833.9474872388</v>
      </c>
      <c r="AA52" s="40"/>
      <c r="AB52" s="40">
        <f t="shared" si="22"/>
        <v>-47309271.385179013</v>
      </c>
      <c r="AC52" s="17"/>
      <c r="AD52" s="40"/>
      <c r="AE52" s="40"/>
      <c r="AF52" s="40">
        <f>BA52/100*AF25</f>
        <v>6859508197.7331848</v>
      </c>
      <c r="AG52" s="44">
        <f t="shared" si="17"/>
        <v>1.0658940724340241E-2</v>
      </c>
      <c r="AH52" s="44">
        <f t="shared" si="23"/>
        <v>-6.896889692589476E-3</v>
      </c>
      <c r="AU52" s="39">
        <v>12182469</v>
      </c>
      <c r="AW52" s="39">
        <f t="shared" si="24"/>
        <v>-2.842621898544822E-4</v>
      </c>
      <c r="AX52" s="56">
        <v>7363.8948212955002</v>
      </c>
      <c r="AY52" s="44">
        <f t="shared" si="25"/>
        <v>1.0946314537535896E-2</v>
      </c>
      <c r="AZ52" s="39">
        <f t="shared" si="18"/>
        <v>109.56123946800891</v>
      </c>
      <c r="BA52" s="39">
        <f t="shared" si="19"/>
        <v>119.35755868146033</v>
      </c>
      <c r="BC52" s="44">
        <f t="shared" si="20"/>
        <v>1.5286612739664003E-2</v>
      </c>
    </row>
    <row r="53" spans="1:55" s="39" customFormat="1">
      <c r="A53" s="39">
        <f t="shared" si="26"/>
        <v>2024</v>
      </c>
      <c r="B53" s="39">
        <f t="shared" si="27"/>
        <v>4</v>
      </c>
      <c r="C53" s="40"/>
      <c r="D53" s="55">
        <v>121365867.953454</v>
      </c>
      <c r="E53" s="40"/>
      <c r="F53" s="55">
        <v>22059683.1356281</v>
      </c>
      <c r="G53" s="57">
        <v>1223575</v>
      </c>
      <c r="H53" s="57">
        <v>6731748.63701047</v>
      </c>
      <c r="I53" s="57">
        <v>37842</v>
      </c>
      <c r="J53" s="57">
        <v>208195.51880493699</v>
      </c>
      <c r="K53" s="40"/>
      <c r="L53" s="55">
        <v>2466059.8854826698</v>
      </c>
      <c r="M53" s="43"/>
      <c r="N53" s="55">
        <v>983811.70738215395</v>
      </c>
      <c r="O53" s="40"/>
      <c r="P53" s="55">
        <v>18209038.211560201</v>
      </c>
      <c r="Q53" s="43"/>
      <c r="R53" s="55">
        <v>27611879.051461499</v>
      </c>
      <c r="S53" s="43"/>
      <c r="T53" s="55">
        <v>105576412.721761</v>
      </c>
      <c r="U53" s="40"/>
      <c r="V53" s="55">
        <v>120522.781226429</v>
      </c>
      <c r="W53" s="43"/>
      <c r="X53" s="55">
        <v>302718.47875877901</v>
      </c>
      <c r="Y53" s="40"/>
      <c r="Z53" s="40">
        <f t="shared" si="21"/>
        <v>2222847.1041950062</v>
      </c>
      <c r="AA53" s="40"/>
      <c r="AB53" s="40">
        <f t="shared" si="22"/>
        <v>-33998493.443253204</v>
      </c>
      <c r="AC53" s="17"/>
      <c r="AD53" s="40"/>
      <c r="AE53" s="40"/>
      <c r="AF53" s="40">
        <f>BA53/100*AF25</f>
        <v>6926420025.7321854</v>
      </c>
      <c r="AG53" s="44">
        <f t="shared" si="17"/>
        <v>9.7546101076331458E-3</v>
      </c>
      <c r="AH53" s="44">
        <f t="shared" si="23"/>
        <v>-4.9085232077965496E-3</v>
      </c>
      <c r="AU53" s="39">
        <v>12274782</v>
      </c>
      <c r="AW53" s="39">
        <f t="shared" si="24"/>
        <v>7.5775280035598695E-3</v>
      </c>
      <c r="AX53" s="56">
        <v>7379.8060570923999</v>
      </c>
      <c r="AY53" s="44">
        <f t="shared" si="25"/>
        <v>2.1607092690795041E-3</v>
      </c>
      <c r="AZ53" s="39">
        <f t="shared" si="18"/>
        <v>109.79796945365926</v>
      </c>
      <c r="BA53" s="39">
        <f t="shared" si="19"/>
        <v>120.52184512979694</v>
      </c>
      <c r="BC53" s="44">
        <f t="shared" si="20"/>
        <v>1.3393713877095755E-2</v>
      </c>
    </row>
    <row r="54" spans="1:55" s="29" customFormat="1">
      <c r="A54" s="29">
        <f t="shared" si="26"/>
        <v>2025</v>
      </c>
      <c r="B54" s="29">
        <f t="shared" si="27"/>
        <v>1</v>
      </c>
      <c r="C54" s="30"/>
      <c r="D54" s="52">
        <v>121656517.639742</v>
      </c>
      <c r="E54" s="30"/>
      <c r="F54" s="52">
        <v>22112512.156596798</v>
      </c>
      <c r="G54" s="59">
        <v>1358617</v>
      </c>
      <c r="H54" s="59">
        <v>7474709.8771789698</v>
      </c>
      <c r="I54" s="59">
        <v>42019</v>
      </c>
      <c r="J54" s="59">
        <v>231176.140390694</v>
      </c>
      <c r="K54" s="30"/>
      <c r="L54" s="52">
        <v>3033930.0400283402</v>
      </c>
      <c r="M54" s="33"/>
      <c r="N54" s="52">
        <v>987624.376212787</v>
      </c>
      <c r="O54" s="30"/>
      <c r="P54" s="52">
        <v>21176695.322025701</v>
      </c>
      <c r="Q54" s="33"/>
      <c r="R54" s="52">
        <v>24255224.689904898</v>
      </c>
      <c r="S54" s="33"/>
      <c r="T54" s="52">
        <v>92741953.843409196</v>
      </c>
      <c r="U54" s="30"/>
      <c r="V54" s="52">
        <v>126340.935419143</v>
      </c>
      <c r="W54" s="33"/>
      <c r="X54" s="52">
        <v>317332.004670478</v>
      </c>
      <c r="Y54" s="30"/>
      <c r="Z54" s="30">
        <f t="shared" si="21"/>
        <v>-1752500.9475138858</v>
      </c>
      <c r="AA54" s="30"/>
      <c r="AB54" s="30">
        <f t="shared" si="22"/>
        <v>-50091259.118358508</v>
      </c>
      <c r="AC54" s="17"/>
      <c r="AD54" s="30"/>
      <c r="AE54" s="30"/>
      <c r="AF54" s="30">
        <f>BA54/100*AF25</f>
        <v>6971324731.7228937</v>
      </c>
      <c r="AG54" s="34">
        <f t="shared" si="17"/>
        <v>6.4831046664631797E-3</v>
      </c>
      <c r="AH54" s="34">
        <f t="shared" si="23"/>
        <v>-7.1853286206019201E-3</v>
      </c>
      <c r="AU54" s="29">
        <v>12294437</v>
      </c>
      <c r="AW54" s="29">
        <f t="shared" si="24"/>
        <v>1.6012504336125888E-3</v>
      </c>
      <c r="AX54" s="53">
        <v>7415.7755982864001</v>
      </c>
      <c r="AY54" s="34">
        <f t="shared" si="25"/>
        <v>4.8740496587212408E-3</v>
      </c>
      <c r="AZ54" s="29">
        <f t="shared" si="18"/>
        <v>110.33313020920315</v>
      </c>
      <c r="BA54" s="29">
        <f t="shared" si="19"/>
        <v>121.30320086636867</v>
      </c>
      <c r="BC54" s="34">
        <f t="shared" si="20"/>
        <v>1.536244463420275E-2</v>
      </c>
    </row>
    <row r="55" spans="1:55" s="39" customFormat="1">
      <c r="A55" s="39">
        <f t="shared" si="26"/>
        <v>2025</v>
      </c>
      <c r="B55" s="39">
        <f t="shared" si="27"/>
        <v>2</v>
      </c>
      <c r="C55" s="40"/>
      <c r="D55" s="55">
        <v>122056916.108891</v>
      </c>
      <c r="E55" s="40"/>
      <c r="F55" s="55">
        <v>22185289.3179713</v>
      </c>
      <c r="G55" s="57">
        <v>1484644</v>
      </c>
      <c r="H55" s="57">
        <v>8168073.2472024802</v>
      </c>
      <c r="I55" s="57">
        <v>45917</v>
      </c>
      <c r="J55" s="57">
        <v>252621.78629475899</v>
      </c>
      <c r="K55" s="40"/>
      <c r="L55" s="55">
        <v>2425859.1069105798</v>
      </c>
      <c r="M55" s="43"/>
      <c r="N55" s="55">
        <v>993264.57668777602</v>
      </c>
      <c r="O55" s="40"/>
      <c r="P55" s="55">
        <v>18052443.078315299</v>
      </c>
      <c r="Q55" s="43"/>
      <c r="R55" s="55">
        <v>27924166.8505226</v>
      </c>
      <c r="S55" s="43"/>
      <c r="T55" s="55">
        <v>106770472.187985</v>
      </c>
      <c r="U55" s="40"/>
      <c r="V55" s="55">
        <v>126390.439537575</v>
      </c>
      <c r="W55" s="43"/>
      <c r="X55" s="55">
        <v>317456.34474354598</v>
      </c>
      <c r="Y55" s="40"/>
      <c r="Z55" s="40">
        <f t="shared" si="21"/>
        <v>2446144.2884905189</v>
      </c>
      <c r="AA55" s="40"/>
      <c r="AB55" s="40">
        <f t="shared" si="22"/>
        <v>-33338886.999221295</v>
      </c>
      <c r="AC55" s="17"/>
      <c r="AD55" s="40"/>
      <c r="AE55" s="40"/>
      <c r="AF55" s="40">
        <f>BA55/100*AF25</f>
        <v>7004480436.9791393</v>
      </c>
      <c r="AG55" s="44">
        <f t="shared" si="17"/>
        <v>4.7560121687304485E-3</v>
      </c>
      <c r="AH55" s="44">
        <f t="shared" si="23"/>
        <v>-4.7596516685539545E-3</v>
      </c>
      <c r="AU55" s="39">
        <v>12305060</v>
      </c>
      <c r="AW55" s="39">
        <f t="shared" si="24"/>
        <v>8.640493257234959E-4</v>
      </c>
      <c r="AX55" s="56">
        <v>7444.6126047710004</v>
      </c>
      <c r="AY55" s="44">
        <f t="shared" si="25"/>
        <v>3.8886028982948002E-3</v>
      </c>
      <c r="AZ55" s="39">
        <f t="shared" si="18"/>
        <v>110.76217193911259</v>
      </c>
      <c r="BA55" s="39">
        <f t="shared" si="19"/>
        <v>121.88012036579508</v>
      </c>
      <c r="BC55" s="44">
        <f t="shared" si="20"/>
        <v>1.3421470606002645E-2</v>
      </c>
    </row>
    <row r="56" spans="1:55" s="39" customFormat="1">
      <c r="A56" s="39">
        <f t="shared" si="26"/>
        <v>2025</v>
      </c>
      <c r="B56" s="39">
        <f t="shared" si="27"/>
        <v>3</v>
      </c>
      <c r="C56" s="40"/>
      <c r="D56" s="55">
        <v>122836085.189849</v>
      </c>
      <c r="E56" s="40"/>
      <c r="F56" s="55">
        <v>22326912.521635201</v>
      </c>
      <c r="G56" s="57">
        <v>1624246</v>
      </c>
      <c r="H56" s="57">
        <v>8936122.2619534694</v>
      </c>
      <c r="I56" s="57">
        <v>50235</v>
      </c>
      <c r="J56" s="57">
        <v>276378.14827879</v>
      </c>
      <c r="K56" s="40"/>
      <c r="L56" s="55">
        <v>2418335.5952682602</v>
      </c>
      <c r="M56" s="43"/>
      <c r="N56" s="55">
        <v>1001899.63395648</v>
      </c>
      <c r="O56" s="40"/>
      <c r="P56" s="55">
        <v>18060911.0779767</v>
      </c>
      <c r="Q56" s="43"/>
      <c r="R56" s="55">
        <v>24654453.529865801</v>
      </c>
      <c r="S56" s="43"/>
      <c r="T56" s="55">
        <v>94268439.914841697</v>
      </c>
      <c r="U56" s="40"/>
      <c r="V56" s="55">
        <v>125396.58866980299</v>
      </c>
      <c r="W56" s="43"/>
      <c r="X56" s="55">
        <v>314960.07789885998</v>
      </c>
      <c r="Y56" s="40"/>
      <c r="Z56" s="40">
        <f t="shared" si="21"/>
        <v>-967297.63232433796</v>
      </c>
      <c r="AA56" s="40"/>
      <c r="AB56" s="40">
        <f t="shared" si="22"/>
        <v>-46628556.352984011</v>
      </c>
      <c r="AC56" s="17"/>
      <c r="AD56" s="40"/>
      <c r="AE56" s="40"/>
      <c r="AF56" s="40">
        <f>BA56/100*AF25</f>
        <v>7055503493.4407053</v>
      </c>
      <c r="AG56" s="44">
        <f t="shared" si="17"/>
        <v>7.2843456300052088E-3</v>
      </c>
      <c r="AH56" s="44">
        <f t="shared" si="23"/>
        <v>-6.6088205322743041E-3</v>
      </c>
      <c r="AU56" s="39">
        <v>12350709</v>
      </c>
      <c r="AW56" s="39">
        <f t="shared" si="24"/>
        <v>3.7097746780592701E-3</v>
      </c>
      <c r="AX56" s="56">
        <v>7471.1255437070004</v>
      </c>
      <c r="AY56" s="44">
        <f t="shared" si="25"/>
        <v>3.5613591120925094E-3</v>
      </c>
      <c r="AZ56" s="39">
        <f t="shared" si="18"/>
        <v>111.15663580942309</v>
      </c>
      <c r="BA56" s="39">
        <f t="shared" si="19"/>
        <v>122.76793728796616</v>
      </c>
      <c r="BC56" s="44">
        <f t="shared" si="20"/>
        <v>1.535482429393762E-2</v>
      </c>
    </row>
    <row r="57" spans="1:55" s="39" customFormat="1">
      <c r="A57" s="39">
        <f t="shared" si="26"/>
        <v>2025</v>
      </c>
      <c r="B57" s="39">
        <f t="shared" si="27"/>
        <v>4</v>
      </c>
      <c r="C57" s="40"/>
      <c r="D57" s="55">
        <v>123641340.05506</v>
      </c>
      <c r="E57" s="40"/>
      <c r="F57" s="55">
        <v>22473277.125370301</v>
      </c>
      <c r="G57" s="57">
        <v>1731691</v>
      </c>
      <c r="H57" s="57">
        <v>9527252.9505533408</v>
      </c>
      <c r="I57" s="57">
        <v>53557</v>
      </c>
      <c r="J57" s="57">
        <v>294654.812130331</v>
      </c>
      <c r="K57" s="40"/>
      <c r="L57" s="55">
        <v>2474794.9681465798</v>
      </c>
      <c r="M57" s="43"/>
      <c r="N57" s="55">
        <v>1010117.91854372</v>
      </c>
      <c r="O57" s="40"/>
      <c r="P57" s="55">
        <v>18399093.609251801</v>
      </c>
      <c r="Q57" s="43"/>
      <c r="R57" s="55">
        <v>28234372.127673998</v>
      </c>
      <c r="S57" s="43"/>
      <c r="T57" s="55">
        <v>107956568.95119201</v>
      </c>
      <c r="U57" s="40"/>
      <c r="V57" s="55">
        <v>126325.07942800201</v>
      </c>
      <c r="W57" s="43"/>
      <c r="X57" s="55">
        <v>317292.17899214098</v>
      </c>
      <c r="Y57" s="40"/>
      <c r="Z57" s="40">
        <f t="shared" si="21"/>
        <v>2402507.1950413994</v>
      </c>
      <c r="AA57" s="40"/>
      <c r="AB57" s="40">
        <f t="shared" si="22"/>
        <v>-34083864.71311979</v>
      </c>
      <c r="AC57" s="17"/>
      <c r="AD57" s="40"/>
      <c r="AE57" s="40"/>
      <c r="AF57" s="40">
        <f>BA57/100*AF25</f>
        <v>7082552860.7489176</v>
      </c>
      <c r="AG57" s="44">
        <f t="shared" si="17"/>
        <v>3.8337968840011609E-3</v>
      </c>
      <c r="AH57" s="44">
        <f t="shared" si="23"/>
        <v>-4.8123699721339917E-3</v>
      </c>
      <c r="AU57" s="39">
        <v>12324461</v>
      </c>
      <c r="AW57" s="39">
        <f t="shared" si="24"/>
        <v>-2.1252221228756987E-3</v>
      </c>
      <c r="AX57" s="56">
        <v>7515.7409404528998</v>
      </c>
      <c r="AY57" s="44">
        <f t="shared" si="25"/>
        <v>5.9717102175427181E-3</v>
      </c>
      <c r="AZ57" s="39">
        <f t="shared" si="18"/>
        <v>111.82043102723389</v>
      </c>
      <c r="BA57" s="39">
        <f t="shared" si="19"/>
        <v>123.23860462339603</v>
      </c>
      <c r="BC57" s="44">
        <f t="shared" si="20"/>
        <v>1.3486030785211177E-2</v>
      </c>
    </row>
    <row r="58" spans="1:55" s="29" customFormat="1">
      <c r="A58" s="29">
        <f t="shared" si="26"/>
        <v>2026</v>
      </c>
      <c r="B58" s="29">
        <f t="shared" si="27"/>
        <v>1</v>
      </c>
      <c r="C58" s="30"/>
      <c r="D58" s="52">
        <v>124437784.71531101</v>
      </c>
      <c r="E58" s="30"/>
      <c r="F58" s="52">
        <v>22618040.3700656</v>
      </c>
      <c r="G58" s="59">
        <v>1845598</v>
      </c>
      <c r="H58" s="59">
        <v>10153935.656555001</v>
      </c>
      <c r="I58" s="59">
        <v>57080</v>
      </c>
      <c r="J58" s="59">
        <v>314037.318677284</v>
      </c>
      <c r="K58" s="30"/>
      <c r="L58" s="52">
        <v>3021136.2242006399</v>
      </c>
      <c r="M58" s="33"/>
      <c r="N58" s="52">
        <v>1018525.94435234</v>
      </c>
      <c r="O58" s="30"/>
      <c r="P58" s="52">
        <v>21280319.461343799</v>
      </c>
      <c r="Q58" s="33"/>
      <c r="R58" s="52">
        <v>24842461.610584501</v>
      </c>
      <c r="S58" s="33"/>
      <c r="T58" s="52">
        <v>94987305.106449693</v>
      </c>
      <c r="U58" s="30"/>
      <c r="V58" s="52">
        <v>128325.19430928001</v>
      </c>
      <c r="W58" s="33"/>
      <c r="X58" s="52">
        <v>322315.89092479</v>
      </c>
      <c r="Y58" s="30"/>
      <c r="Z58" s="30">
        <f t="shared" si="21"/>
        <v>-1686915.733724799</v>
      </c>
      <c r="AA58" s="30"/>
      <c r="AB58" s="30">
        <f t="shared" si="22"/>
        <v>-50730799.070205107</v>
      </c>
      <c r="AC58" s="17"/>
      <c r="AD58" s="30"/>
      <c r="AE58" s="30"/>
      <c r="AF58" s="30">
        <f>BA58/100*AF25</f>
        <v>7113140743.9693413</v>
      </c>
      <c r="AG58" s="34">
        <f t="shared" ref="AG58:AG89" si="28">(AF58-AF57)/AF57</f>
        <v>4.3187652562312537E-3</v>
      </c>
      <c r="AH58" s="34">
        <f t="shared" si="23"/>
        <v>-7.1319830291866025E-3</v>
      </c>
      <c r="AU58" s="29">
        <v>12371375</v>
      </c>
      <c r="AW58" s="29">
        <f t="shared" si="24"/>
        <v>3.8065762064564122E-3</v>
      </c>
      <c r="AX58" s="53">
        <v>7519.5758228913</v>
      </c>
      <c r="AY58" s="34">
        <f t="shared" si="25"/>
        <v>5.1024675661174527E-4</v>
      </c>
      <c r="AZ58" s="29">
        <f t="shared" ref="AZ58:AZ89" si="29">AZ57*((1+AY58))</f>
        <v>111.87748703948847</v>
      </c>
      <c r="BA58" s="29">
        <f t="shared" si="19"/>
        <v>123.77084322726996</v>
      </c>
      <c r="BC58" s="34">
        <f t="shared" si="20"/>
        <v>1.5416961973962908E-2</v>
      </c>
    </row>
    <row r="59" spans="1:55" s="39" customFormat="1">
      <c r="A59" s="39">
        <f t="shared" si="26"/>
        <v>2026</v>
      </c>
      <c r="B59" s="39">
        <f t="shared" si="27"/>
        <v>2</v>
      </c>
      <c r="C59" s="40"/>
      <c r="D59" s="55">
        <v>124887739.537524</v>
      </c>
      <c r="E59" s="40"/>
      <c r="F59" s="55">
        <v>22699824.9852193</v>
      </c>
      <c r="G59" s="57">
        <v>1970286</v>
      </c>
      <c r="H59" s="57">
        <v>10839932.2436474</v>
      </c>
      <c r="I59" s="57">
        <v>60937</v>
      </c>
      <c r="J59" s="57">
        <v>335257.39467830502</v>
      </c>
      <c r="K59" s="40"/>
      <c r="L59" s="55">
        <v>2400682.0879355799</v>
      </c>
      <c r="M59" s="43"/>
      <c r="N59" s="55">
        <v>1023133.70841748</v>
      </c>
      <c r="O59" s="40"/>
      <c r="P59" s="55">
        <v>18086130.557125699</v>
      </c>
      <c r="Q59" s="43"/>
      <c r="R59" s="55">
        <v>28788569.863488801</v>
      </c>
      <c r="S59" s="43"/>
      <c r="T59" s="55">
        <v>110075592.02733999</v>
      </c>
      <c r="U59" s="40"/>
      <c r="V59" s="55">
        <v>126218.70595411499</v>
      </c>
      <c r="W59" s="43"/>
      <c r="X59" s="55">
        <v>317024.99949406</v>
      </c>
      <c r="Y59" s="40"/>
      <c r="Z59" s="40">
        <f t="shared" si="21"/>
        <v>2791147.7878705561</v>
      </c>
      <c r="AA59" s="40"/>
      <c r="AB59" s="40">
        <f t="shared" si="22"/>
        <v>-32898278.067309707</v>
      </c>
      <c r="AC59" s="17"/>
      <c r="AD59" s="40"/>
      <c r="AE59" s="40"/>
      <c r="AF59" s="40">
        <f>BA59/100*AF25</f>
        <v>7200783711.9944878</v>
      </c>
      <c r="AG59" s="44">
        <f t="shared" si="28"/>
        <v>1.232127567550971E-2</v>
      </c>
      <c r="AH59" s="44">
        <f t="shared" si="23"/>
        <v>-4.5687079883416576E-3</v>
      </c>
      <c r="AU59" s="39">
        <v>12459334</v>
      </c>
      <c r="AW59" s="39">
        <f t="shared" si="24"/>
        <v>7.1098806721160744E-3</v>
      </c>
      <c r="AX59" s="56">
        <v>7558.4866514146997</v>
      </c>
      <c r="AY59" s="44">
        <f t="shared" si="25"/>
        <v>5.1746041851119138E-3</v>
      </c>
      <c r="AZ59" s="39">
        <f t="shared" si="29"/>
        <v>112.45640875214282</v>
      </c>
      <c r="BA59" s="39">
        <f t="shared" si="19"/>
        <v>125.29585790726345</v>
      </c>
      <c r="BC59" s="44">
        <f t="shared" si="20"/>
        <v>1.353809880682199E-2</v>
      </c>
    </row>
    <row r="60" spans="1:55" s="39" customFormat="1">
      <c r="A60" s="39">
        <f t="shared" si="26"/>
        <v>2026</v>
      </c>
      <c r="B60" s="39">
        <f t="shared" si="27"/>
        <v>3</v>
      </c>
      <c r="C60" s="40"/>
      <c r="D60" s="55">
        <v>125204843.36233699</v>
      </c>
      <c r="E60" s="40"/>
      <c r="F60" s="55">
        <v>22757462.359008402</v>
      </c>
      <c r="G60" s="57">
        <v>2147009</v>
      </c>
      <c r="H60" s="57">
        <v>11812210.047932699</v>
      </c>
      <c r="I60" s="57">
        <v>66402</v>
      </c>
      <c r="J60" s="57">
        <v>365324.21224262501</v>
      </c>
      <c r="K60" s="40"/>
      <c r="L60" s="55">
        <v>2391740.70559025</v>
      </c>
      <c r="M60" s="43"/>
      <c r="N60" s="55">
        <v>1026269.38105556</v>
      </c>
      <c r="O60" s="40"/>
      <c r="P60" s="55">
        <v>18056985.227311999</v>
      </c>
      <c r="Q60" s="43"/>
      <c r="R60" s="55">
        <v>25418313.100326501</v>
      </c>
      <c r="S60" s="43"/>
      <c r="T60" s="55">
        <v>97189123.187506005</v>
      </c>
      <c r="U60" s="40"/>
      <c r="V60" s="55">
        <v>129813.036615095</v>
      </c>
      <c r="W60" s="43"/>
      <c r="X60" s="55">
        <v>326052.92184015899</v>
      </c>
      <c r="Y60" s="40"/>
      <c r="Z60" s="40">
        <f t="shared" si="21"/>
        <v>-627346.30871261656</v>
      </c>
      <c r="AA60" s="40"/>
      <c r="AB60" s="40">
        <f t="shared" si="22"/>
        <v>-46072705.402142987</v>
      </c>
      <c r="AC60" s="17"/>
      <c r="AD60" s="40"/>
      <c r="AE60" s="40"/>
      <c r="AF60" s="40">
        <f>BA60/100*AF25</f>
        <v>7256323681.343277</v>
      </c>
      <c r="AG60" s="44">
        <f t="shared" si="28"/>
        <v>7.7130450753957781E-3</v>
      </c>
      <c r="AH60" s="44">
        <f t="shared" si="23"/>
        <v>-6.3493178399139571E-3</v>
      </c>
      <c r="AU60" s="39">
        <v>12454930</v>
      </c>
      <c r="AW60" s="39">
        <f t="shared" si="24"/>
        <v>-3.5346993667558798E-4</v>
      </c>
      <c r="AX60" s="56">
        <v>7619.4788563677002</v>
      </c>
      <c r="AY60" s="44">
        <f t="shared" si="25"/>
        <v>8.0693672908167119E-3</v>
      </c>
      <c r="AZ60" s="39">
        <f t="shared" si="29"/>
        <v>113.36386081857007</v>
      </c>
      <c r="BA60" s="39">
        <f t="shared" si="19"/>
        <v>126.26227050706257</v>
      </c>
      <c r="BC60" s="44">
        <f t="shared" si="20"/>
        <v>1.5494688678525921E-2</v>
      </c>
    </row>
    <row r="61" spans="1:55" s="39" customFormat="1">
      <c r="A61" s="39">
        <f t="shared" si="26"/>
        <v>2026</v>
      </c>
      <c r="B61" s="39">
        <f t="shared" si="27"/>
        <v>4</v>
      </c>
      <c r="C61" s="40"/>
      <c r="D61" s="55">
        <v>125868100.140233</v>
      </c>
      <c r="E61" s="40"/>
      <c r="F61" s="55">
        <v>22878017.1295106</v>
      </c>
      <c r="G61" s="57">
        <v>2268136</v>
      </c>
      <c r="H61" s="57">
        <v>12478615.063689901</v>
      </c>
      <c r="I61" s="57">
        <v>70148</v>
      </c>
      <c r="J61" s="57">
        <v>385933.59899393999</v>
      </c>
      <c r="K61" s="40"/>
      <c r="L61" s="55">
        <v>2398569.0939505999</v>
      </c>
      <c r="M61" s="43"/>
      <c r="N61" s="55">
        <v>1033368.57157842</v>
      </c>
      <c r="O61" s="40"/>
      <c r="P61" s="55">
        <v>18131475.418631598</v>
      </c>
      <c r="Q61" s="43"/>
      <c r="R61" s="55">
        <v>29488464.6757222</v>
      </c>
      <c r="S61" s="43"/>
      <c r="T61" s="55">
        <v>112751700.502988</v>
      </c>
      <c r="U61" s="40"/>
      <c r="V61" s="55">
        <v>125321.45078609099</v>
      </c>
      <c r="W61" s="43"/>
      <c r="X61" s="55">
        <v>314771.353197827</v>
      </c>
      <c r="Y61" s="40"/>
      <c r="Z61" s="40">
        <f t="shared" si="21"/>
        <v>3303831.3314686716</v>
      </c>
      <c r="AA61" s="40"/>
      <c r="AB61" s="40">
        <f t="shared" si="22"/>
        <v>-31247875.055876598</v>
      </c>
      <c r="AC61" s="17"/>
      <c r="AD61" s="40"/>
      <c r="AE61" s="40"/>
      <c r="AF61" s="40">
        <f>BA61/100*AF25</f>
        <v>7339437386.9350882</v>
      </c>
      <c r="AG61" s="44">
        <f t="shared" si="28"/>
        <v>1.1453968874831853E-2</v>
      </c>
      <c r="AH61" s="44">
        <f t="shared" si="23"/>
        <v>-4.2575300269610383E-3</v>
      </c>
      <c r="AU61" s="39">
        <v>12543328</v>
      </c>
      <c r="AW61" s="39">
        <f t="shared" si="24"/>
        <v>7.0974304953941936E-3</v>
      </c>
      <c r="AX61" s="56">
        <v>7652.4394727528997</v>
      </c>
      <c r="AY61" s="44">
        <f t="shared" si="25"/>
        <v>4.3258360586766213E-3</v>
      </c>
      <c r="AZ61" s="39">
        <f t="shared" si="29"/>
        <v>113.85425429544985</v>
      </c>
      <c r="BA61" s="39">
        <f t="shared" si="19"/>
        <v>127.70847462351604</v>
      </c>
      <c r="BC61" s="44">
        <f t="shared" si="20"/>
        <v>1.3508912100703475E-2</v>
      </c>
    </row>
    <row r="62" spans="1:55" s="29" customFormat="1">
      <c r="A62" s="29">
        <f t="shared" si="26"/>
        <v>2027</v>
      </c>
      <c r="B62" s="29">
        <f t="shared" si="27"/>
        <v>1</v>
      </c>
      <c r="C62" s="30"/>
      <c r="D62" s="52">
        <v>126262475.02510799</v>
      </c>
      <c r="E62" s="30"/>
      <c r="F62" s="52">
        <v>22949699.4331409</v>
      </c>
      <c r="G62" s="59">
        <v>2383916</v>
      </c>
      <c r="H62" s="59">
        <v>13115602.4630672</v>
      </c>
      <c r="I62" s="59">
        <v>73729</v>
      </c>
      <c r="J62" s="59">
        <v>405635.20442812698</v>
      </c>
      <c r="K62" s="30"/>
      <c r="L62" s="52">
        <v>3045069.20765275</v>
      </c>
      <c r="M62" s="33"/>
      <c r="N62" s="52">
        <v>1038679.99146121</v>
      </c>
      <c r="O62" s="30"/>
      <c r="P62" s="52">
        <v>21515389.447037201</v>
      </c>
      <c r="Q62" s="33"/>
      <c r="R62" s="52">
        <v>25966188.424858902</v>
      </c>
      <c r="S62" s="33"/>
      <c r="T62" s="52">
        <v>99283971.976141393</v>
      </c>
      <c r="U62" s="30"/>
      <c r="V62" s="52">
        <v>126818.73939919801</v>
      </c>
      <c r="W62" s="33"/>
      <c r="X62" s="52">
        <v>318532.11051366699</v>
      </c>
      <c r="Y62" s="30"/>
      <c r="Z62" s="30">
        <f t="shared" si="21"/>
        <v>-940441.4679967612</v>
      </c>
      <c r="AA62" s="30"/>
      <c r="AB62" s="30">
        <f t="shared" si="22"/>
        <v>-48493892.496003807</v>
      </c>
      <c r="AC62" s="17"/>
      <c r="AD62" s="30"/>
      <c r="AE62" s="30"/>
      <c r="AF62" s="30">
        <f>BA62/100*AF25</f>
        <v>7397398905.8797646</v>
      </c>
      <c r="AG62" s="34">
        <f t="shared" si="28"/>
        <v>7.8972700343289993E-3</v>
      </c>
      <c r="AH62" s="34">
        <f t="shared" si="23"/>
        <v>-6.5555329803099862E-3</v>
      </c>
      <c r="AU62" s="29">
        <v>12599553</v>
      </c>
      <c r="AW62" s="29">
        <f t="shared" si="24"/>
        <v>4.4824627084614228E-3</v>
      </c>
      <c r="AX62" s="53">
        <v>7678.4544678797001</v>
      </c>
      <c r="AY62" s="34">
        <f t="shared" si="25"/>
        <v>3.3995688851154956E-3</v>
      </c>
      <c r="AZ62" s="29">
        <f t="shared" si="29"/>
        <v>114.24130967579067</v>
      </c>
      <c r="BA62" s="29">
        <f t="shared" si="19"/>
        <v>128.71702293329022</v>
      </c>
      <c r="BC62" s="34">
        <f t="shared" si="20"/>
        <v>1.5432525552713702E-2</v>
      </c>
    </row>
    <row r="63" spans="1:55" s="39" customFormat="1">
      <c r="A63" s="39">
        <f t="shared" si="26"/>
        <v>2027</v>
      </c>
      <c r="B63" s="39">
        <f t="shared" si="27"/>
        <v>2</v>
      </c>
      <c r="C63" s="40"/>
      <c r="D63" s="55">
        <v>126456137.850843</v>
      </c>
      <c r="E63" s="40"/>
      <c r="F63" s="55">
        <v>22984899.944148701</v>
      </c>
      <c r="G63" s="57">
        <v>2529201</v>
      </c>
      <c r="H63" s="57">
        <v>13914917.6670621</v>
      </c>
      <c r="I63" s="57">
        <v>78223</v>
      </c>
      <c r="J63" s="57">
        <v>430359.86648376298</v>
      </c>
      <c r="K63" s="40"/>
      <c r="L63" s="55">
        <v>2417183.83740767</v>
      </c>
      <c r="M63" s="43"/>
      <c r="N63" s="55">
        <v>1041594.87207126</v>
      </c>
      <c r="O63" s="40"/>
      <c r="P63" s="55">
        <v>18273326.089081701</v>
      </c>
      <c r="Q63" s="43"/>
      <c r="R63" s="55">
        <v>29899149.2254458</v>
      </c>
      <c r="S63" s="43"/>
      <c r="T63" s="55">
        <v>114321988.473584</v>
      </c>
      <c r="U63" s="40"/>
      <c r="V63" s="55">
        <v>127696.291478107</v>
      </c>
      <c r="W63" s="43"/>
      <c r="X63" s="55">
        <v>320736.26833060099</v>
      </c>
      <c r="Y63" s="40"/>
      <c r="Z63" s="40">
        <f t="shared" si="21"/>
        <v>3583166.8632962778</v>
      </c>
      <c r="AA63" s="40"/>
      <c r="AB63" s="40">
        <f t="shared" si="22"/>
        <v>-30407475.466340706</v>
      </c>
      <c r="AC63" s="17"/>
      <c r="AD63" s="40"/>
      <c r="AE63" s="40"/>
      <c r="AF63" s="40">
        <f>BA63/100*AF25</f>
        <v>7445346575.4551497</v>
      </c>
      <c r="AG63" s="44">
        <f t="shared" si="28"/>
        <v>6.4816931174651489E-3</v>
      </c>
      <c r="AH63" s="44">
        <f t="shared" si="23"/>
        <v>-4.0840913392244382E-3</v>
      </c>
      <c r="AU63" s="39">
        <v>12663928</v>
      </c>
      <c r="AW63" s="39">
        <f t="shared" si="24"/>
        <v>5.1093082429194119E-3</v>
      </c>
      <c r="AX63" s="56">
        <v>7688.9386955007003</v>
      </c>
      <c r="AY63" s="44">
        <f t="shared" si="25"/>
        <v>1.3654085812265352E-3</v>
      </c>
      <c r="AZ63" s="39">
        <f t="shared" si="29"/>
        <v>114.39729574035255</v>
      </c>
      <c r="BA63" s="39">
        <f t="shared" si="19"/>
        <v>129.55132717493751</v>
      </c>
      <c r="BC63" s="44">
        <f t="shared" si="20"/>
        <v>1.351076225001535E-2</v>
      </c>
    </row>
    <row r="64" spans="1:55" s="39" customFormat="1">
      <c r="A64" s="39">
        <f t="shared" si="26"/>
        <v>2027</v>
      </c>
      <c r="B64" s="39">
        <f t="shared" si="27"/>
        <v>3</v>
      </c>
      <c r="C64" s="40"/>
      <c r="D64" s="55">
        <v>126580850.23271701</v>
      </c>
      <c r="E64" s="40"/>
      <c r="F64" s="55">
        <v>23007567.8958029</v>
      </c>
      <c r="G64" s="57">
        <v>2678801</v>
      </c>
      <c r="H64" s="57">
        <v>14737972.7279262</v>
      </c>
      <c r="I64" s="57">
        <v>82850</v>
      </c>
      <c r="J64" s="57">
        <v>455816.25529805501</v>
      </c>
      <c r="K64" s="40"/>
      <c r="L64" s="55">
        <v>2403303.9857542701</v>
      </c>
      <c r="M64" s="43"/>
      <c r="N64" s="55">
        <v>1043263.90061951</v>
      </c>
      <c r="O64" s="40"/>
      <c r="P64" s="55">
        <v>18210485.9754996</v>
      </c>
      <c r="Q64" s="43"/>
      <c r="R64" s="55">
        <v>26453886.9760589</v>
      </c>
      <c r="S64" s="43"/>
      <c r="T64" s="55">
        <v>101148729.656317</v>
      </c>
      <c r="U64" s="40"/>
      <c r="V64" s="55">
        <v>124578.406787892</v>
      </c>
      <c r="W64" s="43"/>
      <c r="X64" s="55">
        <v>312905.04089987901</v>
      </c>
      <c r="Y64" s="40"/>
      <c r="Z64" s="40">
        <f t="shared" si="21"/>
        <v>124329.60067011043</v>
      </c>
      <c r="AA64" s="40"/>
      <c r="AB64" s="40">
        <f t="shared" si="22"/>
        <v>-43642606.551899612</v>
      </c>
      <c r="AC64" s="17"/>
      <c r="AD64" s="40"/>
      <c r="AE64" s="40"/>
      <c r="AF64" s="40">
        <f>BA64/100*AF25</f>
        <v>7500259436.3967352</v>
      </c>
      <c r="AG64" s="44">
        <f t="shared" si="28"/>
        <v>7.3754606834039293E-3</v>
      </c>
      <c r="AH64" s="44">
        <f t="shared" si="23"/>
        <v>-5.8188129253387982E-3</v>
      </c>
      <c r="AU64" s="39">
        <v>12682237</v>
      </c>
      <c r="AW64" s="39">
        <f t="shared" si="24"/>
        <v>1.4457599569422694E-3</v>
      </c>
      <c r="AX64" s="56">
        <v>7734.4659793452001</v>
      </c>
      <c r="AY64" s="44">
        <f t="shared" si="25"/>
        <v>5.9211401790914032E-3</v>
      </c>
      <c r="AZ64" s="39">
        <f t="shared" si="29"/>
        <v>115.07465816454017</v>
      </c>
      <c r="BA64" s="39">
        <f t="shared" si="19"/>
        <v>130.50682789499908</v>
      </c>
      <c r="BC64" s="44">
        <f t="shared" si="20"/>
        <v>1.5546261766027006E-2</v>
      </c>
    </row>
    <row r="65" spans="1:55" s="39" customFormat="1">
      <c r="A65" s="39">
        <f t="shared" si="26"/>
        <v>2027</v>
      </c>
      <c r="B65" s="39">
        <f t="shared" si="27"/>
        <v>4</v>
      </c>
      <c r="C65" s="40"/>
      <c r="D65" s="55">
        <v>127034514.10966501</v>
      </c>
      <c r="E65" s="40"/>
      <c r="F65" s="55">
        <v>23090026.675559498</v>
      </c>
      <c r="G65" s="57">
        <v>2826747</v>
      </c>
      <c r="H65" s="57">
        <v>15551927.9687992</v>
      </c>
      <c r="I65" s="57">
        <v>87425</v>
      </c>
      <c r="J65" s="57">
        <v>480986.55545482802</v>
      </c>
      <c r="K65" s="40"/>
      <c r="L65" s="55">
        <v>2445289.44724483</v>
      </c>
      <c r="M65" s="43"/>
      <c r="N65" s="55">
        <v>1048374.3933751601</v>
      </c>
      <c r="O65" s="40"/>
      <c r="P65" s="55">
        <v>18456465.158066999</v>
      </c>
      <c r="Q65" s="43"/>
      <c r="R65" s="55">
        <v>30518266.8795106</v>
      </c>
      <c r="S65" s="43"/>
      <c r="T65" s="55">
        <v>116689238.48388</v>
      </c>
      <c r="U65" s="40"/>
      <c r="V65" s="55">
        <v>129342.025133442</v>
      </c>
      <c r="W65" s="43"/>
      <c r="X65" s="55">
        <v>324869.87679462502</v>
      </c>
      <c r="Y65" s="40"/>
      <c r="Z65" s="40">
        <f t="shared" si="21"/>
        <v>4063918.3884645551</v>
      </c>
      <c r="AA65" s="40"/>
      <c r="AB65" s="40">
        <f t="shared" si="22"/>
        <v>-28801740.783852011</v>
      </c>
      <c r="AC65" s="17"/>
      <c r="AD65" s="40"/>
      <c r="AE65" s="40"/>
      <c r="AF65" s="40">
        <f>BA65/100*AF25</f>
        <v>7568886702.9024134</v>
      </c>
      <c r="AG65" s="44">
        <f t="shared" si="28"/>
        <v>9.1499856888481185E-3</v>
      </c>
      <c r="AH65" s="44">
        <f t="shared" si="23"/>
        <v>-3.8052810029257688E-3</v>
      </c>
      <c r="AU65" s="39">
        <v>12763586</v>
      </c>
      <c r="AW65" s="39">
        <f t="shared" si="24"/>
        <v>6.4144046511668247E-3</v>
      </c>
      <c r="AX65" s="56">
        <v>7755.4893851827001</v>
      </c>
      <c r="AY65" s="44">
        <f t="shared" si="25"/>
        <v>2.7181457509338949E-3</v>
      </c>
      <c r="AZ65" s="39">
        <f t="shared" si="29"/>
        <v>115.3874478576703</v>
      </c>
      <c r="BA65" s="39">
        <f t="shared" si="19"/>
        <v>131.70096350253527</v>
      </c>
      <c r="BC65" s="44">
        <f t="shared" si="20"/>
        <v>1.3623568545486705E-2</v>
      </c>
    </row>
    <row r="66" spans="1:55" s="29" customFormat="1">
      <c r="A66" s="29">
        <f t="shared" si="26"/>
        <v>2028</v>
      </c>
      <c r="B66" s="29">
        <f t="shared" si="27"/>
        <v>1</v>
      </c>
      <c r="C66" s="30"/>
      <c r="D66" s="52">
        <v>127323468.524106</v>
      </c>
      <c r="E66" s="30"/>
      <c r="F66" s="52">
        <v>23142547.560802702</v>
      </c>
      <c r="G66" s="59">
        <v>2968872</v>
      </c>
      <c r="H66" s="59">
        <v>16333857.7851448</v>
      </c>
      <c r="I66" s="59">
        <v>91820</v>
      </c>
      <c r="J66" s="59">
        <v>505166.54872018599</v>
      </c>
      <c r="K66" s="30"/>
      <c r="L66" s="52">
        <v>3012929.6366578899</v>
      </c>
      <c r="M66" s="33"/>
      <c r="N66" s="52">
        <v>1052537.39530363</v>
      </c>
      <c r="O66" s="30"/>
      <c r="P66" s="52">
        <v>21424856.407705601</v>
      </c>
      <c r="Q66" s="33"/>
      <c r="R66" s="52">
        <v>27145315.373049501</v>
      </c>
      <c r="S66" s="33"/>
      <c r="T66" s="52">
        <v>103792466.059485</v>
      </c>
      <c r="U66" s="30"/>
      <c r="V66" s="52">
        <v>130107.45231432399</v>
      </c>
      <c r="W66" s="33"/>
      <c r="X66" s="52">
        <v>326792.40919421898</v>
      </c>
      <c r="Y66" s="30"/>
      <c r="Z66" s="30">
        <f t="shared" si="21"/>
        <v>67408.232599604875</v>
      </c>
      <c r="AA66" s="30"/>
      <c r="AB66" s="30">
        <f t="shared" si="22"/>
        <v>-44955858.872326598</v>
      </c>
      <c r="AC66" s="17"/>
      <c r="AD66" s="30"/>
      <c r="AE66" s="30"/>
      <c r="AF66" s="30">
        <f>BA66/100*AF25</f>
        <v>7666694381.5761557</v>
      </c>
      <c r="AG66" s="34">
        <f t="shared" si="28"/>
        <v>1.2922333562773022E-2</v>
      </c>
      <c r="AH66" s="34">
        <f t="shared" si="23"/>
        <v>-5.8637864814802178E-3</v>
      </c>
      <c r="AU66" s="29">
        <v>12796280</v>
      </c>
      <c r="AW66" s="29">
        <f t="shared" si="24"/>
        <v>2.561505833862051E-3</v>
      </c>
      <c r="AX66" s="53">
        <v>7835.6373751122001</v>
      </c>
      <c r="AY66" s="34">
        <f t="shared" si="25"/>
        <v>1.033435621517673E-2</v>
      </c>
      <c r="AZ66" s="29">
        <f t="shared" si="29"/>
        <v>116.57990284659159</v>
      </c>
      <c r="BA66" s="29">
        <f t="shared" si="19"/>
        <v>133.40284728345364</v>
      </c>
      <c r="BC66" s="34">
        <f t="shared" si="20"/>
        <v>1.5586487981718539E-2</v>
      </c>
    </row>
    <row r="67" spans="1:55" s="39" customFormat="1">
      <c r="A67" s="39">
        <f t="shared" si="26"/>
        <v>2028</v>
      </c>
      <c r="B67" s="39">
        <f t="shared" si="27"/>
        <v>2</v>
      </c>
      <c r="C67" s="40"/>
      <c r="D67" s="55">
        <v>127769744.93944401</v>
      </c>
      <c r="E67" s="40"/>
      <c r="F67" s="55">
        <v>23223663.581964701</v>
      </c>
      <c r="G67" s="57">
        <v>3136697</v>
      </c>
      <c r="H67" s="57">
        <v>17257181.418764599</v>
      </c>
      <c r="I67" s="57">
        <v>97011</v>
      </c>
      <c r="J67" s="57">
        <v>533725.89912757499</v>
      </c>
      <c r="K67" s="40"/>
      <c r="L67" s="55">
        <v>2363550.8135987502</v>
      </c>
      <c r="M67" s="43"/>
      <c r="N67" s="55">
        <v>1058069.6784387799</v>
      </c>
      <c r="O67" s="40"/>
      <c r="P67" s="55">
        <v>18085663.597356901</v>
      </c>
      <c r="Q67" s="43"/>
      <c r="R67" s="55">
        <v>31343903.675242599</v>
      </c>
      <c r="S67" s="43"/>
      <c r="T67" s="55">
        <v>119846132.331706</v>
      </c>
      <c r="U67" s="40"/>
      <c r="V67" s="55">
        <v>132394.182250752</v>
      </c>
      <c r="W67" s="43"/>
      <c r="X67" s="55">
        <v>332536.01551199303</v>
      </c>
      <c r="Y67" s="40"/>
      <c r="Z67" s="40">
        <f t="shared" si="21"/>
        <v>4831013.7834911197</v>
      </c>
      <c r="AA67" s="40"/>
      <c r="AB67" s="40">
        <f t="shared" si="22"/>
        <v>-26009276.205094904</v>
      </c>
      <c r="AC67" s="17"/>
      <c r="AD67" s="40"/>
      <c r="AE67" s="40"/>
      <c r="AF67" s="40">
        <f>BA67/100*AF25</f>
        <v>7734658941.4087858</v>
      </c>
      <c r="AG67" s="44">
        <f t="shared" si="28"/>
        <v>8.8649105403178566E-3</v>
      </c>
      <c r="AH67" s="44">
        <f t="shared" si="23"/>
        <v>-3.3626920594843437E-3</v>
      </c>
      <c r="AU67" s="39">
        <v>12814356</v>
      </c>
      <c r="AW67" s="39">
        <f t="shared" si="24"/>
        <v>1.4125980363043009E-3</v>
      </c>
      <c r="AX67" s="56">
        <v>7893.9486231452001</v>
      </c>
      <c r="AY67" s="44">
        <f t="shared" si="25"/>
        <v>7.4418002316199725E-3</v>
      </c>
      <c r="AZ67" s="39">
        <f t="shared" si="29"/>
        <v>117.44746719459758</v>
      </c>
      <c r="BA67" s="39">
        <f t="shared" si="19"/>
        <v>134.58545159044513</v>
      </c>
      <c r="BC67" s="44">
        <f t="shared" si="20"/>
        <v>1.3581011129621045E-2</v>
      </c>
    </row>
    <row r="68" spans="1:55" s="39" customFormat="1">
      <c r="A68" s="39">
        <f t="shared" si="26"/>
        <v>2028</v>
      </c>
      <c r="B68" s="39">
        <f t="shared" si="27"/>
        <v>3</v>
      </c>
      <c r="C68" s="40"/>
      <c r="D68" s="55">
        <v>128633334.091818</v>
      </c>
      <c r="E68" s="40"/>
      <c r="F68" s="55">
        <v>23380631.1329078</v>
      </c>
      <c r="G68" s="57">
        <v>3286177</v>
      </c>
      <c r="H68" s="57">
        <v>18079576.275034402</v>
      </c>
      <c r="I68" s="57">
        <v>101634</v>
      </c>
      <c r="J68" s="57">
        <v>559160.28112205805</v>
      </c>
      <c r="K68" s="40"/>
      <c r="L68" s="55">
        <v>2422779.8021591501</v>
      </c>
      <c r="M68" s="43"/>
      <c r="N68" s="55">
        <v>1067576.2492213501</v>
      </c>
      <c r="O68" s="40"/>
      <c r="P68" s="55">
        <v>18445305.4481134</v>
      </c>
      <c r="Q68" s="43"/>
      <c r="R68" s="55">
        <v>27567600.8652917</v>
      </c>
      <c r="S68" s="43"/>
      <c r="T68" s="55">
        <v>105407111.23927499</v>
      </c>
      <c r="U68" s="40"/>
      <c r="V68" s="55">
        <v>132869.30698015899</v>
      </c>
      <c r="W68" s="43"/>
      <c r="X68" s="55">
        <v>333729.39185000199</v>
      </c>
      <c r="Y68" s="40"/>
      <c r="Z68" s="40">
        <f t="shared" si="21"/>
        <v>829482.98798355833</v>
      </c>
      <c r="AA68" s="40"/>
      <c r="AB68" s="40">
        <f t="shared" si="22"/>
        <v>-41671528.300656408</v>
      </c>
      <c r="AC68" s="17"/>
      <c r="AD68" s="40"/>
      <c r="AE68" s="40"/>
      <c r="AF68" s="40">
        <f>BA68/100*AF25</f>
        <v>7802783114.8435659</v>
      </c>
      <c r="AG68" s="44">
        <f t="shared" si="28"/>
        <v>8.8076505959514256E-3</v>
      </c>
      <c r="AH68" s="44">
        <f t="shared" si="23"/>
        <v>-5.3405980516596559E-3</v>
      </c>
      <c r="AU68" s="39">
        <v>12933413</v>
      </c>
      <c r="AW68" s="39">
        <f t="shared" si="24"/>
        <v>9.2909077912303982E-3</v>
      </c>
      <c r="AX68" s="56">
        <v>7890.1689324318004</v>
      </c>
      <c r="AY68" s="44">
        <f t="shared" si="25"/>
        <v>-4.7880862846226763E-4</v>
      </c>
      <c r="AZ68" s="39">
        <f t="shared" si="29"/>
        <v>117.39123233391376</v>
      </c>
      <c r="BA68" s="39">
        <f t="shared" si="19"/>
        <v>135.7708332233521</v>
      </c>
      <c r="BC68" s="44">
        <f t="shared" si="20"/>
        <v>1.5566169315612745E-2</v>
      </c>
    </row>
    <row r="69" spans="1:55" s="39" customFormat="1">
      <c r="A69" s="39">
        <f t="shared" si="26"/>
        <v>2028</v>
      </c>
      <c r="B69" s="39">
        <f t="shared" si="27"/>
        <v>4</v>
      </c>
      <c r="C69" s="40"/>
      <c r="D69" s="55">
        <v>129269089.83917201</v>
      </c>
      <c r="E69" s="40"/>
      <c r="F69" s="55">
        <v>23496187.2655732</v>
      </c>
      <c r="G69" s="57">
        <v>3440053</v>
      </c>
      <c r="H69" s="57">
        <v>18926156.6262745</v>
      </c>
      <c r="I69" s="57">
        <v>106394</v>
      </c>
      <c r="J69" s="57">
        <v>585348.39669500606</v>
      </c>
      <c r="K69" s="40"/>
      <c r="L69" s="55">
        <v>2403390.4584086402</v>
      </c>
      <c r="M69" s="43"/>
      <c r="N69" s="55">
        <v>1073575.18731281</v>
      </c>
      <c r="O69" s="40"/>
      <c r="P69" s="55">
        <v>18377698.438625298</v>
      </c>
      <c r="Q69" s="43"/>
      <c r="R69" s="55">
        <v>31567026.899477601</v>
      </c>
      <c r="S69" s="43"/>
      <c r="T69" s="55">
        <v>120699263.318038</v>
      </c>
      <c r="U69" s="40"/>
      <c r="V69" s="55">
        <v>135699.14035114599</v>
      </c>
      <c r="W69" s="43"/>
      <c r="X69" s="55">
        <v>340837.11741432198</v>
      </c>
      <c r="Y69" s="40"/>
      <c r="Z69" s="40">
        <f t="shared" si="21"/>
        <v>4729573.1285340972</v>
      </c>
      <c r="AA69" s="40"/>
      <c r="AB69" s="40">
        <f t="shared" si="22"/>
        <v>-26947524.959759295</v>
      </c>
      <c r="AC69" s="17"/>
      <c r="AD69" s="40"/>
      <c r="AE69" s="40"/>
      <c r="AF69" s="40">
        <f>BA69/100*AF25</f>
        <v>7821095964.2191477</v>
      </c>
      <c r="AG69" s="44">
        <f t="shared" si="28"/>
        <v>2.3469637828000666E-3</v>
      </c>
      <c r="AH69" s="44">
        <f t="shared" si="23"/>
        <v>-3.4454921769329953E-3</v>
      </c>
      <c r="AU69" s="39">
        <v>12890794</v>
      </c>
      <c r="AW69" s="39">
        <f t="shared" si="24"/>
        <v>-3.2952632070127196E-3</v>
      </c>
      <c r="AX69" s="56">
        <v>7934.8342404827999</v>
      </c>
      <c r="AY69" s="44">
        <f t="shared" si="25"/>
        <v>5.6608810829647752E-3</v>
      </c>
      <c r="AZ69" s="39">
        <f t="shared" si="29"/>
        <v>118.05577014033874</v>
      </c>
      <c r="BA69" s="39">
        <f t="shared" si="19"/>
        <v>136.0894824516879</v>
      </c>
      <c r="BC69" s="44">
        <f t="shared" si="20"/>
        <v>1.3672924413922944E-2</v>
      </c>
    </row>
    <row r="70" spans="1:55" s="29" customFormat="1">
      <c r="A70" s="29">
        <f t="shared" si="26"/>
        <v>2029</v>
      </c>
      <c r="B70" s="29">
        <f t="shared" si="27"/>
        <v>1</v>
      </c>
      <c r="C70" s="30"/>
      <c r="D70" s="52">
        <v>129338424.38489801</v>
      </c>
      <c r="E70" s="30"/>
      <c r="F70" s="52">
        <v>23508789.639987499</v>
      </c>
      <c r="G70" s="59">
        <v>3603193</v>
      </c>
      <c r="H70" s="59">
        <v>19823704.772192702</v>
      </c>
      <c r="I70" s="59">
        <v>111438</v>
      </c>
      <c r="J70" s="59">
        <v>613098.99647440703</v>
      </c>
      <c r="K70" s="30"/>
      <c r="L70" s="52">
        <v>3009598.3669416402</v>
      </c>
      <c r="M70" s="33"/>
      <c r="N70" s="52">
        <v>1075488.2472018299</v>
      </c>
      <c r="O70" s="30"/>
      <c r="P70" s="52">
        <v>21533839.2488597</v>
      </c>
      <c r="Q70" s="33"/>
      <c r="R70" s="52">
        <v>27833428.008266501</v>
      </c>
      <c r="S70" s="33"/>
      <c r="T70" s="52">
        <v>106423524.360129</v>
      </c>
      <c r="U70" s="30"/>
      <c r="V70" s="52">
        <v>137613.96460883101</v>
      </c>
      <c r="W70" s="33"/>
      <c r="X70" s="52">
        <v>345646.60389047401</v>
      </c>
      <c r="Y70" s="30"/>
      <c r="Z70" s="30">
        <f t="shared" si="21"/>
        <v>377165.71874435991</v>
      </c>
      <c r="AA70" s="30"/>
      <c r="AB70" s="30">
        <f t="shared" si="22"/>
        <v>-44448739.273628712</v>
      </c>
      <c r="AC70" s="17"/>
      <c r="AD70" s="30"/>
      <c r="AE70" s="30"/>
      <c r="AF70" s="30">
        <f>BA70/100*AF25</f>
        <v>7876944497.3401184</v>
      </c>
      <c r="AG70" s="34">
        <f t="shared" si="28"/>
        <v>7.1407553847277977E-3</v>
      </c>
      <c r="AH70" s="34">
        <f t="shared" si="23"/>
        <v>-5.6428910078823247E-3</v>
      </c>
      <c r="AU70" s="29">
        <v>12949395</v>
      </c>
      <c r="AW70" s="29">
        <f t="shared" si="24"/>
        <v>4.5459573708182752E-3</v>
      </c>
      <c r="AX70" s="53">
        <v>7955.3303581336004</v>
      </c>
      <c r="AY70" s="34">
        <f t="shared" si="25"/>
        <v>2.5830555534772388E-3</v>
      </c>
      <c r="AZ70" s="29">
        <f t="shared" si="29"/>
        <v>118.36071475301976</v>
      </c>
      <c r="BA70" s="29">
        <f t="shared" si="19"/>
        <v>137.06126415630962</v>
      </c>
      <c r="BC70" s="34">
        <f t="shared" si="20"/>
        <v>1.5614338246520709E-2</v>
      </c>
    </row>
    <row r="71" spans="1:55" s="39" customFormat="1">
      <c r="A71" s="39">
        <f t="shared" si="26"/>
        <v>2029</v>
      </c>
      <c r="B71" s="39">
        <f t="shared" si="27"/>
        <v>2</v>
      </c>
      <c r="C71" s="40"/>
      <c r="D71" s="55">
        <v>130045809.26786</v>
      </c>
      <c r="E71" s="40"/>
      <c r="F71" s="55">
        <v>23637365.215939902</v>
      </c>
      <c r="G71" s="57">
        <v>3706650</v>
      </c>
      <c r="H71" s="57">
        <v>20392894.661442801</v>
      </c>
      <c r="I71" s="57">
        <v>114638</v>
      </c>
      <c r="J71" s="57">
        <v>630704.45232176699</v>
      </c>
      <c r="K71" s="40"/>
      <c r="L71" s="55">
        <v>2462178.3020699001</v>
      </c>
      <c r="M71" s="43"/>
      <c r="N71" s="55">
        <v>1083173.66847003</v>
      </c>
      <c r="O71" s="40"/>
      <c r="P71" s="55">
        <v>18735556.850166399</v>
      </c>
      <c r="Q71" s="43"/>
      <c r="R71" s="55">
        <v>32148505.522497799</v>
      </c>
      <c r="S71" s="43"/>
      <c r="T71" s="55">
        <v>122922597.23089699</v>
      </c>
      <c r="U71" s="40"/>
      <c r="V71" s="55">
        <v>126991.837378189</v>
      </c>
      <c r="W71" s="43"/>
      <c r="X71" s="55">
        <v>318966.88273135998</v>
      </c>
      <c r="Y71" s="40"/>
      <c r="Z71" s="40">
        <f t="shared" si="21"/>
        <v>5092780.173396159</v>
      </c>
      <c r="AA71" s="40"/>
      <c r="AB71" s="40">
        <f t="shared" si="22"/>
        <v>-25858768.887129396</v>
      </c>
      <c r="AC71" s="17"/>
      <c r="AD71" s="40"/>
      <c r="AE71" s="40"/>
      <c r="AF71" s="40">
        <f>BA71/100*AF25</f>
        <v>7906890999.3216343</v>
      </c>
      <c r="AG71" s="44">
        <f t="shared" si="28"/>
        <v>3.8017916708221315E-3</v>
      </c>
      <c r="AH71" s="44">
        <f t="shared" si="23"/>
        <v>-3.2704091771782271E-3</v>
      </c>
      <c r="AU71" s="39">
        <v>12923833</v>
      </c>
      <c r="AW71" s="39">
        <f t="shared" si="24"/>
        <v>-1.9739918351397885E-3</v>
      </c>
      <c r="AX71" s="56">
        <v>8001.3695049004</v>
      </c>
      <c r="AY71" s="44">
        <f t="shared" si="25"/>
        <v>5.7872074061297496E-3</v>
      </c>
      <c r="AZ71" s="39">
        <f t="shared" si="29"/>
        <v>119.04569275803325</v>
      </c>
      <c r="BA71" s="39">
        <f t="shared" si="19"/>
        <v>137.58234252877142</v>
      </c>
      <c r="BC71" s="44">
        <f t="shared" ref="BC71:BC102" si="30">T78/AF78</f>
        <v>1.3663853534062577E-2</v>
      </c>
    </row>
    <row r="72" spans="1:55" s="39" customFormat="1">
      <c r="A72" s="39">
        <f t="shared" si="26"/>
        <v>2029</v>
      </c>
      <c r="B72" s="39">
        <f t="shared" si="27"/>
        <v>3</v>
      </c>
      <c r="C72" s="40"/>
      <c r="D72" s="55">
        <v>130598444.291991</v>
      </c>
      <c r="E72" s="40"/>
      <c r="F72" s="55">
        <v>23737813.173240699</v>
      </c>
      <c r="G72" s="57">
        <v>3838548</v>
      </c>
      <c r="H72" s="57">
        <v>21118558.541241299</v>
      </c>
      <c r="I72" s="57">
        <v>118718</v>
      </c>
      <c r="J72" s="57">
        <v>653151.40852715098</v>
      </c>
      <c r="K72" s="40"/>
      <c r="L72" s="55">
        <v>2496509.6282713502</v>
      </c>
      <c r="M72" s="43"/>
      <c r="N72" s="55">
        <v>1089161.9309912201</v>
      </c>
      <c r="O72" s="40"/>
      <c r="P72" s="55">
        <v>18946647.918598499</v>
      </c>
      <c r="Q72" s="43"/>
      <c r="R72" s="55">
        <v>28479307.332236599</v>
      </c>
      <c r="S72" s="43"/>
      <c r="T72" s="55">
        <v>108893099.934788</v>
      </c>
      <c r="U72" s="40"/>
      <c r="V72" s="55">
        <v>128708.376888781</v>
      </c>
      <c r="W72" s="43"/>
      <c r="X72" s="55">
        <v>323278.335089895</v>
      </c>
      <c r="Y72" s="40"/>
      <c r="Z72" s="40">
        <f t="shared" si="21"/>
        <v>1284530.9766221121</v>
      </c>
      <c r="AA72" s="40"/>
      <c r="AB72" s="40">
        <f t="shared" si="22"/>
        <v>-40651992.275801495</v>
      </c>
      <c r="AC72" s="17"/>
      <c r="AD72" s="40"/>
      <c r="AE72" s="40"/>
      <c r="AF72" s="40">
        <f>BA72/100*AF25</f>
        <v>7992993874.638135</v>
      </c>
      <c r="AG72" s="44">
        <f t="shared" si="28"/>
        <v>1.0889599379059076E-2</v>
      </c>
      <c r="AH72" s="44">
        <f t="shared" si="23"/>
        <v>-5.0859531376335407E-3</v>
      </c>
      <c r="AU72" s="39">
        <v>13004378</v>
      </c>
      <c r="AW72" s="39">
        <f t="shared" si="24"/>
        <v>6.2322841838021274E-3</v>
      </c>
      <c r="AX72" s="56">
        <v>8038.4035976877003</v>
      </c>
      <c r="AY72" s="44">
        <f t="shared" si="25"/>
        <v>4.628469259496012E-3</v>
      </c>
      <c r="AZ72" s="39">
        <f t="shared" si="29"/>
        <v>119.59669208743922</v>
      </c>
      <c r="BA72" s="39">
        <f t="shared" si="19"/>
        <v>139.08055912054223</v>
      </c>
      <c r="BC72" s="44">
        <f t="shared" si="30"/>
        <v>1.5647323891758227E-2</v>
      </c>
    </row>
    <row r="73" spans="1:55" s="39" customFormat="1">
      <c r="A73" s="39">
        <f t="shared" si="26"/>
        <v>2029</v>
      </c>
      <c r="B73" s="39">
        <f t="shared" si="27"/>
        <v>4</v>
      </c>
      <c r="C73" s="40"/>
      <c r="D73" s="55">
        <v>130727356.746307</v>
      </c>
      <c r="E73" s="40"/>
      <c r="F73" s="55">
        <v>23761244.5377784</v>
      </c>
      <c r="G73" s="57">
        <v>3969045</v>
      </c>
      <c r="H73" s="57">
        <v>21836514.532401599</v>
      </c>
      <c r="I73" s="57">
        <v>122754</v>
      </c>
      <c r="J73" s="57">
        <v>675356.28971463395</v>
      </c>
      <c r="K73" s="40"/>
      <c r="L73" s="55">
        <v>2484119.9559368799</v>
      </c>
      <c r="M73" s="43"/>
      <c r="N73" s="55">
        <v>1091073.27237027</v>
      </c>
      <c r="O73" s="40"/>
      <c r="P73" s="55">
        <v>18892873.486287601</v>
      </c>
      <c r="Q73" s="43"/>
      <c r="R73" s="55">
        <v>32777802.886157099</v>
      </c>
      <c r="S73" s="43"/>
      <c r="T73" s="55">
        <v>125328770.24312</v>
      </c>
      <c r="U73" s="40"/>
      <c r="V73" s="55">
        <v>126385.77173464499</v>
      </c>
      <c r="W73" s="43"/>
      <c r="X73" s="55">
        <v>317444.62056835199</v>
      </c>
      <c r="Y73" s="40"/>
      <c r="Z73" s="40">
        <f t="shared" si="21"/>
        <v>5567750.8918061927</v>
      </c>
      <c r="AA73" s="40"/>
      <c r="AB73" s="40">
        <f t="shared" si="22"/>
        <v>-24291459.989474609</v>
      </c>
      <c r="AC73" s="17"/>
      <c r="AD73" s="40"/>
      <c r="AE73" s="40"/>
      <c r="AF73" s="40">
        <f>BA73/100*AF25</f>
        <v>8040860159.7819004</v>
      </c>
      <c r="AG73" s="44">
        <f t="shared" si="28"/>
        <v>5.9885301921281013E-3</v>
      </c>
      <c r="AH73" s="44">
        <f t="shared" si="23"/>
        <v>-3.0210026672237871E-3</v>
      </c>
      <c r="AU73" s="39">
        <v>13040776</v>
      </c>
      <c r="AW73" s="39">
        <f t="shared" si="24"/>
        <v>2.7989035692441424E-3</v>
      </c>
      <c r="AX73" s="56">
        <v>8063.9715415989003</v>
      </c>
      <c r="AY73" s="44">
        <f t="shared" si="25"/>
        <v>3.1807240828956146E-3</v>
      </c>
      <c r="AZ73" s="39">
        <f t="shared" si="29"/>
        <v>119.97709616619639</v>
      </c>
      <c r="BA73" s="39">
        <f t="shared" si="19"/>
        <v>139.91344724797366</v>
      </c>
      <c r="BC73" s="44">
        <f t="shared" si="30"/>
        <v>1.3666253731944961E-2</v>
      </c>
    </row>
    <row r="74" spans="1:55" s="29" customFormat="1">
      <c r="A74" s="29">
        <f t="shared" si="26"/>
        <v>2030</v>
      </c>
      <c r="B74" s="29">
        <f t="shared" si="27"/>
        <v>1</v>
      </c>
      <c r="C74" s="30"/>
      <c r="D74" s="52">
        <v>131389751.245744</v>
      </c>
      <c r="E74" s="30"/>
      <c r="F74" s="52">
        <v>23881642.578963902</v>
      </c>
      <c r="G74" s="59">
        <v>4132503</v>
      </c>
      <c r="H74" s="59">
        <v>22735812.220494598</v>
      </c>
      <c r="I74" s="59">
        <v>127810</v>
      </c>
      <c r="J74" s="59">
        <v>703172.90995346301</v>
      </c>
      <c r="K74" s="30"/>
      <c r="L74" s="52">
        <v>3040641.3007064201</v>
      </c>
      <c r="M74" s="33"/>
      <c r="N74" s="52">
        <v>1098275.47634034</v>
      </c>
      <c r="O74" s="30"/>
      <c r="P74" s="52">
        <v>21820289.791137502</v>
      </c>
      <c r="Q74" s="33"/>
      <c r="R74" s="52">
        <v>28709298.804586399</v>
      </c>
      <c r="S74" s="33"/>
      <c r="T74" s="52">
        <v>109772492.263069</v>
      </c>
      <c r="U74" s="30"/>
      <c r="V74" s="52">
        <v>133407.57533762301</v>
      </c>
      <c r="W74" s="33"/>
      <c r="X74" s="52">
        <v>335081.36677687801</v>
      </c>
      <c r="Y74" s="30"/>
      <c r="Z74" s="30">
        <f t="shared" si="21"/>
        <v>822147.02391336113</v>
      </c>
      <c r="AA74" s="30"/>
      <c r="AB74" s="30">
        <f t="shared" si="22"/>
        <v>-43437548.773812503</v>
      </c>
      <c r="AC74" s="17"/>
      <c r="AD74" s="30"/>
      <c r="AE74" s="30"/>
      <c r="AF74" s="30">
        <f>BA74/100*AF25</f>
        <v>8082792305.7693577</v>
      </c>
      <c r="AG74" s="34">
        <f t="shared" si="28"/>
        <v>5.2148831286968483E-3</v>
      </c>
      <c r="AH74" s="34">
        <f t="shared" si="23"/>
        <v>-5.3740770677489173E-3</v>
      </c>
      <c r="AU74" s="29">
        <v>13059621</v>
      </c>
      <c r="AW74" s="29">
        <f t="shared" si="24"/>
        <v>1.4450827159365363E-3</v>
      </c>
      <c r="AX74" s="53">
        <v>8094.3272383521999</v>
      </c>
      <c r="AY74" s="34">
        <f t="shared" si="25"/>
        <v>3.764360600320359E-3</v>
      </c>
      <c r="AZ74" s="29">
        <f t="shared" si="29"/>
        <v>120.42873321994527</v>
      </c>
      <c r="BA74" s="29">
        <f t="shared" si="19"/>
        <v>140.64307952350492</v>
      </c>
      <c r="BC74" s="34">
        <f t="shared" si="30"/>
        <v>1.5677624409686241E-2</v>
      </c>
    </row>
    <row r="75" spans="1:55" s="39" customFormat="1">
      <c r="A75" s="39">
        <f t="shared" si="26"/>
        <v>2030</v>
      </c>
      <c r="B75" s="39">
        <f t="shared" si="27"/>
        <v>2</v>
      </c>
      <c r="C75" s="40"/>
      <c r="D75" s="55">
        <v>133172522.517914</v>
      </c>
      <c r="E75" s="40"/>
      <c r="F75" s="55">
        <v>24205682.3607454</v>
      </c>
      <c r="G75" s="57">
        <v>4299188</v>
      </c>
      <c r="H75" s="57">
        <v>23652863.910468701</v>
      </c>
      <c r="I75" s="57">
        <v>132964</v>
      </c>
      <c r="J75" s="57">
        <v>731528.69727761694</v>
      </c>
      <c r="K75" s="40"/>
      <c r="L75" s="55">
        <v>2479004.6019961899</v>
      </c>
      <c r="M75" s="43"/>
      <c r="N75" s="55">
        <v>1115817.2946566499</v>
      </c>
      <c r="O75" s="40"/>
      <c r="P75" s="55">
        <v>19002464.2003248</v>
      </c>
      <c r="Q75" s="43"/>
      <c r="R75" s="55">
        <v>33125127.9732779</v>
      </c>
      <c r="S75" s="43"/>
      <c r="T75" s="55">
        <v>126656797.816982</v>
      </c>
      <c r="U75" s="40"/>
      <c r="V75" s="55">
        <v>133648.08346497299</v>
      </c>
      <c r="W75" s="43"/>
      <c r="X75" s="55">
        <v>335685.45385236299</v>
      </c>
      <c r="Y75" s="40"/>
      <c r="Z75" s="40">
        <f t="shared" si="21"/>
        <v>5458271.7993446328</v>
      </c>
      <c r="AA75" s="40"/>
      <c r="AB75" s="40">
        <f t="shared" si="22"/>
        <v>-25518188.9012568</v>
      </c>
      <c r="AC75" s="17"/>
      <c r="AD75" s="40"/>
      <c r="AE75" s="40"/>
      <c r="AF75" s="40">
        <f>BA75/100*AF25</f>
        <v>8136670959.241477</v>
      </c>
      <c r="AG75" s="44">
        <f t="shared" si="28"/>
        <v>6.6658465829514983E-3</v>
      </c>
      <c r="AH75" s="44">
        <f t="shared" si="23"/>
        <v>-3.1361952608239276E-3</v>
      </c>
      <c r="AU75" s="39">
        <v>13070224</v>
      </c>
      <c r="AW75" s="39">
        <f t="shared" si="24"/>
        <v>8.1189186118035123E-4</v>
      </c>
      <c r="AX75" s="56">
        <v>8141.6726241753004</v>
      </c>
      <c r="AY75" s="44">
        <f t="shared" si="25"/>
        <v>5.8492057991886715E-3</v>
      </c>
      <c r="AZ75" s="39">
        <f t="shared" si="29"/>
        <v>121.13314566468431</v>
      </c>
      <c r="BA75" s="39">
        <f t="shared" si="19"/>
        <v>141.58058471456246</v>
      </c>
      <c r="BC75" s="44">
        <f t="shared" si="30"/>
        <v>1.3734933194592715E-2</v>
      </c>
    </row>
    <row r="76" spans="1:55" s="39" customFormat="1">
      <c r="A76" s="39">
        <f t="shared" si="26"/>
        <v>2030</v>
      </c>
      <c r="B76" s="39">
        <f t="shared" si="27"/>
        <v>3</v>
      </c>
      <c r="C76" s="40"/>
      <c r="D76" s="55">
        <v>134051322.83692899</v>
      </c>
      <c r="E76" s="40"/>
      <c r="F76" s="55">
        <v>24365414.721283499</v>
      </c>
      <c r="G76" s="57">
        <v>4431086</v>
      </c>
      <c r="H76" s="57">
        <v>24378527.790267199</v>
      </c>
      <c r="I76" s="57">
        <v>137044</v>
      </c>
      <c r="J76" s="57">
        <v>753975.65348300105</v>
      </c>
      <c r="K76" s="40"/>
      <c r="L76" s="55">
        <v>2489236.9099317398</v>
      </c>
      <c r="M76" s="43"/>
      <c r="N76" s="55">
        <v>1124906.89888537</v>
      </c>
      <c r="O76" s="40"/>
      <c r="P76" s="55">
        <v>19105568.015444301</v>
      </c>
      <c r="Q76" s="43"/>
      <c r="R76" s="55">
        <v>29327745.8884588</v>
      </c>
      <c r="S76" s="43"/>
      <c r="T76" s="55">
        <v>112137178.290115</v>
      </c>
      <c r="U76" s="40"/>
      <c r="V76" s="55">
        <v>134289.977102959</v>
      </c>
      <c r="W76" s="43"/>
      <c r="X76" s="55">
        <v>337297.70560791402</v>
      </c>
      <c r="Y76" s="40"/>
      <c r="Z76" s="40">
        <f t="shared" si="21"/>
        <v>1482477.3354611509</v>
      </c>
      <c r="AA76" s="40"/>
      <c r="AB76" s="40">
        <f t="shared" si="22"/>
        <v>-41019712.562258303</v>
      </c>
      <c r="AC76" s="17"/>
      <c r="AD76" s="40"/>
      <c r="AE76" s="40"/>
      <c r="AF76" s="40">
        <f>BA76/100*AF25</f>
        <v>8201404095.814887</v>
      </c>
      <c r="AG76" s="44">
        <f t="shared" si="28"/>
        <v>7.9557274587695303E-3</v>
      </c>
      <c r="AH76" s="44">
        <f t="shared" si="23"/>
        <v>-5.001547550033578E-3</v>
      </c>
      <c r="AU76" s="39">
        <v>13073376</v>
      </c>
      <c r="AW76" s="39">
        <f t="shared" si="24"/>
        <v>2.4115883553334664E-4</v>
      </c>
      <c r="AX76" s="56">
        <v>8204.4669729304005</v>
      </c>
      <c r="AY76" s="44">
        <f t="shared" si="25"/>
        <v>7.7127086354028896E-3</v>
      </c>
      <c r="AZ76" s="39">
        <f t="shared" si="29"/>
        <v>122.06741032328584</v>
      </c>
      <c r="BA76" s="39">
        <f t="shared" si="19"/>
        <v>142.70696126000476</v>
      </c>
      <c r="BC76" s="44">
        <f t="shared" si="30"/>
        <v>1.5654435871631928E-2</v>
      </c>
    </row>
    <row r="77" spans="1:55" s="39" customFormat="1">
      <c r="A77" s="39">
        <f t="shared" si="26"/>
        <v>2030</v>
      </c>
      <c r="B77" s="39">
        <f t="shared" si="27"/>
        <v>4</v>
      </c>
      <c r="C77" s="40"/>
      <c r="D77" s="55">
        <v>134237888.56298101</v>
      </c>
      <c r="E77" s="40"/>
      <c r="F77" s="55">
        <v>24399325.250413999</v>
      </c>
      <c r="G77" s="57">
        <v>4540674</v>
      </c>
      <c r="H77" s="57">
        <v>24981448.6325798</v>
      </c>
      <c r="I77" s="57">
        <v>140434</v>
      </c>
      <c r="J77" s="57">
        <v>772626.43327129795</v>
      </c>
      <c r="K77" s="40"/>
      <c r="L77" s="55">
        <v>2472311.8376945299</v>
      </c>
      <c r="M77" s="43"/>
      <c r="N77" s="55">
        <v>1127156.6491393801</v>
      </c>
      <c r="O77" s="40"/>
      <c r="P77" s="55">
        <v>19030121.197260901</v>
      </c>
      <c r="Q77" s="43"/>
      <c r="R77" s="55">
        <v>33538101.1423264</v>
      </c>
      <c r="S77" s="43"/>
      <c r="T77" s="55">
        <v>128235836.521926</v>
      </c>
      <c r="U77" s="40"/>
      <c r="V77" s="55">
        <v>135505.609762165</v>
      </c>
      <c r="W77" s="43"/>
      <c r="X77" s="55">
        <v>340351.02437121997</v>
      </c>
      <c r="Y77" s="40"/>
      <c r="Z77" s="40">
        <f t="shared" si="21"/>
        <v>5674813.0148406513</v>
      </c>
      <c r="AA77" s="40"/>
      <c r="AB77" s="40">
        <f t="shared" si="22"/>
        <v>-25032173.23831591</v>
      </c>
      <c r="AC77" s="17"/>
      <c r="AD77" s="40"/>
      <c r="AE77" s="40"/>
      <c r="AF77" s="40">
        <f>BA77/100*AF25</f>
        <v>8212697489.7895765</v>
      </c>
      <c r="AG77" s="44">
        <f t="shared" si="28"/>
        <v>1.3770073810230148E-3</v>
      </c>
      <c r="AH77" s="44">
        <f t="shared" si="23"/>
        <v>-3.0479843278578226E-3</v>
      </c>
      <c r="AU77" s="39">
        <v>13124294</v>
      </c>
      <c r="AW77" s="39">
        <f t="shared" si="24"/>
        <v>3.8947858609742424E-3</v>
      </c>
      <c r="AX77" s="56">
        <v>8183.8900851181997</v>
      </c>
      <c r="AY77" s="44">
        <f t="shared" si="25"/>
        <v>-2.5080103168300394E-3</v>
      </c>
      <c r="AZ77" s="39">
        <f t="shared" si="29"/>
        <v>121.76126399884632</v>
      </c>
      <c r="BA77" s="39">
        <f t="shared" si="19"/>
        <v>142.90346979898314</v>
      </c>
      <c r="BC77" s="44">
        <f t="shared" si="30"/>
        <v>1.3671883975684694E-2</v>
      </c>
    </row>
    <row r="78" spans="1:55" s="29" customFormat="1">
      <c r="A78" s="29">
        <f t="shared" si="26"/>
        <v>2031</v>
      </c>
      <c r="B78" s="29">
        <f t="shared" si="27"/>
        <v>1</v>
      </c>
      <c r="C78" s="30"/>
      <c r="D78" s="52">
        <v>134942931.747455</v>
      </c>
      <c r="E78" s="30"/>
      <c r="F78" s="52">
        <v>24527475.1949469</v>
      </c>
      <c r="G78" s="59">
        <v>4676628</v>
      </c>
      <c r="H78" s="59">
        <v>25729427.427664801</v>
      </c>
      <c r="I78" s="59">
        <v>144638</v>
      </c>
      <c r="J78" s="59">
        <v>795755.60089076695</v>
      </c>
      <c r="K78" s="30"/>
      <c r="L78" s="52">
        <v>3072938.1078408998</v>
      </c>
      <c r="M78" s="33"/>
      <c r="N78" s="52">
        <v>1134339.0587818599</v>
      </c>
      <c r="O78" s="30"/>
      <c r="P78" s="52">
        <v>22186289.267007101</v>
      </c>
      <c r="Q78" s="33"/>
      <c r="R78" s="52">
        <v>29455674.0348568</v>
      </c>
      <c r="S78" s="33"/>
      <c r="T78" s="52">
        <v>112626322.64561801</v>
      </c>
      <c r="U78" s="30"/>
      <c r="V78" s="52">
        <v>134372.46287745101</v>
      </c>
      <c r="W78" s="33"/>
      <c r="X78" s="52">
        <v>337504.88609212899</v>
      </c>
      <c r="Y78" s="30"/>
      <c r="Z78" s="30">
        <f t="shared" ref="Z78:Z109" si="31">R78+V78-N78-L78-F78</f>
        <v>855294.13616459444</v>
      </c>
      <c r="AA78" s="30"/>
      <c r="AB78" s="30">
        <f t="shared" ref="AB78:AB109" si="32">T78-P78-D78</f>
        <v>-44502898.368844092</v>
      </c>
      <c r="AC78" s="17"/>
      <c r="AD78" s="30"/>
      <c r="AE78" s="30"/>
      <c r="AF78" s="30">
        <f>BA78/100*AF25</f>
        <v>8242647095.4809494</v>
      </c>
      <c r="AG78" s="34">
        <f t="shared" si="28"/>
        <v>3.6467440482993159E-3</v>
      </c>
      <c r="AH78" s="34">
        <f t="shared" ref="AH78:AH109" si="33">AB78/AF78</f>
        <v>-5.3991027218965749E-3</v>
      </c>
      <c r="AU78" s="29">
        <v>13123274</v>
      </c>
      <c r="AW78" s="29">
        <f t="shared" si="24"/>
        <v>-7.7718466227592886E-5</v>
      </c>
      <c r="AX78" s="53">
        <v>8214.3730460522002</v>
      </c>
      <c r="AY78" s="34">
        <f t="shared" si="25"/>
        <v>3.724751996539081E-3</v>
      </c>
      <c r="AZ78" s="29">
        <f t="shared" si="29"/>
        <v>122.21479451002715</v>
      </c>
      <c r="BA78" s="29">
        <f t="shared" si="19"/>
        <v>143.4246021769539</v>
      </c>
      <c r="BC78" s="34">
        <f t="shared" si="30"/>
        <v>1.5634399082187157E-2</v>
      </c>
    </row>
    <row r="79" spans="1:55" s="39" customFormat="1">
      <c r="A79" s="39">
        <f t="shared" si="26"/>
        <v>2031</v>
      </c>
      <c r="B79" s="39">
        <f t="shared" si="27"/>
        <v>2</v>
      </c>
      <c r="C79" s="40"/>
      <c r="D79" s="55">
        <v>135349785.67383999</v>
      </c>
      <c r="E79" s="40"/>
      <c r="F79" s="55">
        <v>24601425.712088902</v>
      </c>
      <c r="G79" s="57">
        <v>4862416</v>
      </c>
      <c r="H79" s="57">
        <v>26751578.1873428</v>
      </c>
      <c r="I79" s="57">
        <v>150384</v>
      </c>
      <c r="J79" s="57">
        <v>827368.39754668297</v>
      </c>
      <c r="K79" s="40"/>
      <c r="L79" s="55">
        <v>2455589.2755075102</v>
      </c>
      <c r="M79" s="43"/>
      <c r="N79" s="55">
        <v>1139486.2499428401</v>
      </c>
      <c r="O79" s="40"/>
      <c r="P79" s="55">
        <v>19011181.568376999</v>
      </c>
      <c r="Q79" s="43"/>
      <c r="R79" s="55">
        <v>34008421.5491594</v>
      </c>
      <c r="S79" s="43"/>
      <c r="T79" s="55">
        <v>130034147.360921</v>
      </c>
      <c r="U79" s="40"/>
      <c r="V79" s="55">
        <v>136275.78914556399</v>
      </c>
      <c r="W79" s="43"/>
      <c r="X79" s="55">
        <v>342285.49293344002</v>
      </c>
      <c r="Y79" s="40"/>
      <c r="Z79" s="40">
        <f t="shared" si="31"/>
        <v>5948196.1007657163</v>
      </c>
      <c r="AA79" s="40"/>
      <c r="AB79" s="40">
        <f t="shared" si="32"/>
        <v>-24326819.881295994</v>
      </c>
      <c r="AC79" s="17"/>
      <c r="AD79" s="40"/>
      <c r="AE79" s="40"/>
      <c r="AF79" s="40">
        <f>BA79/100*AF25</f>
        <v>8310312246.3907509</v>
      </c>
      <c r="AG79" s="44">
        <f t="shared" si="28"/>
        <v>8.2091529730660261E-3</v>
      </c>
      <c r="AH79" s="44">
        <f t="shared" si="33"/>
        <v>-2.9273051553341291E-3</v>
      </c>
      <c r="AU79" s="39">
        <v>13165795</v>
      </c>
      <c r="AW79" s="39">
        <f t="shared" ref="AW79:AW110" si="34">(AU79-AU78)/AU78</f>
        <v>3.2401213294792138E-3</v>
      </c>
      <c r="AX79" s="56">
        <v>8255.0586991976998</v>
      </c>
      <c r="AY79" s="44">
        <f t="shared" ref="AY79:AY110" si="35">(AX79-AX78)/AX78</f>
        <v>4.9529833765040642E-3</v>
      </c>
      <c r="AZ79" s="39">
        <f t="shared" si="29"/>
        <v>122.82012235559817</v>
      </c>
      <c r="BA79" s="39">
        <f t="shared" si="19"/>
        <v>144.60199667632565</v>
      </c>
      <c r="BC79" s="44">
        <f t="shared" si="30"/>
        <v>1.3679504552441744E-2</v>
      </c>
    </row>
    <row r="80" spans="1:55" s="39" customFormat="1">
      <c r="A80" s="39">
        <f t="shared" si="26"/>
        <v>2031</v>
      </c>
      <c r="B80" s="39">
        <f t="shared" si="27"/>
        <v>3</v>
      </c>
      <c r="C80" s="40"/>
      <c r="D80" s="55">
        <v>136107051.86671701</v>
      </c>
      <c r="E80" s="40"/>
      <c r="F80" s="55">
        <v>24739067.806574602</v>
      </c>
      <c r="G80" s="57">
        <v>5027465</v>
      </c>
      <c r="H80" s="57">
        <v>27659629.088014901</v>
      </c>
      <c r="I80" s="57">
        <v>155488</v>
      </c>
      <c r="J80" s="57">
        <v>855449.09962322202</v>
      </c>
      <c r="K80" s="40"/>
      <c r="L80" s="55">
        <v>2563810.84230601</v>
      </c>
      <c r="M80" s="43"/>
      <c r="N80" s="55">
        <v>1147122.2406322099</v>
      </c>
      <c r="O80" s="40"/>
      <c r="P80" s="55">
        <v>19614754.760749601</v>
      </c>
      <c r="Q80" s="43"/>
      <c r="R80" s="55">
        <v>29830807.820785701</v>
      </c>
      <c r="S80" s="43"/>
      <c r="T80" s="55">
        <v>114060679.18960001</v>
      </c>
      <c r="U80" s="40"/>
      <c r="V80" s="55">
        <v>140615.65159840099</v>
      </c>
      <c r="W80" s="43"/>
      <c r="X80" s="55">
        <v>353185.97619790398</v>
      </c>
      <c r="Y80" s="40"/>
      <c r="Z80" s="40">
        <f t="shared" si="31"/>
        <v>1521422.5828712806</v>
      </c>
      <c r="AA80" s="40"/>
      <c r="AB80" s="40">
        <f t="shared" si="32"/>
        <v>-41661127.437866598</v>
      </c>
      <c r="AC80" s="17"/>
      <c r="AD80" s="40"/>
      <c r="AE80" s="40"/>
      <c r="AF80" s="40">
        <f>BA80/100*AF25</f>
        <v>8346155532.2203913</v>
      </c>
      <c r="AG80" s="44">
        <f t="shared" si="28"/>
        <v>4.3131093955233119E-3</v>
      </c>
      <c r="AH80" s="44">
        <f t="shared" si="33"/>
        <v>-4.9916548136484549E-3</v>
      </c>
      <c r="AU80" s="39">
        <v>13195674</v>
      </c>
      <c r="AW80" s="39">
        <f t="shared" si="34"/>
        <v>2.2694413820054161E-3</v>
      </c>
      <c r="AX80" s="56">
        <v>8271.8910984675003</v>
      </c>
      <c r="AY80" s="44">
        <f t="shared" si="35"/>
        <v>2.0390405305581306E-3</v>
      </c>
      <c r="AZ80" s="39">
        <f t="shared" si="29"/>
        <v>123.07055756304935</v>
      </c>
      <c r="BA80" s="39">
        <f t="shared" si="19"/>
        <v>145.22568090680176</v>
      </c>
      <c r="BC80" s="44">
        <f t="shared" si="30"/>
        <v>1.5719100871255921E-2</v>
      </c>
    </row>
    <row r="81" spans="1:55" s="39" customFormat="1">
      <c r="A81" s="39">
        <f t="shared" si="26"/>
        <v>2031</v>
      </c>
      <c r="B81" s="39">
        <f t="shared" si="27"/>
        <v>4</v>
      </c>
      <c r="C81" s="40"/>
      <c r="D81" s="55">
        <v>136520034.06523001</v>
      </c>
      <c r="E81" s="40"/>
      <c r="F81" s="55">
        <v>24814132.209717501</v>
      </c>
      <c r="G81" s="57">
        <v>5151883</v>
      </c>
      <c r="H81" s="57">
        <v>28344140.214770202</v>
      </c>
      <c r="I81" s="57">
        <v>159337</v>
      </c>
      <c r="J81" s="57">
        <v>876625.16198462504</v>
      </c>
      <c r="K81" s="40"/>
      <c r="L81" s="55">
        <v>2475964.09289438</v>
      </c>
      <c r="M81" s="43"/>
      <c r="N81" s="55">
        <v>1151207.1393261601</v>
      </c>
      <c r="O81" s="40"/>
      <c r="P81" s="55">
        <v>19181391.467820901</v>
      </c>
      <c r="Q81" s="43"/>
      <c r="R81" s="55">
        <v>34390047.471542597</v>
      </c>
      <c r="S81" s="43"/>
      <c r="T81" s="55">
        <v>131493327.15132099</v>
      </c>
      <c r="U81" s="40"/>
      <c r="V81" s="55">
        <v>141715.669566164</v>
      </c>
      <c r="W81" s="43"/>
      <c r="X81" s="55">
        <v>355948.90418894199</v>
      </c>
      <c r="Y81" s="40"/>
      <c r="Z81" s="40">
        <f t="shared" si="31"/>
        <v>6090459.6991707198</v>
      </c>
      <c r="AA81" s="40"/>
      <c r="AB81" s="40">
        <f t="shared" si="32"/>
        <v>-24208098.381729916</v>
      </c>
      <c r="AC81" s="17"/>
      <c r="AD81" s="40"/>
      <c r="AE81" s="40"/>
      <c r="AF81" s="40">
        <f>BA81/100*AF25</f>
        <v>8387324744.8178024</v>
      </c>
      <c r="AG81" s="44">
        <f t="shared" si="28"/>
        <v>4.9327157202471396E-3</v>
      </c>
      <c r="AH81" s="44">
        <f t="shared" si="33"/>
        <v>-2.8862717395898075E-3</v>
      </c>
      <c r="AU81" s="39">
        <v>13137964</v>
      </c>
      <c r="AW81" s="39">
        <f t="shared" si="34"/>
        <v>-4.373402980401001E-3</v>
      </c>
      <c r="AX81" s="56">
        <v>8349.2084387953</v>
      </c>
      <c r="AY81" s="44">
        <f t="shared" si="35"/>
        <v>9.3469968846814182E-3</v>
      </c>
      <c r="AZ81" s="39">
        <f t="shared" si="29"/>
        <v>124.22089768118717</v>
      </c>
      <c r="BA81" s="39">
        <f t="shared" si="19"/>
        <v>145.94203790599431</v>
      </c>
      <c r="BC81" s="44">
        <f t="shared" si="30"/>
        <v>1.374288509689277E-2</v>
      </c>
    </row>
    <row r="82" spans="1:55" s="29" customFormat="1">
      <c r="A82" s="29">
        <f t="shared" ref="A82:A113" si="36">A78+1</f>
        <v>2032</v>
      </c>
      <c r="B82" s="29">
        <f t="shared" ref="B82:B113" si="37">B78</f>
        <v>1</v>
      </c>
      <c r="C82" s="30"/>
      <c r="D82" s="52">
        <v>136995532.456222</v>
      </c>
      <c r="E82" s="30"/>
      <c r="F82" s="52">
        <v>24900559.670861799</v>
      </c>
      <c r="G82" s="59">
        <v>5305113</v>
      </c>
      <c r="H82" s="59">
        <v>29187166.464611098</v>
      </c>
      <c r="I82" s="59">
        <v>164076</v>
      </c>
      <c r="J82" s="59">
        <v>902697.74175357504</v>
      </c>
      <c r="K82" s="30"/>
      <c r="L82" s="52">
        <v>3039514.7452885802</v>
      </c>
      <c r="M82" s="33"/>
      <c r="N82" s="52">
        <v>1156123.6870979001</v>
      </c>
      <c r="O82" s="30"/>
      <c r="P82" s="52">
        <v>22132707.877325501</v>
      </c>
      <c r="Q82" s="33"/>
      <c r="R82" s="52">
        <v>30392757.639727701</v>
      </c>
      <c r="S82" s="33"/>
      <c r="T82" s="52">
        <v>116209343.02747101</v>
      </c>
      <c r="U82" s="30"/>
      <c r="V82" s="52">
        <v>139036.52008703299</v>
      </c>
      <c r="W82" s="33"/>
      <c r="X82" s="52">
        <v>349219.65311759402</v>
      </c>
      <c r="Y82" s="30"/>
      <c r="Z82" s="30">
        <f t="shared" si="31"/>
        <v>1435596.0565664545</v>
      </c>
      <c r="AA82" s="30"/>
      <c r="AB82" s="30">
        <f t="shared" si="32"/>
        <v>-42918897.306076497</v>
      </c>
      <c r="AC82" s="17"/>
      <c r="AD82" s="30"/>
      <c r="AE82" s="30"/>
      <c r="AF82" s="30">
        <f>BA82/100*AF25</f>
        <v>8460859720.3240337</v>
      </c>
      <c r="AG82" s="34">
        <f t="shared" si="28"/>
        <v>8.7673933874643003E-3</v>
      </c>
      <c r="AH82" s="34">
        <f t="shared" si="33"/>
        <v>-5.0726402191706346E-3</v>
      </c>
      <c r="AU82" s="29">
        <v>13194561</v>
      </c>
      <c r="AW82" s="29">
        <f t="shared" si="34"/>
        <v>4.3078973271657621E-3</v>
      </c>
      <c r="AX82" s="53">
        <v>8386.2819918745008</v>
      </c>
      <c r="AY82" s="34">
        <f t="shared" si="35"/>
        <v>4.4403674133868072E-3</v>
      </c>
      <c r="AZ82" s="29">
        <f t="shared" si="29"/>
        <v>124.77248410731237</v>
      </c>
      <c r="BA82" s="29">
        <f t="shared" si="19"/>
        <v>147.2215691640844</v>
      </c>
      <c r="BC82" s="34">
        <f t="shared" si="30"/>
        <v>1.5693367801057678E-2</v>
      </c>
    </row>
    <row r="83" spans="1:55" s="39" customFormat="1">
      <c r="A83" s="39">
        <f t="shared" si="36"/>
        <v>2032</v>
      </c>
      <c r="B83" s="39">
        <f t="shared" si="37"/>
        <v>2</v>
      </c>
      <c r="C83" s="40"/>
      <c r="D83" s="55">
        <v>137473639.048071</v>
      </c>
      <c r="E83" s="40"/>
      <c r="F83" s="55">
        <v>24987461.2033857</v>
      </c>
      <c r="G83" s="57">
        <v>5476240</v>
      </c>
      <c r="H83" s="57">
        <v>30128656.7279834</v>
      </c>
      <c r="I83" s="57">
        <v>169368</v>
      </c>
      <c r="J83" s="57">
        <v>931812.76436114602</v>
      </c>
      <c r="K83" s="40"/>
      <c r="L83" s="55">
        <v>2460017.2336549899</v>
      </c>
      <c r="M83" s="43"/>
      <c r="N83" s="55">
        <v>1161166.4808584901</v>
      </c>
      <c r="O83" s="40"/>
      <c r="P83" s="55">
        <v>19153436.498049598</v>
      </c>
      <c r="Q83" s="43"/>
      <c r="R83" s="55">
        <v>34805035.260431603</v>
      </c>
      <c r="S83" s="43"/>
      <c r="T83" s="55">
        <v>133080068.92983501</v>
      </c>
      <c r="U83" s="40"/>
      <c r="V83" s="55">
        <v>135170.71039071001</v>
      </c>
      <c r="W83" s="43"/>
      <c r="X83" s="55">
        <v>339509.85370429099</v>
      </c>
      <c r="Y83" s="40"/>
      <c r="Z83" s="40">
        <f t="shared" si="31"/>
        <v>6331561.0529231317</v>
      </c>
      <c r="AA83" s="40"/>
      <c r="AB83" s="40">
        <f t="shared" si="32"/>
        <v>-23547006.616285592</v>
      </c>
      <c r="AC83" s="17"/>
      <c r="AD83" s="40"/>
      <c r="AE83" s="40"/>
      <c r="AF83" s="40">
        <f>BA83/100*AF25</f>
        <v>8501109207.7099428</v>
      </c>
      <c r="AG83" s="44">
        <f t="shared" si="28"/>
        <v>4.7571391934586532E-3</v>
      </c>
      <c r="AH83" s="44">
        <f t="shared" si="33"/>
        <v>-2.7698746176475436E-3</v>
      </c>
      <c r="AU83" s="39">
        <v>13220623</v>
      </c>
      <c r="AW83" s="39">
        <f t="shared" si="34"/>
        <v>1.9752078147958086E-3</v>
      </c>
      <c r="AX83" s="56">
        <v>8409.5660620207</v>
      </c>
      <c r="AY83" s="44">
        <f t="shared" si="35"/>
        <v>2.7764473182226852E-3</v>
      </c>
      <c r="AZ83" s="39">
        <f t="shared" si="29"/>
        <v>125.11890833620008</v>
      </c>
      <c r="BA83" s="39">
        <f t="shared" si="19"/>
        <v>147.92192266087736</v>
      </c>
      <c r="BC83" s="44">
        <f t="shared" si="30"/>
        <v>1.3731748068574252E-2</v>
      </c>
    </row>
    <row r="84" spans="1:55" s="39" customFormat="1">
      <c r="A84" s="39">
        <f t="shared" si="36"/>
        <v>2032</v>
      </c>
      <c r="B84" s="39">
        <f t="shared" si="37"/>
        <v>3</v>
      </c>
      <c r="C84" s="40"/>
      <c r="D84" s="55">
        <v>137417099.616097</v>
      </c>
      <c r="E84" s="40"/>
      <c r="F84" s="55">
        <v>24977184.4923543</v>
      </c>
      <c r="G84" s="57">
        <v>5615183</v>
      </c>
      <c r="H84" s="57">
        <v>30893080.1191708</v>
      </c>
      <c r="I84" s="57">
        <v>173666</v>
      </c>
      <c r="J84" s="57">
        <v>955459.09224613197</v>
      </c>
      <c r="K84" s="40"/>
      <c r="L84" s="55">
        <v>2448119.60507434</v>
      </c>
      <c r="M84" s="43"/>
      <c r="N84" s="55">
        <v>1161046.59293792</v>
      </c>
      <c r="O84" s="40"/>
      <c r="P84" s="55">
        <v>19091040.058819301</v>
      </c>
      <c r="Q84" s="43"/>
      <c r="R84" s="55">
        <v>30523191.507626198</v>
      </c>
      <c r="S84" s="43"/>
      <c r="T84" s="55">
        <v>116708068.22630601</v>
      </c>
      <c r="U84" s="40"/>
      <c r="V84" s="55">
        <v>138186.34873259501</v>
      </c>
      <c r="W84" s="43"/>
      <c r="X84" s="55">
        <v>347084.26778644801</v>
      </c>
      <c r="Y84" s="40"/>
      <c r="Z84" s="40">
        <f t="shared" si="31"/>
        <v>2075027.1659922339</v>
      </c>
      <c r="AA84" s="40"/>
      <c r="AB84" s="40">
        <f t="shared" si="32"/>
        <v>-39800071.448610306</v>
      </c>
      <c r="AC84" s="17"/>
      <c r="AD84" s="40"/>
      <c r="AE84" s="40"/>
      <c r="AF84" s="40">
        <f>BA84/100*AF25</f>
        <v>8536355957.5161781</v>
      </c>
      <c r="AG84" s="44">
        <f t="shared" si="28"/>
        <v>4.1461353977512543E-3</v>
      </c>
      <c r="AH84" s="44">
        <f t="shared" si="33"/>
        <v>-4.662419379731551E-3</v>
      </c>
      <c r="AU84" s="39">
        <v>13236947</v>
      </c>
      <c r="AW84" s="39">
        <f t="shared" si="34"/>
        <v>1.234737576285172E-3</v>
      </c>
      <c r="AX84" s="56">
        <v>8434.0194608027996</v>
      </c>
      <c r="AY84" s="44">
        <f t="shared" si="35"/>
        <v>2.9078074423525969E-3</v>
      </c>
      <c r="AZ84" s="39">
        <f t="shared" si="29"/>
        <v>125.4827300290391</v>
      </c>
      <c r="BA84" s="39">
        <f t="shared" si="19"/>
        <v>148.53522698052504</v>
      </c>
      <c r="BC84" s="44">
        <f t="shared" si="30"/>
        <v>1.5754610875853156E-2</v>
      </c>
    </row>
    <row r="85" spans="1:55" s="39" customFormat="1">
      <c r="A85" s="39">
        <f t="shared" si="36"/>
        <v>2032</v>
      </c>
      <c r="B85" s="39">
        <f t="shared" si="37"/>
        <v>4</v>
      </c>
      <c r="C85" s="40"/>
      <c r="D85" s="55">
        <v>138625917.11886001</v>
      </c>
      <c r="E85" s="40"/>
      <c r="F85" s="55">
        <v>25196901.382526401</v>
      </c>
      <c r="G85" s="57">
        <v>5791520</v>
      </c>
      <c r="H85" s="57">
        <v>31863234.265344501</v>
      </c>
      <c r="I85" s="57">
        <v>179119</v>
      </c>
      <c r="J85" s="57">
        <v>985459.88935102394</v>
      </c>
      <c r="K85" s="40"/>
      <c r="L85" s="55">
        <v>2456968.9542953498</v>
      </c>
      <c r="M85" s="43"/>
      <c r="N85" s="55">
        <v>1173351.3045276699</v>
      </c>
      <c r="O85" s="40"/>
      <c r="P85" s="55">
        <v>19204656.266685199</v>
      </c>
      <c r="Q85" s="43"/>
      <c r="R85" s="55">
        <v>35090049.571913898</v>
      </c>
      <c r="S85" s="43"/>
      <c r="T85" s="55">
        <v>134169845.85246199</v>
      </c>
      <c r="U85" s="40"/>
      <c r="V85" s="55">
        <v>137022.59388922801</v>
      </c>
      <c r="W85" s="43"/>
      <c r="X85" s="55">
        <v>344161.25113974098</v>
      </c>
      <c r="Y85" s="40"/>
      <c r="Z85" s="40">
        <f t="shared" si="31"/>
        <v>6399850.524453707</v>
      </c>
      <c r="AA85" s="40"/>
      <c r="AB85" s="40">
        <f t="shared" si="32"/>
        <v>-23660727.533083215</v>
      </c>
      <c r="AC85" s="17"/>
      <c r="AD85" s="40"/>
      <c r="AE85" s="40"/>
      <c r="AF85" s="40">
        <f>BA85/100*AF25</f>
        <v>8581707883.1847534</v>
      </c>
      <c r="AG85" s="44">
        <f t="shared" si="28"/>
        <v>5.3127969234510845E-3</v>
      </c>
      <c r="AH85" s="44">
        <f t="shared" si="33"/>
        <v>-2.7571117375650516E-3</v>
      </c>
      <c r="AU85" s="39">
        <v>13228592</v>
      </c>
      <c r="AW85" s="39">
        <f t="shared" si="34"/>
        <v>-6.3118784112378788E-4</v>
      </c>
      <c r="AX85" s="56">
        <v>8484.1828064757992</v>
      </c>
      <c r="AY85" s="44">
        <f t="shared" si="35"/>
        <v>5.9477389050540319E-3</v>
      </c>
      <c r="AZ85" s="39">
        <f t="shared" si="29"/>
        <v>126.2290685443452</v>
      </c>
      <c r="BA85" s="39">
        <f t="shared" si="19"/>
        <v>149.32436447745127</v>
      </c>
      <c r="BC85" s="44">
        <f t="shared" si="30"/>
        <v>1.376456490142319E-2</v>
      </c>
    </row>
    <row r="86" spans="1:55" s="29" customFormat="1">
      <c r="A86" s="29">
        <f t="shared" si="36"/>
        <v>2033</v>
      </c>
      <c r="B86" s="29">
        <f t="shared" si="37"/>
        <v>1</v>
      </c>
      <c r="C86" s="30"/>
      <c r="D86" s="52">
        <v>139693467.687374</v>
      </c>
      <c r="E86" s="30"/>
      <c r="F86" s="52">
        <v>25390941.335190099</v>
      </c>
      <c r="G86" s="59">
        <v>5916952</v>
      </c>
      <c r="H86" s="59">
        <v>32553324.120921399</v>
      </c>
      <c r="I86" s="59">
        <v>182999</v>
      </c>
      <c r="J86" s="59">
        <v>1006806.50456595</v>
      </c>
      <c r="K86" s="30"/>
      <c r="L86" s="52">
        <v>3159442.6509256498</v>
      </c>
      <c r="M86" s="33"/>
      <c r="N86" s="52">
        <v>1183952.5577767901</v>
      </c>
      <c r="O86" s="30"/>
      <c r="P86" s="52">
        <v>22908120.5854205</v>
      </c>
      <c r="Q86" s="33"/>
      <c r="R86" s="52">
        <v>30834350.323013101</v>
      </c>
      <c r="S86" s="33"/>
      <c r="T86" s="52">
        <v>117897810.925602</v>
      </c>
      <c r="U86" s="30"/>
      <c r="V86" s="52">
        <v>138424.574124826</v>
      </c>
      <c r="W86" s="33"/>
      <c r="X86" s="52">
        <v>347682.62128944602</v>
      </c>
      <c r="Y86" s="30"/>
      <c r="Z86" s="30">
        <f t="shared" si="31"/>
        <v>1238438.353245385</v>
      </c>
      <c r="AA86" s="30"/>
      <c r="AB86" s="30">
        <f t="shared" si="32"/>
        <v>-44703777.347192496</v>
      </c>
      <c r="AC86" s="17"/>
      <c r="AD86" s="30"/>
      <c r="AE86" s="30"/>
      <c r="AF86" s="30">
        <f>BA86/100*AF25</f>
        <v>8618573170.8066616</v>
      </c>
      <c r="AG86" s="34">
        <f t="shared" si="28"/>
        <v>4.2957984731854014E-3</v>
      </c>
      <c r="AH86" s="34">
        <f t="shared" si="33"/>
        <v>-5.1869116222875225E-3</v>
      </c>
      <c r="AU86" s="29">
        <v>13225483</v>
      </c>
      <c r="AW86" s="29">
        <f t="shared" si="34"/>
        <v>-2.3502123279635505E-4</v>
      </c>
      <c r="AX86" s="53">
        <v>8522.6321455355992</v>
      </c>
      <c r="AY86" s="34">
        <f t="shared" si="35"/>
        <v>4.5318847951334087E-3</v>
      </c>
      <c r="AZ86" s="29">
        <f t="shared" si="29"/>
        <v>126.80112414078518</v>
      </c>
      <c r="BA86" s="29">
        <f t="shared" si="19"/>
        <v>149.96583185438291</v>
      </c>
      <c r="BC86" s="34">
        <f t="shared" si="30"/>
        <v>1.5682000818058484E-2</v>
      </c>
    </row>
    <row r="87" spans="1:55" s="39" customFormat="1">
      <c r="A87" s="39">
        <f t="shared" si="36"/>
        <v>2033</v>
      </c>
      <c r="B87" s="39">
        <f t="shared" si="37"/>
        <v>2</v>
      </c>
      <c r="C87" s="40"/>
      <c r="D87" s="55">
        <v>140021753.806007</v>
      </c>
      <c r="E87" s="40"/>
      <c r="F87" s="55">
        <v>25450611.223248299</v>
      </c>
      <c r="G87" s="57">
        <v>6123745</v>
      </c>
      <c r="H87" s="57">
        <v>33691038.193122402</v>
      </c>
      <c r="I87" s="57">
        <v>189394</v>
      </c>
      <c r="J87" s="57">
        <v>1041989.90773591</v>
      </c>
      <c r="K87" s="40"/>
      <c r="L87" s="55">
        <v>2457827.2667326401</v>
      </c>
      <c r="M87" s="43"/>
      <c r="N87" s="55">
        <v>1187241.6010644799</v>
      </c>
      <c r="O87" s="40"/>
      <c r="P87" s="55">
        <v>19285530.367247999</v>
      </c>
      <c r="Q87" s="43"/>
      <c r="R87" s="55">
        <v>35638403.139583804</v>
      </c>
      <c r="S87" s="43"/>
      <c r="T87" s="55">
        <v>136266523.245184</v>
      </c>
      <c r="U87" s="40"/>
      <c r="V87" s="55">
        <v>142709.86097839201</v>
      </c>
      <c r="W87" s="43"/>
      <c r="X87" s="55">
        <v>358446.02638312097</v>
      </c>
      <c r="Y87" s="40"/>
      <c r="Z87" s="40">
        <f t="shared" si="31"/>
        <v>6685432.9095167778</v>
      </c>
      <c r="AA87" s="40"/>
      <c r="AB87" s="40">
        <f t="shared" si="32"/>
        <v>-23040760.928070992</v>
      </c>
      <c r="AC87" s="17"/>
      <c r="AD87" s="40"/>
      <c r="AE87" s="40"/>
      <c r="AF87" s="40">
        <f>BA87/100*AF25</f>
        <v>8668849723.737196</v>
      </c>
      <c r="AG87" s="44">
        <f t="shared" si="28"/>
        <v>5.8335123383107153E-3</v>
      </c>
      <c r="AH87" s="44">
        <f t="shared" si="33"/>
        <v>-2.6578798413104772E-3</v>
      </c>
      <c r="AU87" s="39">
        <v>13207008</v>
      </c>
      <c r="AW87" s="39">
        <f t="shared" si="34"/>
        <v>-1.3969244072220273E-3</v>
      </c>
      <c r="AX87" s="56">
        <v>8584.3407003557004</v>
      </c>
      <c r="AY87" s="44">
        <f t="shared" si="35"/>
        <v>7.2405512482931608E-3</v>
      </c>
      <c r="AZ87" s="39">
        <f t="shared" si="29"/>
        <v>127.71923417846772</v>
      </c>
      <c r="BA87" s="39">
        <f t="shared" si="19"/>
        <v>150.84065938483047</v>
      </c>
      <c r="BC87" s="44">
        <f t="shared" si="30"/>
        <v>1.36948707816139E-2</v>
      </c>
    </row>
    <row r="88" spans="1:55" s="39" customFormat="1">
      <c r="A88" s="39">
        <f t="shared" si="36"/>
        <v>2033</v>
      </c>
      <c r="B88" s="39">
        <f t="shared" si="37"/>
        <v>3</v>
      </c>
      <c r="C88" s="40"/>
      <c r="D88" s="55">
        <v>140548948.481076</v>
      </c>
      <c r="E88" s="40"/>
      <c r="F88" s="55">
        <v>25546435.095964</v>
      </c>
      <c r="G88" s="57">
        <v>6298425</v>
      </c>
      <c r="H88" s="57">
        <v>34652076.0141901</v>
      </c>
      <c r="I88" s="57">
        <v>194797</v>
      </c>
      <c r="J88" s="57">
        <v>1071715.61959318</v>
      </c>
      <c r="K88" s="40"/>
      <c r="L88" s="55">
        <v>2480344.48343455</v>
      </c>
      <c r="M88" s="43"/>
      <c r="N88" s="55">
        <v>1193181.0033985199</v>
      </c>
      <c r="O88" s="40"/>
      <c r="P88" s="55">
        <v>19435049.150991399</v>
      </c>
      <c r="Q88" s="43"/>
      <c r="R88" s="55">
        <v>31325108.474872999</v>
      </c>
      <c r="S88" s="43"/>
      <c r="T88" s="55">
        <v>119774267.254081</v>
      </c>
      <c r="U88" s="40"/>
      <c r="V88" s="55">
        <v>135021.125803089</v>
      </c>
      <c r="W88" s="43"/>
      <c r="X88" s="55">
        <v>339134.14034662099</v>
      </c>
      <c r="Y88" s="40"/>
      <c r="Z88" s="40">
        <f t="shared" si="31"/>
        <v>2240169.0178790204</v>
      </c>
      <c r="AA88" s="40"/>
      <c r="AB88" s="40">
        <f t="shared" si="32"/>
        <v>-40209730.377986401</v>
      </c>
      <c r="AC88" s="17"/>
      <c r="AD88" s="40"/>
      <c r="AE88" s="40"/>
      <c r="AF88" s="40">
        <f>BA88/100*AF25</f>
        <v>8715365544.3980713</v>
      </c>
      <c r="AG88" s="44">
        <f t="shared" si="28"/>
        <v>5.3658584637249953E-3</v>
      </c>
      <c r="AH88" s="44">
        <f t="shared" si="33"/>
        <v>-4.6136596535336135E-3</v>
      </c>
      <c r="AU88" s="39">
        <v>13271804</v>
      </c>
      <c r="AW88" s="39">
        <f t="shared" si="34"/>
        <v>4.9061831415563618E-3</v>
      </c>
      <c r="AX88" s="56">
        <v>8588.2674446062993</v>
      </c>
      <c r="AY88" s="44">
        <f t="shared" si="35"/>
        <v>4.5743108150823392E-4</v>
      </c>
      <c r="AZ88" s="39">
        <f t="shared" si="29"/>
        <v>127.77765692588737</v>
      </c>
      <c r="BA88" s="39">
        <f t="shared" si="19"/>
        <v>151.65004901366444</v>
      </c>
      <c r="BC88" s="44">
        <f t="shared" si="30"/>
        <v>1.5677462176475376E-2</v>
      </c>
    </row>
    <row r="89" spans="1:55" s="39" customFormat="1">
      <c r="A89" s="39">
        <f t="shared" si="36"/>
        <v>2033</v>
      </c>
      <c r="B89" s="39">
        <f t="shared" si="37"/>
        <v>4</v>
      </c>
      <c r="C89" s="40"/>
      <c r="D89" s="55">
        <v>141571546.80290699</v>
      </c>
      <c r="E89" s="40"/>
      <c r="F89" s="55">
        <v>25732304.4456833</v>
      </c>
      <c r="G89" s="57">
        <v>6458492</v>
      </c>
      <c r="H89" s="57">
        <v>35532717.420789897</v>
      </c>
      <c r="I89" s="57">
        <v>199747</v>
      </c>
      <c r="J89" s="57">
        <v>1098949.0591070701</v>
      </c>
      <c r="K89" s="40"/>
      <c r="L89" s="55">
        <v>2458796.2513301098</v>
      </c>
      <c r="M89" s="43"/>
      <c r="N89" s="55">
        <v>1203641.6878754101</v>
      </c>
      <c r="O89" s="40"/>
      <c r="P89" s="55">
        <v>19380786.871756401</v>
      </c>
      <c r="Q89" s="43"/>
      <c r="R89" s="55">
        <v>36179246.911655597</v>
      </c>
      <c r="S89" s="43"/>
      <c r="T89" s="55">
        <v>138334486.28354999</v>
      </c>
      <c r="U89" s="40"/>
      <c r="V89" s="55">
        <v>144530.608715521</v>
      </c>
      <c r="W89" s="43"/>
      <c r="X89" s="55">
        <v>363019.21976265201</v>
      </c>
      <c r="Y89" s="40"/>
      <c r="Z89" s="40">
        <f t="shared" si="31"/>
        <v>6929035.1354822926</v>
      </c>
      <c r="AA89" s="40"/>
      <c r="AB89" s="40">
        <f t="shared" si="32"/>
        <v>-22617847.3911134</v>
      </c>
      <c r="AC89" s="17"/>
      <c r="AD89" s="40"/>
      <c r="AE89" s="40"/>
      <c r="AF89" s="40">
        <f>BA89/100*AF25</f>
        <v>8814837454.7257309</v>
      </c>
      <c r="AG89" s="44">
        <f t="shared" si="28"/>
        <v>1.1413395091798144E-2</v>
      </c>
      <c r="AH89" s="44">
        <f t="shared" si="33"/>
        <v>-2.5658836600540745E-3</v>
      </c>
      <c r="AU89" s="39">
        <v>13348129</v>
      </c>
      <c r="AW89" s="39">
        <f t="shared" si="34"/>
        <v>5.7509137416435624E-3</v>
      </c>
      <c r="AX89" s="56">
        <v>8636.6202758797008</v>
      </c>
      <c r="AY89" s="44">
        <f t="shared" si="35"/>
        <v>5.6301031127958907E-3</v>
      </c>
      <c r="AZ89" s="39">
        <f t="shared" si="29"/>
        <v>128.49705830989157</v>
      </c>
      <c r="BA89" s="39">
        <f t="shared" si="19"/>
        <v>153.38089093874791</v>
      </c>
      <c r="BC89" s="44">
        <f t="shared" si="30"/>
        <v>1.3684536471364852E-2</v>
      </c>
    </row>
    <row r="90" spans="1:55" s="29" customFormat="1">
      <c r="A90" s="29">
        <f t="shared" si="36"/>
        <v>2034</v>
      </c>
      <c r="B90" s="29">
        <f t="shared" si="37"/>
        <v>1</v>
      </c>
      <c r="C90" s="30"/>
      <c r="D90" s="52">
        <v>141726386.95678401</v>
      </c>
      <c r="E90" s="30"/>
      <c r="F90" s="52">
        <v>25760448.476528201</v>
      </c>
      <c r="G90" s="59">
        <v>6610115</v>
      </c>
      <c r="H90" s="59">
        <v>36366902.430772498</v>
      </c>
      <c r="I90" s="59">
        <v>204436</v>
      </c>
      <c r="J90" s="59">
        <v>1124746.5536284</v>
      </c>
      <c r="K90" s="30"/>
      <c r="L90" s="52">
        <v>3118462.8331261501</v>
      </c>
      <c r="M90" s="33"/>
      <c r="N90" s="52">
        <v>1205719.2424242201</v>
      </c>
      <c r="O90" s="30"/>
      <c r="P90" s="52">
        <v>22815229.992768899</v>
      </c>
      <c r="Q90" s="33"/>
      <c r="R90" s="52">
        <v>31608928.720689699</v>
      </c>
      <c r="S90" s="33"/>
      <c r="T90" s="52">
        <v>120859478.563145</v>
      </c>
      <c r="U90" s="30"/>
      <c r="V90" s="52">
        <v>139082.143141665</v>
      </c>
      <c r="W90" s="33"/>
      <c r="X90" s="52">
        <v>349334.24507733801</v>
      </c>
      <c r="Y90" s="30"/>
      <c r="Z90" s="30">
        <f t="shared" si="31"/>
        <v>1663380.3117527924</v>
      </c>
      <c r="AA90" s="30"/>
      <c r="AB90" s="30">
        <f t="shared" si="32"/>
        <v>-43682138.386407912</v>
      </c>
      <c r="AC90" s="17"/>
      <c r="AD90" s="30"/>
      <c r="AE90" s="30"/>
      <c r="AF90" s="30">
        <f>BA90/100*AF25</f>
        <v>8801463437.8369904</v>
      </c>
      <c r="AG90" s="34">
        <f t="shared" ref="AG90:AG117" si="38">(AF90-AF89)/AF89</f>
        <v>-1.517216506535873E-3</v>
      </c>
      <c r="AH90" s="34">
        <f t="shared" si="33"/>
        <v>-4.963054007430274E-3</v>
      </c>
      <c r="AU90" s="29">
        <v>13300732</v>
      </c>
      <c r="AW90" s="29">
        <f t="shared" si="34"/>
        <v>-3.5508347274737905E-3</v>
      </c>
      <c r="AX90" s="53">
        <v>8654.2464518778997</v>
      </c>
      <c r="AY90" s="34">
        <f t="shared" si="35"/>
        <v>2.0408649952372267E-3</v>
      </c>
      <c r="AZ90" s="29">
        <f t="shared" ref="AZ90:AZ117" si="39">AZ89*((1+AY90))</f>
        <v>128.75930345818719</v>
      </c>
      <c r="BA90" s="29">
        <f t="shared" si="19"/>
        <v>153.14817891922849</v>
      </c>
      <c r="BC90" s="34">
        <f t="shared" si="30"/>
        <v>1.5711674568452239E-2</v>
      </c>
    </row>
    <row r="91" spans="1:55" s="39" customFormat="1">
      <c r="A91" s="39">
        <f t="shared" si="36"/>
        <v>2034</v>
      </c>
      <c r="B91" s="39">
        <f t="shared" si="37"/>
        <v>2</v>
      </c>
      <c r="C91" s="40"/>
      <c r="D91" s="55">
        <v>142363275.582681</v>
      </c>
      <c r="E91" s="40"/>
      <c r="F91" s="55">
        <v>25876210.523278899</v>
      </c>
      <c r="G91" s="57">
        <v>6822299</v>
      </c>
      <c r="H91" s="57">
        <v>37534276.194371298</v>
      </c>
      <c r="I91" s="57">
        <v>210999</v>
      </c>
      <c r="J91" s="57">
        <v>1160854.2432303501</v>
      </c>
      <c r="K91" s="40"/>
      <c r="L91" s="55">
        <v>2389260.9871066599</v>
      </c>
      <c r="M91" s="43"/>
      <c r="N91" s="55">
        <v>1212072.3488272701</v>
      </c>
      <c r="O91" s="40"/>
      <c r="P91" s="55">
        <v>19066351.064254198</v>
      </c>
      <c r="Q91" s="43"/>
      <c r="R91" s="55">
        <v>36283687.614826098</v>
      </c>
      <c r="S91" s="43"/>
      <c r="T91" s="55">
        <v>138733824.36417499</v>
      </c>
      <c r="U91" s="40"/>
      <c r="V91" s="55">
        <v>136213.85737049501</v>
      </c>
      <c r="W91" s="43"/>
      <c r="X91" s="55">
        <v>342129.938169892</v>
      </c>
      <c r="Y91" s="40"/>
      <c r="Z91" s="40">
        <f t="shared" si="31"/>
        <v>6942357.6129837632</v>
      </c>
      <c r="AA91" s="40"/>
      <c r="AB91" s="40">
        <f t="shared" si="32"/>
        <v>-22695802.282760203</v>
      </c>
      <c r="AC91" s="17"/>
      <c r="AD91" s="40"/>
      <c r="AE91" s="40"/>
      <c r="AF91" s="40">
        <f>BA91/100*AF25</f>
        <v>8805918816.8722172</v>
      </c>
      <c r="AG91" s="44">
        <f t="shared" si="38"/>
        <v>5.0620888977092162E-4</v>
      </c>
      <c r="AH91" s="44">
        <f t="shared" si="33"/>
        <v>-2.5773349442280626E-3</v>
      </c>
      <c r="AU91" s="39">
        <v>13310031</v>
      </c>
      <c r="AW91" s="39">
        <f t="shared" si="34"/>
        <v>6.9913445365262601E-4</v>
      </c>
      <c r="AX91" s="56">
        <v>8652.5779929783002</v>
      </c>
      <c r="AY91" s="44">
        <f t="shared" si="35"/>
        <v>-1.927907772071199E-4</v>
      </c>
      <c r="AZ91" s="39">
        <f t="shared" si="39"/>
        <v>128.73447985200085</v>
      </c>
      <c r="BA91" s="39">
        <f t="shared" ref="BA91:BA117" si="40">BA90*(1+AW91)*(1+AY91)</f>
        <v>153.22570388884961</v>
      </c>
      <c r="BC91" s="44">
        <f t="shared" si="30"/>
        <v>1.3759809646507396E-2</v>
      </c>
    </row>
    <row r="92" spans="1:55" s="39" customFormat="1">
      <c r="A92" s="39">
        <f t="shared" si="36"/>
        <v>2034</v>
      </c>
      <c r="B92" s="39">
        <f t="shared" si="37"/>
        <v>3</v>
      </c>
      <c r="C92" s="40"/>
      <c r="D92" s="55">
        <v>143041535.73751301</v>
      </c>
      <c r="E92" s="40"/>
      <c r="F92" s="55">
        <v>25999492.335137699</v>
      </c>
      <c r="G92" s="57">
        <v>6997631</v>
      </c>
      <c r="H92" s="57">
        <v>38498901.127067998</v>
      </c>
      <c r="I92" s="57">
        <v>216421</v>
      </c>
      <c r="J92" s="57">
        <v>1190684.48748172</v>
      </c>
      <c r="K92" s="40"/>
      <c r="L92" s="55">
        <v>2504485.1786074601</v>
      </c>
      <c r="M92" s="43"/>
      <c r="N92" s="55">
        <v>1219288.9534994301</v>
      </c>
      <c r="O92" s="40"/>
      <c r="P92" s="55">
        <v>19703953.571368299</v>
      </c>
      <c r="Q92" s="43"/>
      <c r="R92" s="55">
        <v>31920864.0028027</v>
      </c>
      <c r="S92" s="43"/>
      <c r="T92" s="55">
        <v>122052190.15026499</v>
      </c>
      <c r="U92" s="40"/>
      <c r="V92" s="55">
        <v>137522.49384499699</v>
      </c>
      <c r="W92" s="43"/>
      <c r="X92" s="55">
        <v>345416.85570347798</v>
      </c>
      <c r="Y92" s="40"/>
      <c r="Z92" s="40">
        <f t="shared" si="31"/>
        <v>2335120.0294031091</v>
      </c>
      <c r="AA92" s="40"/>
      <c r="AB92" s="40">
        <f t="shared" si="32"/>
        <v>-40693299.158616304</v>
      </c>
      <c r="AC92" s="17"/>
      <c r="AD92" s="40"/>
      <c r="AE92" s="40"/>
      <c r="AF92" s="40">
        <f>BA92/100*AF25</f>
        <v>8867130274.32094</v>
      </c>
      <c r="AG92" s="44">
        <f t="shared" si="38"/>
        <v>6.9511721288460157E-3</v>
      </c>
      <c r="AH92" s="44">
        <f t="shared" si="33"/>
        <v>-4.5892298747953909E-3</v>
      </c>
      <c r="AU92" s="39">
        <v>13355653</v>
      </c>
      <c r="AW92" s="39">
        <f t="shared" si="34"/>
        <v>3.4276404014385842E-3</v>
      </c>
      <c r="AX92" s="56">
        <v>8682.9614823846005</v>
      </c>
      <c r="AY92" s="44">
        <f t="shared" si="35"/>
        <v>3.5114955832766699E-3</v>
      </c>
      <c r="AZ92" s="39">
        <f t="shared" si="39"/>
        <v>129.18653040941658</v>
      </c>
      <c r="BA92" s="39">
        <f t="shared" si="40"/>
        <v>154.2908021311446</v>
      </c>
      <c r="BC92" s="44">
        <f t="shared" si="30"/>
        <v>1.5767304728636956E-2</v>
      </c>
    </row>
    <row r="93" spans="1:55" s="39" customFormat="1">
      <c r="A93" s="39">
        <f t="shared" si="36"/>
        <v>2034</v>
      </c>
      <c r="B93" s="39">
        <f t="shared" si="37"/>
        <v>4</v>
      </c>
      <c r="C93" s="40"/>
      <c r="D93" s="55">
        <v>143332586.34608299</v>
      </c>
      <c r="E93" s="40"/>
      <c r="F93" s="55">
        <v>26052394.228476901</v>
      </c>
      <c r="G93" s="57">
        <v>7154351</v>
      </c>
      <c r="H93" s="57">
        <v>39361128.3271925</v>
      </c>
      <c r="I93" s="57">
        <v>221269</v>
      </c>
      <c r="J93" s="57">
        <v>1217356.7530904701</v>
      </c>
      <c r="K93" s="40"/>
      <c r="L93" s="55">
        <v>2499797.41936763</v>
      </c>
      <c r="M93" s="43"/>
      <c r="N93" s="55">
        <v>1221529.67058282</v>
      </c>
      <c r="O93" s="40"/>
      <c r="P93" s="55">
        <v>19691956.530662499</v>
      </c>
      <c r="Q93" s="43"/>
      <c r="R93" s="55">
        <v>36774216.814120501</v>
      </c>
      <c r="S93" s="43"/>
      <c r="T93" s="55">
        <v>140609405.272677</v>
      </c>
      <c r="U93" s="40"/>
      <c r="V93" s="55">
        <v>143568.57622468899</v>
      </c>
      <c r="W93" s="43"/>
      <c r="X93" s="55">
        <v>360602.87150734401</v>
      </c>
      <c r="Y93" s="40"/>
      <c r="Z93" s="40">
        <f t="shared" si="31"/>
        <v>7144064.0719178393</v>
      </c>
      <c r="AA93" s="40"/>
      <c r="AB93" s="40">
        <f t="shared" si="32"/>
        <v>-22415137.604068488</v>
      </c>
      <c r="AC93" s="17"/>
      <c r="AD93" s="40"/>
      <c r="AE93" s="40"/>
      <c r="AF93" s="40">
        <f>BA93/100*AF25</f>
        <v>8966292433.2180462</v>
      </c>
      <c r="AG93" s="44">
        <f t="shared" si="38"/>
        <v>1.1183117404317168E-2</v>
      </c>
      <c r="AH93" s="44">
        <f t="shared" si="33"/>
        <v>-2.499933809991025E-3</v>
      </c>
      <c r="AU93" s="39">
        <v>13461562</v>
      </c>
      <c r="AW93" s="39">
        <f t="shared" si="34"/>
        <v>7.9299005447356265E-3</v>
      </c>
      <c r="AX93" s="56">
        <v>8710.9868010802002</v>
      </c>
      <c r="AY93" s="44">
        <f t="shared" si="35"/>
        <v>3.2276221370387929E-3</v>
      </c>
      <c r="AZ93" s="39">
        <f t="shared" si="39"/>
        <v>129.60349571477326</v>
      </c>
      <c r="BA93" s="39">
        <f t="shared" si="40"/>
        <v>156.01625428578345</v>
      </c>
      <c r="BC93" s="44">
        <f t="shared" si="30"/>
        <v>1.383071993997672E-2</v>
      </c>
    </row>
    <row r="94" spans="1:55" s="29" customFormat="1">
      <c r="A94" s="29">
        <f t="shared" si="36"/>
        <v>2035</v>
      </c>
      <c r="B94" s="29">
        <f t="shared" si="37"/>
        <v>1</v>
      </c>
      <c r="C94" s="30"/>
      <c r="D94" s="52">
        <v>143938494.255202</v>
      </c>
      <c r="E94" s="30"/>
      <c r="F94" s="52">
        <v>26162525.163227499</v>
      </c>
      <c r="G94" s="59">
        <v>7327302</v>
      </c>
      <c r="H94" s="59">
        <v>40312653.7003977</v>
      </c>
      <c r="I94" s="59">
        <v>226618</v>
      </c>
      <c r="J94" s="59">
        <v>1246785.3728803201</v>
      </c>
      <c r="K94" s="30"/>
      <c r="L94" s="52">
        <v>3025866.1841020999</v>
      </c>
      <c r="M94" s="33"/>
      <c r="N94" s="52">
        <v>1227615.2645107601</v>
      </c>
      <c r="O94" s="30"/>
      <c r="P94" s="52">
        <v>22455210.9939464</v>
      </c>
      <c r="Q94" s="33"/>
      <c r="R94" s="52">
        <v>32330720.391824398</v>
      </c>
      <c r="S94" s="33"/>
      <c r="T94" s="52">
        <v>123619311.576639</v>
      </c>
      <c r="U94" s="30"/>
      <c r="V94" s="52">
        <v>145929.90814936601</v>
      </c>
      <c r="W94" s="33"/>
      <c r="X94" s="52">
        <v>366533.85651124897</v>
      </c>
      <c r="Y94" s="30"/>
      <c r="Z94" s="30">
        <f t="shared" si="31"/>
        <v>2060643.6881334074</v>
      </c>
      <c r="AA94" s="30"/>
      <c r="AB94" s="30">
        <f t="shared" si="32"/>
        <v>-42774393.672509402</v>
      </c>
      <c r="AC94" s="17"/>
      <c r="AD94" s="30"/>
      <c r="AE94" s="30"/>
      <c r="AF94" s="30">
        <f>BA94/100*AF25</f>
        <v>9026686965.3567352</v>
      </c>
      <c r="AG94" s="34">
        <f t="shared" si="38"/>
        <v>6.7357308038427594E-3</v>
      </c>
      <c r="AH94" s="34">
        <f t="shared" si="33"/>
        <v>-4.7386592485894356E-3</v>
      </c>
      <c r="AU94" s="29">
        <v>13482810</v>
      </c>
      <c r="AW94" s="29">
        <f t="shared" si="34"/>
        <v>1.578420097162573E-3</v>
      </c>
      <c r="AX94" s="53">
        <v>8755.8412673840994</v>
      </c>
      <c r="AY94" s="34">
        <f t="shared" si="35"/>
        <v>5.149183132539828E-3</v>
      </c>
      <c r="AZ94" s="29">
        <f t="shared" si="39"/>
        <v>130.27084784882598</v>
      </c>
      <c r="BA94" s="29">
        <f t="shared" si="40"/>
        <v>157.06713777567637</v>
      </c>
      <c r="BC94" s="34">
        <f t="shared" si="30"/>
        <v>1.5797280149376893E-2</v>
      </c>
    </row>
    <row r="95" spans="1:55" s="39" customFormat="1">
      <c r="A95" s="39">
        <f t="shared" si="36"/>
        <v>2035</v>
      </c>
      <c r="B95" s="39">
        <f t="shared" si="37"/>
        <v>2</v>
      </c>
      <c r="C95" s="40"/>
      <c r="D95" s="55">
        <v>144775426.38975099</v>
      </c>
      <c r="E95" s="40"/>
      <c r="F95" s="55">
        <v>26314647.485635702</v>
      </c>
      <c r="G95" s="57">
        <v>7517183</v>
      </c>
      <c r="H95" s="57">
        <v>41357322.938445397</v>
      </c>
      <c r="I95" s="57">
        <v>232490</v>
      </c>
      <c r="J95" s="57">
        <v>1279091.3843602301</v>
      </c>
      <c r="K95" s="40"/>
      <c r="L95" s="55">
        <v>2423997.41162779</v>
      </c>
      <c r="M95" s="43"/>
      <c r="N95" s="55">
        <v>1236306.3133217699</v>
      </c>
      <c r="O95" s="40"/>
      <c r="P95" s="55">
        <v>19379926.658697601</v>
      </c>
      <c r="Q95" s="43"/>
      <c r="R95" s="55">
        <v>37227581.368402697</v>
      </c>
      <c r="S95" s="43"/>
      <c r="T95" s="55">
        <v>142342883.939852</v>
      </c>
      <c r="U95" s="40"/>
      <c r="V95" s="55">
        <v>144586.984604567</v>
      </c>
      <c r="W95" s="43"/>
      <c r="X95" s="55">
        <v>363160.81974231597</v>
      </c>
      <c r="Y95" s="40"/>
      <c r="Z95" s="40">
        <f t="shared" si="31"/>
        <v>7397217.1424220018</v>
      </c>
      <c r="AA95" s="40"/>
      <c r="AB95" s="40">
        <f t="shared" si="32"/>
        <v>-21812469.108596593</v>
      </c>
      <c r="AC95" s="17"/>
      <c r="AD95" s="40"/>
      <c r="AE95" s="40"/>
      <c r="AF95" s="40">
        <f>BA95/100*AF25</f>
        <v>9079459566.7047997</v>
      </c>
      <c r="AG95" s="44">
        <f t="shared" si="38"/>
        <v>5.8462868548116139E-3</v>
      </c>
      <c r="AH95" s="44">
        <f t="shared" si="33"/>
        <v>-2.4023972956039026E-3</v>
      </c>
      <c r="AU95" s="39">
        <v>13457118</v>
      </c>
      <c r="AW95" s="39">
        <f t="shared" si="34"/>
        <v>-1.905537495522076E-3</v>
      </c>
      <c r="AX95" s="56">
        <v>8823.8445938166005</v>
      </c>
      <c r="AY95" s="44">
        <f t="shared" si="35"/>
        <v>7.766623943471493E-3</v>
      </c>
      <c r="AZ95" s="39">
        <f t="shared" si="39"/>
        <v>131.282612534865</v>
      </c>
      <c r="BA95" s="39">
        <f t="shared" si="40"/>
        <v>157.98539731857718</v>
      </c>
      <c r="BC95" s="44">
        <f t="shared" si="30"/>
        <v>1.3831061582128051E-2</v>
      </c>
    </row>
    <row r="96" spans="1:55" s="39" customFormat="1">
      <c r="A96" s="39">
        <f t="shared" si="36"/>
        <v>2035</v>
      </c>
      <c r="B96" s="39">
        <f t="shared" si="37"/>
        <v>3</v>
      </c>
      <c r="C96" s="40"/>
      <c r="D96" s="55">
        <v>145281682.03031</v>
      </c>
      <c r="E96" s="40"/>
      <c r="F96" s="55">
        <v>26406665.4409693</v>
      </c>
      <c r="G96" s="57">
        <v>7689534</v>
      </c>
      <c r="H96" s="57">
        <v>42305547.288679197</v>
      </c>
      <c r="I96" s="57">
        <v>237820</v>
      </c>
      <c r="J96" s="57">
        <v>1308415.4717559901</v>
      </c>
      <c r="K96" s="40"/>
      <c r="L96" s="55">
        <v>2417363.9550961801</v>
      </c>
      <c r="M96" s="43"/>
      <c r="N96" s="55">
        <v>1241909.2140692</v>
      </c>
      <c r="O96" s="40"/>
      <c r="P96" s="55">
        <v>19376331.1280104</v>
      </c>
      <c r="Q96" s="43"/>
      <c r="R96" s="55">
        <v>32771054.536383498</v>
      </c>
      <c r="S96" s="43"/>
      <c r="T96" s="55">
        <v>125302967.34287</v>
      </c>
      <c r="U96" s="40"/>
      <c r="V96" s="55">
        <v>147196.840476896</v>
      </c>
      <c r="W96" s="43"/>
      <c r="X96" s="55">
        <v>369716.025251279</v>
      </c>
      <c r="Y96" s="40"/>
      <c r="Z96" s="40">
        <f t="shared" si="31"/>
        <v>2852312.7667257152</v>
      </c>
      <c r="AA96" s="40"/>
      <c r="AB96" s="40">
        <f t="shared" si="32"/>
        <v>-39355045.8154504</v>
      </c>
      <c r="AC96" s="17"/>
      <c r="AD96" s="40"/>
      <c r="AE96" s="40"/>
      <c r="AF96" s="40">
        <f>BA96/100*AF25</f>
        <v>9156537205.7043209</v>
      </c>
      <c r="AG96" s="44">
        <f t="shared" si="38"/>
        <v>8.4892320333879705E-3</v>
      </c>
      <c r="AH96" s="44">
        <f t="shared" si="33"/>
        <v>-4.298027183347551E-3</v>
      </c>
      <c r="AU96" s="39">
        <v>13509209</v>
      </c>
      <c r="AW96" s="39">
        <f t="shared" si="34"/>
        <v>3.8708882540823375E-3</v>
      </c>
      <c r="AX96" s="56">
        <v>8864.4390051759001</v>
      </c>
      <c r="AY96" s="44">
        <f t="shared" si="35"/>
        <v>4.6005356200115432E-3</v>
      </c>
      <c r="AZ96" s="39">
        <f t="shared" si="39"/>
        <v>131.88658287011984</v>
      </c>
      <c r="BA96" s="39">
        <f t="shared" si="40"/>
        <v>159.32657201430158</v>
      </c>
      <c r="BC96" s="44">
        <f t="shared" si="30"/>
        <v>1.5809651900076018E-2</v>
      </c>
    </row>
    <row r="97" spans="1:55" s="39" customFormat="1">
      <c r="A97" s="39">
        <f t="shared" si="36"/>
        <v>2035</v>
      </c>
      <c r="B97" s="39">
        <f t="shared" si="37"/>
        <v>4</v>
      </c>
      <c r="C97" s="40"/>
      <c r="D97" s="55">
        <v>145791545.19744399</v>
      </c>
      <c r="E97" s="40"/>
      <c r="F97" s="55">
        <v>26499339.1069609</v>
      </c>
      <c r="G97" s="57">
        <v>7872038</v>
      </c>
      <c r="H97" s="57">
        <v>43309630.4492938</v>
      </c>
      <c r="I97" s="57">
        <v>243465</v>
      </c>
      <c r="J97" s="57">
        <v>1339472.59621172</v>
      </c>
      <c r="K97" s="40"/>
      <c r="L97" s="55">
        <v>2418991.6943786601</v>
      </c>
      <c r="M97" s="43"/>
      <c r="N97" s="55">
        <v>1246490.05431696</v>
      </c>
      <c r="O97" s="40"/>
      <c r="P97" s="55">
        <v>19409979.9063619</v>
      </c>
      <c r="Q97" s="43"/>
      <c r="R97" s="55">
        <v>37928865.542666599</v>
      </c>
      <c r="S97" s="43"/>
      <c r="T97" s="55">
        <v>145024304.76164201</v>
      </c>
      <c r="U97" s="40"/>
      <c r="V97" s="55">
        <v>149982.21351673201</v>
      </c>
      <c r="W97" s="43"/>
      <c r="X97" s="55">
        <v>376712.07928201702</v>
      </c>
      <c r="Y97" s="40"/>
      <c r="Z97" s="40">
        <f t="shared" si="31"/>
        <v>7914026.9005268142</v>
      </c>
      <c r="AA97" s="40"/>
      <c r="AB97" s="40">
        <f t="shared" si="32"/>
        <v>-20177220.342163891</v>
      </c>
      <c r="AC97" s="17"/>
      <c r="AD97" s="40"/>
      <c r="AE97" s="40"/>
      <c r="AF97" s="40">
        <f>BA97/100*AF25</f>
        <v>9230353144.7143764</v>
      </c>
      <c r="AG97" s="44">
        <f t="shared" si="38"/>
        <v>8.0615561703904666E-3</v>
      </c>
      <c r="AH97" s="44">
        <f t="shared" si="33"/>
        <v>-2.1859640715608019E-3</v>
      </c>
      <c r="AU97" s="39">
        <v>13505619</v>
      </c>
      <c r="AW97" s="39">
        <f t="shared" si="34"/>
        <v>-2.6574464870593087E-4</v>
      </c>
      <c r="AX97" s="56">
        <v>8938.2754770118008</v>
      </c>
      <c r="AY97" s="44">
        <f t="shared" si="35"/>
        <v>8.3295143429593238E-3</v>
      </c>
      <c r="AZ97" s="39">
        <f t="shared" si="39"/>
        <v>132.9851340537804</v>
      </c>
      <c r="BA97" s="39">
        <f t="shared" si="40"/>
        <v>160.61099212403064</v>
      </c>
      <c r="BC97" s="44">
        <f t="shared" si="30"/>
        <v>1.3800463904444763E-2</v>
      </c>
    </row>
    <row r="98" spans="1:55" s="29" customFormat="1">
      <c r="A98" s="29">
        <f t="shared" si="36"/>
        <v>2036</v>
      </c>
      <c r="B98" s="29">
        <f t="shared" si="37"/>
        <v>1</v>
      </c>
      <c r="C98" s="30"/>
      <c r="D98" s="52">
        <v>147082009.393626</v>
      </c>
      <c r="E98" s="30"/>
      <c r="F98" s="52">
        <v>26733896.250132099</v>
      </c>
      <c r="G98" s="59">
        <v>8120560</v>
      </c>
      <c r="H98" s="59">
        <v>44676925.167449303</v>
      </c>
      <c r="I98" s="59">
        <v>251152</v>
      </c>
      <c r="J98" s="59">
        <v>1381764.2021800501</v>
      </c>
      <c r="K98" s="30"/>
      <c r="L98" s="52">
        <v>3129922.5095300698</v>
      </c>
      <c r="M98" s="33"/>
      <c r="N98" s="52">
        <v>1258525.7768065899</v>
      </c>
      <c r="O98" s="30"/>
      <c r="P98" s="52">
        <v>23165220.279831201</v>
      </c>
      <c r="Q98" s="33"/>
      <c r="R98" s="52">
        <v>33618343.826156199</v>
      </c>
      <c r="S98" s="33"/>
      <c r="T98" s="52">
        <v>128542651.378319</v>
      </c>
      <c r="U98" s="30"/>
      <c r="V98" s="52">
        <v>151883.856384819</v>
      </c>
      <c r="W98" s="33"/>
      <c r="X98" s="52">
        <v>381488.45790779899</v>
      </c>
      <c r="Y98" s="30"/>
      <c r="Z98" s="30">
        <f t="shared" si="31"/>
        <v>2647883.146072261</v>
      </c>
      <c r="AA98" s="30"/>
      <c r="AB98" s="30">
        <f t="shared" si="32"/>
        <v>-41704578.29513821</v>
      </c>
      <c r="AC98" s="17"/>
      <c r="AD98" s="30"/>
      <c r="AE98" s="30"/>
      <c r="AF98" s="30">
        <f>BA98/100*AF25</f>
        <v>9341891688.9556332</v>
      </c>
      <c r="AG98" s="34">
        <f t="shared" si="38"/>
        <v>1.2083886985963001E-2</v>
      </c>
      <c r="AH98" s="34">
        <f t="shared" si="33"/>
        <v>-4.4642541022438817E-3</v>
      </c>
      <c r="AU98" s="29">
        <v>13633034</v>
      </c>
      <c r="AW98" s="29">
        <f t="shared" si="34"/>
        <v>9.4342214155456339E-3</v>
      </c>
      <c r="AX98" s="53">
        <v>8961.7375712106004</v>
      </c>
      <c r="AY98" s="34">
        <f t="shared" si="35"/>
        <v>2.6249016668977551E-3</v>
      </c>
      <c r="AZ98" s="29">
        <f t="shared" si="39"/>
        <v>133.3342069538308</v>
      </c>
      <c r="BA98" s="29">
        <f t="shared" si="40"/>
        <v>162.55179720156082</v>
      </c>
      <c r="BC98" s="34">
        <f t="shared" si="30"/>
        <v>1.5820469257516536E-2</v>
      </c>
    </row>
    <row r="99" spans="1:55" s="39" customFormat="1">
      <c r="A99" s="39">
        <f t="shared" si="36"/>
        <v>2036</v>
      </c>
      <c r="B99" s="39">
        <f t="shared" si="37"/>
        <v>2</v>
      </c>
      <c r="C99" s="40"/>
      <c r="D99" s="55">
        <v>147686674.66867799</v>
      </c>
      <c r="E99" s="40"/>
      <c r="F99" s="55">
        <v>26843801.3214317</v>
      </c>
      <c r="G99" s="57">
        <v>8267217</v>
      </c>
      <c r="H99" s="57">
        <v>45483788.710638799</v>
      </c>
      <c r="I99" s="57">
        <v>255688</v>
      </c>
      <c r="J99" s="57">
        <v>1406719.9358436801</v>
      </c>
      <c r="K99" s="40"/>
      <c r="L99" s="55">
        <v>2445964.36573656</v>
      </c>
      <c r="M99" s="43"/>
      <c r="N99" s="55">
        <v>1264327.89004184</v>
      </c>
      <c r="O99" s="40"/>
      <c r="P99" s="55">
        <v>19648079.7354066</v>
      </c>
      <c r="Q99" s="43"/>
      <c r="R99" s="55">
        <v>38504816.7330001</v>
      </c>
      <c r="S99" s="43"/>
      <c r="T99" s="55">
        <v>147226504.05655</v>
      </c>
      <c r="U99" s="40"/>
      <c r="V99" s="55">
        <v>144250.37022659299</v>
      </c>
      <c r="W99" s="43"/>
      <c r="X99" s="55">
        <v>362315.34147346299</v>
      </c>
      <c r="Y99" s="40"/>
      <c r="Z99" s="40">
        <f t="shared" si="31"/>
        <v>8094973.5260165893</v>
      </c>
      <c r="AA99" s="40"/>
      <c r="AB99" s="40">
        <f t="shared" si="32"/>
        <v>-20108250.347534597</v>
      </c>
      <c r="AC99" s="17"/>
      <c r="AD99" s="40"/>
      <c r="AE99" s="40"/>
      <c r="AF99" s="40">
        <f>BA99/100*AF25</f>
        <v>9337455360.3415623</v>
      </c>
      <c r="AG99" s="44">
        <f t="shared" si="38"/>
        <v>-4.7488546878740861E-4</v>
      </c>
      <c r="AH99" s="44">
        <f t="shared" si="33"/>
        <v>-2.1535043083514178E-3</v>
      </c>
      <c r="AU99" s="39">
        <v>13554802</v>
      </c>
      <c r="AW99" s="39">
        <f t="shared" si="34"/>
        <v>-5.7384145011301225E-3</v>
      </c>
      <c r="AX99" s="56">
        <v>9009.1801824652994</v>
      </c>
      <c r="AY99" s="44">
        <f t="shared" si="35"/>
        <v>5.2939076688774461E-3</v>
      </c>
      <c r="AZ99" s="39">
        <f t="shared" si="39"/>
        <v>134.04006593454736</v>
      </c>
      <c r="BA99" s="39">
        <f t="shared" si="40"/>
        <v>162.47460371514453</v>
      </c>
      <c r="BC99" s="44">
        <f t="shared" si="30"/>
        <v>1.3793979299607259E-2</v>
      </c>
    </row>
    <row r="100" spans="1:55" s="39" customFormat="1">
      <c r="A100" s="39">
        <f t="shared" si="36"/>
        <v>2036</v>
      </c>
      <c r="B100" s="39">
        <f t="shared" si="37"/>
        <v>3</v>
      </c>
      <c r="C100" s="40"/>
      <c r="D100" s="55">
        <v>148304115.62545899</v>
      </c>
      <c r="E100" s="40"/>
      <c r="F100" s="55">
        <v>26956028.524114199</v>
      </c>
      <c r="G100" s="57">
        <v>8473843</v>
      </c>
      <c r="H100" s="57">
        <v>46620583.998112701</v>
      </c>
      <c r="I100" s="57">
        <v>262078</v>
      </c>
      <c r="J100" s="57">
        <v>1441875.8304888799</v>
      </c>
      <c r="K100" s="40"/>
      <c r="L100" s="55">
        <v>2555168.7189791198</v>
      </c>
      <c r="M100" s="43"/>
      <c r="N100" s="55">
        <v>1269665.37067214</v>
      </c>
      <c r="O100" s="40"/>
      <c r="P100" s="55">
        <v>20244106.887134399</v>
      </c>
      <c r="Q100" s="43"/>
      <c r="R100" s="55">
        <v>33969386.831428804</v>
      </c>
      <c r="S100" s="43"/>
      <c r="T100" s="55">
        <v>129884894.734473</v>
      </c>
      <c r="U100" s="40"/>
      <c r="V100" s="55">
        <v>143882.17167361101</v>
      </c>
      <c r="W100" s="43"/>
      <c r="X100" s="55">
        <v>361390.53286296001</v>
      </c>
      <c r="Y100" s="40"/>
      <c r="Z100" s="40">
        <f t="shared" si="31"/>
        <v>3332406.3893369548</v>
      </c>
      <c r="AA100" s="40"/>
      <c r="AB100" s="40">
        <f t="shared" si="32"/>
        <v>-38663327.778120384</v>
      </c>
      <c r="AC100" s="17"/>
      <c r="AD100" s="40"/>
      <c r="AE100" s="40"/>
      <c r="AF100" s="40">
        <f>BA100/100*AF25</f>
        <v>9391043654.8606472</v>
      </c>
      <c r="AG100" s="44">
        <f t="shared" si="38"/>
        <v>5.739068349037299E-3</v>
      </c>
      <c r="AH100" s="44">
        <f t="shared" si="33"/>
        <v>-4.1170427056963889E-3</v>
      </c>
      <c r="AU100" s="39">
        <v>13578516</v>
      </c>
      <c r="AW100" s="39">
        <f t="shared" si="34"/>
        <v>1.7494906970976043E-3</v>
      </c>
      <c r="AX100" s="56">
        <v>9045.0602345661991</v>
      </c>
      <c r="AY100" s="44">
        <f t="shared" si="35"/>
        <v>3.9826101125975538E-3</v>
      </c>
      <c r="AZ100" s="39">
        <f t="shared" si="39"/>
        <v>134.57389525663152</v>
      </c>
      <c r="BA100" s="39">
        <f t="shared" si="40"/>
        <v>163.40705657084848</v>
      </c>
      <c r="BC100" s="44">
        <f t="shared" si="30"/>
        <v>1.5854134159504894E-2</v>
      </c>
    </row>
    <row r="101" spans="1:55" s="39" customFormat="1">
      <c r="A101" s="39">
        <f t="shared" si="36"/>
        <v>2036</v>
      </c>
      <c r="B101" s="39">
        <f t="shared" si="37"/>
        <v>4</v>
      </c>
      <c r="C101" s="40"/>
      <c r="D101" s="55">
        <v>148786903.38292801</v>
      </c>
      <c r="E101" s="40"/>
      <c r="F101" s="55">
        <v>27043780.9139015</v>
      </c>
      <c r="G101" s="57">
        <v>8632226</v>
      </c>
      <c r="H101" s="57">
        <v>47491960.5335728</v>
      </c>
      <c r="I101" s="57">
        <v>266976</v>
      </c>
      <c r="J101" s="57">
        <v>1468823.18134524</v>
      </c>
      <c r="K101" s="40"/>
      <c r="L101" s="55">
        <v>2414102.7088750601</v>
      </c>
      <c r="M101" s="43"/>
      <c r="N101" s="55">
        <v>1274453.4708539201</v>
      </c>
      <c r="O101" s="40"/>
      <c r="P101" s="55">
        <v>19538457.404587101</v>
      </c>
      <c r="Q101" s="43"/>
      <c r="R101" s="55">
        <v>38859882.077434599</v>
      </c>
      <c r="S101" s="43"/>
      <c r="T101" s="55">
        <v>148584127.17511299</v>
      </c>
      <c r="U101" s="40"/>
      <c r="V101" s="55">
        <v>144711.534612063</v>
      </c>
      <c r="W101" s="43"/>
      <c r="X101" s="55">
        <v>363473.65345238103</v>
      </c>
      <c r="Y101" s="40"/>
      <c r="Z101" s="40">
        <f t="shared" si="31"/>
        <v>8272256.5184161812</v>
      </c>
      <c r="AA101" s="40"/>
      <c r="AB101" s="40">
        <f t="shared" si="32"/>
        <v>-19741233.612402126</v>
      </c>
      <c r="AC101" s="17"/>
      <c r="AD101" s="40"/>
      <c r="AE101" s="40"/>
      <c r="AF101" s="40">
        <f>BA101/100*AF25</f>
        <v>9405677798.3375664</v>
      </c>
      <c r="AG101" s="44">
        <f t="shared" si="38"/>
        <v>1.5583085346797198E-3</v>
      </c>
      <c r="AH101" s="44">
        <f t="shared" si="33"/>
        <v>-2.0988634775360206E-3</v>
      </c>
      <c r="AU101" s="39">
        <v>13579925</v>
      </c>
      <c r="AW101" s="39">
        <f t="shared" si="34"/>
        <v>1.03766862299238E-4</v>
      </c>
      <c r="AX101" s="56">
        <v>9058.2152865481003</v>
      </c>
      <c r="AY101" s="44">
        <f t="shared" si="35"/>
        <v>1.4543907548153592E-3</v>
      </c>
      <c r="AZ101" s="39">
        <f t="shared" si="39"/>
        <v>134.76961828573226</v>
      </c>
      <c r="BA101" s="39">
        <f t="shared" si="40"/>
        <v>163.66169518172973</v>
      </c>
      <c r="BC101" s="44">
        <f t="shared" si="30"/>
        <v>1.3852772841875851E-2</v>
      </c>
    </row>
    <row r="102" spans="1:55" s="29" customFormat="1">
      <c r="A102" s="29">
        <f t="shared" si="36"/>
        <v>2037</v>
      </c>
      <c r="B102" s="29">
        <f t="shared" si="37"/>
        <v>1</v>
      </c>
      <c r="C102" s="30"/>
      <c r="D102" s="52">
        <v>149740050.26857799</v>
      </c>
      <c r="E102" s="30"/>
      <c r="F102" s="52">
        <v>27217026.642982502</v>
      </c>
      <c r="G102" s="59">
        <v>8872026</v>
      </c>
      <c r="H102" s="59">
        <v>48811269.381134398</v>
      </c>
      <c r="I102" s="59">
        <v>274392</v>
      </c>
      <c r="J102" s="59">
        <v>1509623.8252715</v>
      </c>
      <c r="K102" s="30"/>
      <c r="L102" s="52">
        <v>3155752.1318999599</v>
      </c>
      <c r="M102" s="33"/>
      <c r="N102" s="52">
        <v>1283717.84649963</v>
      </c>
      <c r="O102" s="30"/>
      <c r="P102" s="52">
        <v>23437849.647686299</v>
      </c>
      <c r="Q102" s="33"/>
      <c r="R102" s="52">
        <v>34151153.345069297</v>
      </c>
      <c r="S102" s="33"/>
      <c r="T102" s="52">
        <v>130579894.75339</v>
      </c>
      <c r="U102" s="30"/>
      <c r="V102" s="52">
        <v>147333.04109186801</v>
      </c>
      <c r="W102" s="33"/>
      <c r="X102" s="52">
        <v>370058.12192836002</v>
      </c>
      <c r="Y102" s="30"/>
      <c r="Z102" s="30">
        <f t="shared" si="31"/>
        <v>2641989.7647790723</v>
      </c>
      <c r="AA102" s="30"/>
      <c r="AB102" s="30">
        <f t="shared" si="32"/>
        <v>-42598005.162874296</v>
      </c>
      <c r="AC102" s="17"/>
      <c r="AD102" s="30"/>
      <c r="AE102" s="30"/>
      <c r="AF102" s="30">
        <f>BA102/100*AF25</f>
        <v>9441060903.2440548</v>
      </c>
      <c r="AG102" s="34">
        <f t="shared" si="38"/>
        <v>3.7618878368066476E-3</v>
      </c>
      <c r="AH102" s="34">
        <f t="shared" si="33"/>
        <v>-4.5119934718604706E-3</v>
      </c>
      <c r="AU102" s="29">
        <v>13589085</v>
      </c>
      <c r="AW102" s="29">
        <f t="shared" si="34"/>
        <v>6.745250802195152E-4</v>
      </c>
      <c r="AX102" s="53">
        <v>9086.1624320144001</v>
      </c>
      <c r="AY102" s="34">
        <f t="shared" si="35"/>
        <v>3.0852816567301885E-3</v>
      </c>
      <c r="AZ102" s="29">
        <f t="shared" si="39"/>
        <v>135.18542051691375</v>
      </c>
      <c r="BA102" s="29">
        <f t="shared" si="40"/>
        <v>164.27737212218506</v>
      </c>
      <c r="BC102" s="34">
        <f t="shared" si="30"/>
        <v>1.5884093990267502E-2</v>
      </c>
    </row>
    <row r="103" spans="1:55" s="39" customFormat="1">
      <c r="A103" s="39">
        <f t="shared" si="36"/>
        <v>2037</v>
      </c>
      <c r="B103" s="39">
        <f t="shared" si="37"/>
        <v>2</v>
      </c>
      <c r="C103" s="40"/>
      <c r="D103" s="55">
        <v>150062150.965624</v>
      </c>
      <c r="E103" s="40"/>
      <c r="F103" s="55">
        <v>27275572.257449102</v>
      </c>
      <c r="G103" s="57">
        <v>9081044</v>
      </c>
      <c r="H103" s="57">
        <v>49961224.746854201</v>
      </c>
      <c r="I103" s="57">
        <v>280857</v>
      </c>
      <c r="J103" s="57">
        <v>1545192.3477881199</v>
      </c>
      <c r="K103" s="40"/>
      <c r="L103" s="55">
        <v>2450422.7427178901</v>
      </c>
      <c r="M103" s="43"/>
      <c r="N103" s="55">
        <v>1287137.25315535</v>
      </c>
      <c r="O103" s="40"/>
      <c r="P103" s="55">
        <v>19796704.6607574</v>
      </c>
      <c r="Q103" s="43"/>
      <c r="R103" s="55">
        <v>39071379.754283898</v>
      </c>
      <c r="S103" s="43"/>
      <c r="T103" s="55">
        <v>149392806.873409</v>
      </c>
      <c r="U103" s="40"/>
      <c r="V103" s="55">
        <v>150684.849339637</v>
      </c>
      <c r="W103" s="43"/>
      <c r="X103" s="55">
        <v>378476.89789362502</v>
      </c>
      <c r="Y103" s="40"/>
      <c r="Z103" s="40">
        <f t="shared" si="31"/>
        <v>8208932.3503011875</v>
      </c>
      <c r="AA103" s="40"/>
      <c r="AB103" s="40">
        <f t="shared" si="32"/>
        <v>-20466048.752972394</v>
      </c>
      <c r="AC103" s="17"/>
      <c r="AD103" s="40"/>
      <c r="AE103" s="40"/>
      <c r="AF103" s="40">
        <f>BA103/100*AF25</f>
        <v>9449468452.4135971</v>
      </c>
      <c r="AG103" s="44">
        <f t="shared" si="38"/>
        <v>8.905301274619872E-4</v>
      </c>
      <c r="AH103" s="44">
        <f t="shared" si="33"/>
        <v>-2.1658412699123754E-3</v>
      </c>
      <c r="AU103" s="39">
        <v>13570552</v>
      </c>
      <c r="AW103" s="39">
        <f t="shared" si="34"/>
        <v>-1.3638151501738343E-3</v>
      </c>
      <c r="AX103" s="56">
        <v>9106.6737530352002</v>
      </c>
      <c r="AY103" s="44">
        <f t="shared" si="35"/>
        <v>2.2574239866690058E-3</v>
      </c>
      <c r="AZ103" s="39">
        <f t="shared" si="39"/>
        <v>135.49059132783657</v>
      </c>
      <c r="BA103" s="39">
        <f t="shared" si="40"/>
        <v>164.42366607132013</v>
      </c>
      <c r="BC103" s="44">
        <f t="shared" ref="BC103:BC117" si="41">T110/AF110</f>
        <v>1.3899599279562169E-2</v>
      </c>
    </row>
    <row r="104" spans="1:55" s="39" customFormat="1">
      <c r="A104" s="39">
        <f t="shared" si="36"/>
        <v>2037</v>
      </c>
      <c r="B104" s="39">
        <f t="shared" si="37"/>
        <v>3</v>
      </c>
      <c r="C104" s="40"/>
      <c r="D104" s="55">
        <v>150360298.85088</v>
      </c>
      <c r="E104" s="40"/>
      <c r="F104" s="55">
        <v>27329764.164837901</v>
      </c>
      <c r="G104" s="57">
        <v>9305218</v>
      </c>
      <c r="H104" s="57">
        <v>51194563.952831097</v>
      </c>
      <c r="I104" s="57">
        <v>287790</v>
      </c>
      <c r="J104" s="57">
        <v>1583335.6682224199</v>
      </c>
      <c r="K104" s="40"/>
      <c r="L104" s="55">
        <v>2480345.9105968401</v>
      </c>
      <c r="M104" s="43"/>
      <c r="N104" s="55">
        <v>1290208.7854736799</v>
      </c>
      <c r="O104" s="40"/>
      <c r="P104" s="55">
        <v>19968874.785696901</v>
      </c>
      <c r="Q104" s="43"/>
      <c r="R104" s="55">
        <v>34262544.286821</v>
      </c>
      <c r="S104" s="43"/>
      <c r="T104" s="55">
        <v>131005807.67362</v>
      </c>
      <c r="U104" s="40"/>
      <c r="V104" s="55">
        <v>148319.131761686</v>
      </c>
      <c r="W104" s="43"/>
      <c r="X104" s="55">
        <v>372534.89739311498</v>
      </c>
      <c r="Y104" s="40"/>
      <c r="Z104" s="40">
        <f t="shared" si="31"/>
        <v>3310544.5576742664</v>
      </c>
      <c r="AA104" s="40"/>
      <c r="AB104" s="40">
        <f t="shared" si="32"/>
        <v>-39323365.962956905</v>
      </c>
      <c r="AC104" s="17"/>
      <c r="AD104" s="40"/>
      <c r="AE104" s="40"/>
      <c r="AF104" s="40">
        <f>BA104/100*AF25</f>
        <v>9492855354.7701035</v>
      </c>
      <c r="AG104" s="44">
        <f t="shared" si="38"/>
        <v>4.5914648612244849E-3</v>
      </c>
      <c r="AH104" s="44">
        <f t="shared" si="33"/>
        <v>-4.1424170592883995E-3</v>
      </c>
      <c r="AU104" s="39">
        <v>13584848</v>
      </c>
      <c r="AW104" s="39">
        <f t="shared" si="34"/>
        <v>1.0534575159507145E-3</v>
      </c>
      <c r="AX104" s="56">
        <v>9138.8593255312007</v>
      </c>
      <c r="AY104" s="44">
        <f t="shared" si="35"/>
        <v>3.5342841270967098E-3</v>
      </c>
      <c r="AZ104" s="39">
        <f t="shared" si="39"/>
        <v>135.96945357413748</v>
      </c>
      <c r="BA104" s="39">
        <f t="shared" si="40"/>
        <v>165.1786115564403</v>
      </c>
      <c r="BC104" s="44">
        <f t="shared" si="41"/>
        <v>1.5860766904972134E-2</v>
      </c>
    </row>
    <row r="105" spans="1:55" s="39" customFormat="1">
      <c r="A105" s="39">
        <f t="shared" si="36"/>
        <v>2037</v>
      </c>
      <c r="B105" s="39">
        <f t="shared" si="37"/>
        <v>4</v>
      </c>
      <c r="C105" s="40"/>
      <c r="D105" s="55">
        <v>151197767.42729199</v>
      </c>
      <c r="E105" s="40"/>
      <c r="F105" s="55">
        <v>27481983.991904799</v>
      </c>
      <c r="G105" s="57">
        <v>9616801</v>
      </c>
      <c r="H105" s="57">
        <v>52908801.6869836</v>
      </c>
      <c r="I105" s="57">
        <v>297426</v>
      </c>
      <c r="J105" s="57">
        <v>1636350.09714278</v>
      </c>
      <c r="K105" s="40"/>
      <c r="L105" s="55">
        <v>2449419.5793433399</v>
      </c>
      <c r="M105" s="43"/>
      <c r="N105" s="55">
        <v>1298300.3790054501</v>
      </c>
      <c r="O105" s="40"/>
      <c r="P105" s="55">
        <v>19852915.4660106</v>
      </c>
      <c r="Q105" s="43"/>
      <c r="R105" s="55">
        <v>39675314.898253404</v>
      </c>
      <c r="S105" s="43"/>
      <c r="T105" s="55">
        <v>151702005.24046201</v>
      </c>
      <c r="U105" s="40"/>
      <c r="V105" s="55">
        <v>152888.35817608301</v>
      </c>
      <c r="W105" s="43"/>
      <c r="X105" s="55">
        <v>384011.47680155199</v>
      </c>
      <c r="Y105" s="40"/>
      <c r="Z105" s="40">
        <f t="shared" si="31"/>
        <v>8598499.3061758988</v>
      </c>
      <c r="AA105" s="40"/>
      <c r="AB105" s="40">
        <f t="shared" si="32"/>
        <v>-19348677.652840585</v>
      </c>
      <c r="AC105" s="17"/>
      <c r="AD105" s="40"/>
      <c r="AE105" s="40"/>
      <c r="AF105" s="40">
        <f>BA105/100*AF25</f>
        <v>9588970009.1156387</v>
      </c>
      <c r="AG105" s="44">
        <f t="shared" si="38"/>
        <v>1.0124946683954078E-2</v>
      </c>
      <c r="AH105" s="44">
        <f t="shared" si="33"/>
        <v>-2.0178056281797731E-3</v>
      </c>
      <c r="AU105" s="39">
        <v>13636180</v>
      </c>
      <c r="AW105" s="39">
        <f t="shared" si="34"/>
        <v>3.7786215937049865E-3</v>
      </c>
      <c r="AX105" s="56">
        <v>9196.6391695986003</v>
      </c>
      <c r="AY105" s="44">
        <f t="shared" si="35"/>
        <v>6.322435000829945E-3</v>
      </c>
      <c r="AZ105" s="39">
        <f t="shared" si="39"/>
        <v>136.82911160645833</v>
      </c>
      <c r="BA105" s="39">
        <f t="shared" si="40"/>
        <v>166.8510361917788</v>
      </c>
      <c r="BC105" s="44">
        <f t="shared" si="41"/>
        <v>1.3865181782225613E-2</v>
      </c>
    </row>
    <row r="106" spans="1:55" s="29" customFormat="1">
      <c r="A106" s="29">
        <f t="shared" si="36"/>
        <v>2038</v>
      </c>
      <c r="B106" s="29">
        <f t="shared" si="37"/>
        <v>1</v>
      </c>
      <c r="C106" s="30"/>
      <c r="D106" s="52">
        <v>152092945.95240101</v>
      </c>
      <c r="E106" s="30"/>
      <c r="F106" s="52">
        <v>27644693.285273001</v>
      </c>
      <c r="G106" s="59">
        <v>9816080</v>
      </c>
      <c r="H106" s="59">
        <v>54005175.948173001</v>
      </c>
      <c r="I106" s="59">
        <v>303590</v>
      </c>
      <c r="J106" s="59">
        <v>1670262.6064687599</v>
      </c>
      <c r="K106" s="30"/>
      <c r="L106" s="52">
        <v>3086574.5561961802</v>
      </c>
      <c r="M106" s="33"/>
      <c r="N106" s="52">
        <v>1307407.33091594</v>
      </c>
      <c r="O106" s="30"/>
      <c r="P106" s="52">
        <v>23209219.432233699</v>
      </c>
      <c r="Q106" s="33"/>
      <c r="R106" s="52">
        <v>34485736.053701997</v>
      </c>
      <c r="S106" s="33"/>
      <c r="T106" s="52">
        <v>131859200.738699</v>
      </c>
      <c r="U106" s="30"/>
      <c r="V106" s="52">
        <v>153675.579482773</v>
      </c>
      <c r="W106" s="33"/>
      <c r="X106" s="52">
        <v>385988.74976175599</v>
      </c>
      <c r="Y106" s="30"/>
      <c r="Z106" s="30">
        <f t="shared" si="31"/>
        <v>2600736.4607996494</v>
      </c>
      <c r="AA106" s="30"/>
      <c r="AB106" s="30">
        <f t="shared" si="32"/>
        <v>-43442964.645935714</v>
      </c>
      <c r="AC106" s="17"/>
      <c r="AD106" s="30"/>
      <c r="AE106" s="30"/>
      <c r="AF106" s="30">
        <f>BA106/100*AF25</f>
        <v>9559185052.7464027</v>
      </c>
      <c r="AG106" s="34">
        <f t="shared" si="38"/>
        <v>-3.1061684770023563E-3</v>
      </c>
      <c r="AH106" s="34">
        <f t="shared" si="33"/>
        <v>-4.5446305732364002E-3</v>
      </c>
      <c r="AU106" s="29">
        <v>13583020</v>
      </c>
      <c r="AW106" s="29">
        <f t="shared" si="34"/>
        <v>-3.8984524991603222E-3</v>
      </c>
      <c r="AX106" s="53">
        <v>9203.9540365315006</v>
      </c>
      <c r="AY106" s="34">
        <f t="shared" si="35"/>
        <v>7.9538479198804166E-4</v>
      </c>
      <c r="AZ106" s="29">
        <f t="shared" si="39"/>
        <v>136.93794340093135</v>
      </c>
      <c r="BA106" s="29">
        <f t="shared" si="40"/>
        <v>166.33276876280473</v>
      </c>
      <c r="BC106" s="34">
        <f t="shared" si="41"/>
        <v>1.5848769370842175E-2</v>
      </c>
    </row>
    <row r="107" spans="1:55" s="39" customFormat="1">
      <c r="A107" s="39">
        <f t="shared" si="36"/>
        <v>2038</v>
      </c>
      <c r="B107" s="39">
        <f t="shared" si="37"/>
        <v>2</v>
      </c>
      <c r="C107" s="40"/>
      <c r="D107" s="55">
        <v>152309986.021754</v>
      </c>
      <c r="E107" s="40"/>
      <c r="F107" s="55">
        <v>27684142.887030002</v>
      </c>
      <c r="G107" s="57">
        <v>10077864</v>
      </c>
      <c r="H107" s="57">
        <v>55445434.277405903</v>
      </c>
      <c r="I107" s="57">
        <v>311687</v>
      </c>
      <c r="J107" s="57">
        <v>1714809.9114675301</v>
      </c>
      <c r="K107" s="40"/>
      <c r="L107" s="55">
        <v>2510919.3933905698</v>
      </c>
      <c r="M107" s="43"/>
      <c r="N107" s="55">
        <v>1309790.1825896399</v>
      </c>
      <c r="O107" s="40"/>
      <c r="P107" s="55">
        <v>20235251.802739602</v>
      </c>
      <c r="Q107" s="43"/>
      <c r="R107" s="55">
        <v>40063107.172011703</v>
      </c>
      <c r="S107" s="43"/>
      <c r="T107" s="55">
        <v>153184762.60979301</v>
      </c>
      <c r="U107" s="40"/>
      <c r="V107" s="55">
        <v>151023.79560440499</v>
      </c>
      <c r="W107" s="43"/>
      <c r="X107" s="55">
        <v>379328.23318980302</v>
      </c>
      <c r="Y107" s="40"/>
      <c r="Z107" s="40">
        <f t="shared" si="31"/>
        <v>8709278.504605893</v>
      </c>
      <c r="AA107" s="40"/>
      <c r="AB107" s="40">
        <f t="shared" si="32"/>
        <v>-19360475.214700595</v>
      </c>
      <c r="AC107" s="17"/>
      <c r="AD107" s="40"/>
      <c r="AE107" s="40"/>
      <c r="AF107" s="40">
        <f>BA107/100*AF25</f>
        <v>9662133615.6636124</v>
      </c>
      <c r="AG107" s="44">
        <f t="shared" si="38"/>
        <v>1.0769596189335406E-2</v>
      </c>
      <c r="AH107" s="44">
        <f t="shared" si="33"/>
        <v>-2.0037474107493891E-3</v>
      </c>
      <c r="AU107" s="39">
        <v>13688707</v>
      </c>
      <c r="AW107" s="39">
        <f t="shared" si="34"/>
        <v>7.7808175206986368E-3</v>
      </c>
      <c r="AX107" s="56">
        <v>9231.2502313124005</v>
      </c>
      <c r="AY107" s="44">
        <f t="shared" si="35"/>
        <v>2.9657030741959719E-3</v>
      </c>
      <c r="AZ107" s="39">
        <f t="shared" si="39"/>
        <v>137.34406068064959</v>
      </c>
      <c r="BA107" s="39">
        <f t="shared" si="40"/>
        <v>168.12410551543425</v>
      </c>
      <c r="BC107" s="44">
        <f t="shared" si="41"/>
        <v>1.3877463098800646E-2</v>
      </c>
    </row>
    <row r="108" spans="1:55" s="39" customFormat="1">
      <c r="A108" s="39">
        <f t="shared" si="36"/>
        <v>2038</v>
      </c>
      <c r="B108" s="39">
        <f t="shared" si="37"/>
        <v>3</v>
      </c>
      <c r="C108" s="40"/>
      <c r="D108" s="55">
        <v>153303860.13386101</v>
      </c>
      <c r="E108" s="40"/>
      <c r="F108" s="55">
        <v>27864791.271616999</v>
      </c>
      <c r="G108" s="57">
        <v>10290886</v>
      </c>
      <c r="H108" s="57">
        <v>56617418.469754703</v>
      </c>
      <c r="I108" s="57">
        <v>318275</v>
      </c>
      <c r="J108" s="57">
        <v>1751055.1436932799</v>
      </c>
      <c r="K108" s="40"/>
      <c r="L108" s="55">
        <v>2573423.3954508398</v>
      </c>
      <c r="M108" s="43"/>
      <c r="N108" s="55">
        <v>1319838.9145304901</v>
      </c>
      <c r="O108" s="40"/>
      <c r="P108" s="55">
        <v>20614870.524845202</v>
      </c>
      <c r="Q108" s="43"/>
      <c r="R108" s="55">
        <v>35227699.689073101</v>
      </c>
      <c r="S108" s="43"/>
      <c r="T108" s="55">
        <v>134696163.00579</v>
      </c>
      <c r="U108" s="40"/>
      <c r="V108" s="55">
        <v>150817.401151611</v>
      </c>
      <c r="W108" s="43"/>
      <c r="X108" s="55">
        <v>378809.829829555</v>
      </c>
      <c r="Y108" s="40"/>
      <c r="Z108" s="40">
        <f t="shared" si="31"/>
        <v>3620463.5086263828</v>
      </c>
      <c r="AA108" s="40"/>
      <c r="AB108" s="40">
        <f t="shared" si="32"/>
        <v>-39222567.652916208</v>
      </c>
      <c r="AC108" s="17"/>
      <c r="AD108" s="40"/>
      <c r="AE108" s="40"/>
      <c r="AF108" s="40">
        <f>BA108/100*AF25</f>
        <v>9723408052.9072132</v>
      </c>
      <c r="AG108" s="44">
        <f t="shared" si="38"/>
        <v>6.3417087447711108E-3</v>
      </c>
      <c r="AH108" s="44">
        <f t="shared" si="33"/>
        <v>-4.0338292334845503E-3</v>
      </c>
      <c r="AU108" s="39">
        <v>13660210</v>
      </c>
      <c r="AW108" s="39">
        <f t="shared" si="34"/>
        <v>-2.0817890250700815E-3</v>
      </c>
      <c r="AX108" s="56">
        <v>9309.1718634473</v>
      </c>
      <c r="AY108" s="44">
        <f t="shared" si="35"/>
        <v>8.4410702973459987E-3</v>
      </c>
      <c r="AZ108" s="39">
        <f t="shared" si="39"/>
        <v>138.50339155177792</v>
      </c>
      <c r="BA108" s="39">
        <f t="shared" si="40"/>
        <v>169.1902996255883</v>
      </c>
      <c r="BC108" s="44">
        <f t="shared" si="41"/>
        <v>1.5915546158128058E-2</v>
      </c>
    </row>
    <row r="109" spans="1:55" s="39" customFormat="1">
      <c r="A109" s="39">
        <f t="shared" si="36"/>
        <v>2038</v>
      </c>
      <c r="B109" s="39">
        <f t="shared" si="37"/>
        <v>4</v>
      </c>
      <c r="C109" s="40"/>
      <c r="D109" s="55">
        <v>153687482.94093201</v>
      </c>
      <c r="E109" s="40"/>
      <c r="F109" s="55">
        <v>27934519.2578316</v>
      </c>
      <c r="G109" s="57">
        <v>10456364</v>
      </c>
      <c r="H109" s="57">
        <v>57527829.601851404</v>
      </c>
      <c r="I109" s="57">
        <v>323392</v>
      </c>
      <c r="J109" s="57">
        <v>1779207.3679342</v>
      </c>
      <c r="K109" s="40"/>
      <c r="L109" s="55">
        <v>2527229.1873372202</v>
      </c>
      <c r="M109" s="43"/>
      <c r="N109" s="55">
        <v>1324288.2692565999</v>
      </c>
      <c r="O109" s="40"/>
      <c r="P109" s="55">
        <v>20399647.5962767</v>
      </c>
      <c r="Q109" s="43"/>
      <c r="R109" s="55">
        <v>40714967.5790466</v>
      </c>
      <c r="S109" s="43"/>
      <c r="T109" s="55">
        <v>155677207.37393999</v>
      </c>
      <c r="U109" s="40"/>
      <c r="V109" s="55">
        <v>147398.57511389401</v>
      </c>
      <c r="W109" s="43"/>
      <c r="X109" s="55">
        <v>370222.72449770599</v>
      </c>
      <c r="Y109" s="40"/>
      <c r="Z109" s="40">
        <f t="shared" si="31"/>
        <v>9076329.4397350736</v>
      </c>
      <c r="AA109" s="40"/>
      <c r="AB109" s="40">
        <f t="shared" si="32"/>
        <v>-18409923.163268715</v>
      </c>
      <c r="AC109" s="17"/>
      <c r="AD109" s="40"/>
      <c r="AE109" s="40"/>
      <c r="AF109" s="40">
        <f>BA109/100*AF25</f>
        <v>9800823859.9775658</v>
      </c>
      <c r="AG109" s="44">
        <f t="shared" si="38"/>
        <v>7.9617976175756517E-3</v>
      </c>
      <c r="AH109" s="44">
        <f t="shared" si="33"/>
        <v>-1.8784056755113295E-3</v>
      </c>
      <c r="AU109" s="39">
        <v>13688825</v>
      </c>
      <c r="AW109" s="39">
        <f t="shared" si="34"/>
        <v>2.0947701389656529E-3</v>
      </c>
      <c r="AX109" s="56">
        <v>9363.6748593249995</v>
      </c>
      <c r="AY109" s="44">
        <f t="shared" si="35"/>
        <v>5.8547630957063862E-3</v>
      </c>
      <c r="AZ109" s="39">
        <f t="shared" si="39"/>
        <v>139.31429609726544</v>
      </c>
      <c r="BA109" s="39">
        <f t="shared" si="40"/>
        <v>170.53735855006423</v>
      </c>
      <c r="BC109" s="44">
        <f t="shared" si="41"/>
        <v>1.3912105985339219E-2</v>
      </c>
    </row>
    <row r="110" spans="1:55" s="29" customFormat="1">
      <c r="A110" s="29">
        <f t="shared" si="36"/>
        <v>2039</v>
      </c>
      <c r="B110" s="29">
        <f t="shared" si="37"/>
        <v>1</v>
      </c>
      <c r="C110" s="30"/>
      <c r="D110" s="52">
        <v>155034019.084411</v>
      </c>
      <c r="E110" s="30"/>
      <c r="F110" s="52">
        <v>28179268.141160298</v>
      </c>
      <c r="G110" s="59">
        <v>10724799</v>
      </c>
      <c r="H110" s="59">
        <v>59004679.770722099</v>
      </c>
      <c r="I110" s="59">
        <v>331695</v>
      </c>
      <c r="J110" s="59">
        <v>1824888.0241531499</v>
      </c>
      <c r="K110" s="30"/>
      <c r="L110" s="52">
        <v>3130993.5807499499</v>
      </c>
      <c r="M110" s="33"/>
      <c r="N110" s="52">
        <v>1336662.1340538601</v>
      </c>
      <c r="O110" s="30"/>
      <c r="P110" s="52">
        <v>23600661.257104799</v>
      </c>
      <c r="Q110" s="33"/>
      <c r="R110" s="52">
        <v>35637644.856913596</v>
      </c>
      <c r="S110" s="33"/>
      <c r="T110" s="52">
        <v>136263623.88567299</v>
      </c>
      <c r="U110" s="30"/>
      <c r="V110" s="52">
        <v>148548.024372466</v>
      </c>
      <c r="W110" s="33"/>
      <c r="X110" s="52">
        <v>373109.80963982502</v>
      </c>
      <c r="Y110" s="30"/>
      <c r="Z110" s="30">
        <f t="shared" ref="Z110:Z117" si="42">R110+V110-N110-L110-F110</f>
        <v>3139269.0253219493</v>
      </c>
      <c r="AA110" s="30"/>
      <c r="AB110" s="30">
        <f t="shared" ref="AB110:AB117" si="43">T110-P110-D110</f>
        <v>-42371056.455842808</v>
      </c>
      <c r="AC110" s="17"/>
      <c r="AD110" s="30"/>
      <c r="AE110" s="30"/>
      <c r="AF110" s="30">
        <f>BA110/100*AF25</f>
        <v>9803421029.9885159</v>
      </c>
      <c r="AG110" s="34">
        <f t="shared" si="38"/>
        <v>2.6499507062419889E-4</v>
      </c>
      <c r="AH110" s="34">
        <f t="shared" ref="AH110:AH117" si="44">AB110/AF110</f>
        <v>-4.3220684214449624E-3</v>
      </c>
      <c r="AU110" s="29">
        <v>13678119</v>
      </c>
      <c r="AW110" s="29">
        <f t="shared" si="34"/>
        <v>-7.8209780605713059E-4</v>
      </c>
      <c r="AX110" s="53">
        <v>9373.4871707570001</v>
      </c>
      <c r="AY110" s="34">
        <f t="shared" si="35"/>
        <v>1.0479124467066246E-3</v>
      </c>
      <c r="AZ110" s="29">
        <f t="shared" si="39"/>
        <v>139.46028528214995</v>
      </c>
      <c r="BA110" s="29">
        <f t="shared" si="40"/>
        <v>170.58255010943725</v>
      </c>
      <c r="BC110" s="34">
        <f t="shared" si="41"/>
        <v>1.5983539609546887E-2</v>
      </c>
    </row>
    <row r="111" spans="1:55" s="39" customFormat="1">
      <c r="A111" s="39">
        <f t="shared" si="36"/>
        <v>2039</v>
      </c>
      <c r="B111" s="39">
        <f t="shared" si="37"/>
        <v>2</v>
      </c>
      <c r="C111" s="40"/>
      <c r="D111" s="55">
        <v>156311052.92943299</v>
      </c>
      <c r="E111" s="40"/>
      <c r="F111" s="55">
        <v>28411384.159030002</v>
      </c>
      <c r="G111" s="57">
        <v>11030866</v>
      </c>
      <c r="H111" s="57">
        <v>60688570.100357696</v>
      </c>
      <c r="I111" s="57">
        <v>341160</v>
      </c>
      <c r="J111" s="57">
        <v>1876961.66152667</v>
      </c>
      <c r="K111" s="40"/>
      <c r="L111" s="55">
        <v>2542430.1978063998</v>
      </c>
      <c r="M111" s="43"/>
      <c r="N111" s="55">
        <v>1348705.7509568301</v>
      </c>
      <c r="O111" s="40"/>
      <c r="P111" s="55">
        <v>20612863.491856702</v>
      </c>
      <c r="Q111" s="43"/>
      <c r="R111" s="55">
        <v>40974709.057988703</v>
      </c>
      <c r="S111" s="43"/>
      <c r="T111" s="55">
        <v>156670351.430911</v>
      </c>
      <c r="U111" s="40"/>
      <c r="V111" s="55">
        <v>159244.532253087</v>
      </c>
      <c r="W111" s="43"/>
      <c r="X111" s="55">
        <v>399976.35354714998</v>
      </c>
      <c r="Y111" s="40"/>
      <c r="Z111" s="40">
        <f t="shared" si="42"/>
        <v>8831433.4824485518</v>
      </c>
      <c r="AA111" s="40"/>
      <c r="AB111" s="40">
        <f t="shared" si="43"/>
        <v>-20253564.990378678</v>
      </c>
      <c r="AC111" s="17"/>
      <c r="AD111" s="40"/>
      <c r="AE111" s="40"/>
      <c r="AF111" s="40">
        <f>BA111/100*AF25</f>
        <v>9877854732.3456974</v>
      </c>
      <c r="AG111" s="44">
        <f t="shared" si="38"/>
        <v>7.5926252814695998E-3</v>
      </c>
      <c r="AH111" s="44">
        <f t="shared" si="44"/>
        <v>-2.0504011791201001E-3</v>
      </c>
      <c r="AU111" s="39">
        <v>13723571</v>
      </c>
      <c r="AW111" s="39">
        <f t="shared" ref="AW111:AW117" si="45">(AU111-AU110)/AU110</f>
        <v>3.3229715284682055E-3</v>
      </c>
      <c r="AX111" s="56">
        <v>9413.3761654407008</v>
      </c>
      <c r="AY111" s="44">
        <f t="shared" ref="AY111:AY117" si="46">(AX111-AX110)/AX110</f>
        <v>4.2555128051110684E-3</v>
      </c>
      <c r="AZ111" s="39">
        <f t="shared" si="39"/>
        <v>140.05376031197261</v>
      </c>
      <c r="BA111" s="39">
        <f t="shared" si="40"/>
        <v>171.87771949197574</v>
      </c>
      <c r="BC111" s="44" t="e">
        <f t="shared" si="41"/>
        <v>#DIV/0!</v>
      </c>
    </row>
    <row r="112" spans="1:55" s="39" customFormat="1">
      <c r="A112" s="39">
        <f t="shared" si="36"/>
        <v>2039</v>
      </c>
      <c r="B112" s="39">
        <f t="shared" si="37"/>
        <v>3</v>
      </c>
      <c r="C112" s="40"/>
      <c r="D112" s="55">
        <v>156659959.272432</v>
      </c>
      <c r="E112" s="40"/>
      <c r="F112" s="55">
        <v>28474802.016952898</v>
      </c>
      <c r="G112" s="57">
        <v>11301743</v>
      </c>
      <c r="H112" s="57">
        <v>62178855.432721898</v>
      </c>
      <c r="I112" s="57">
        <v>349538</v>
      </c>
      <c r="J112" s="57">
        <v>1923054.9456170399</v>
      </c>
      <c r="K112" s="40"/>
      <c r="L112" s="55">
        <v>2594989.3803060399</v>
      </c>
      <c r="M112" s="43"/>
      <c r="N112" s="55">
        <v>1351809.3633236</v>
      </c>
      <c r="O112" s="40"/>
      <c r="P112" s="55">
        <v>20902668.499231499</v>
      </c>
      <c r="Q112" s="43"/>
      <c r="R112" s="55">
        <v>35830105.137869701</v>
      </c>
      <c r="S112" s="43"/>
      <c r="T112" s="55">
        <v>136999512.45076799</v>
      </c>
      <c r="U112" s="40"/>
      <c r="V112" s="55">
        <v>152443.68312596501</v>
      </c>
      <c r="W112" s="43"/>
      <c r="X112" s="55">
        <v>382894.58127902797</v>
      </c>
      <c r="Y112" s="40"/>
      <c r="Z112" s="40">
        <f t="shared" si="42"/>
        <v>3560948.0604131296</v>
      </c>
      <c r="AA112" s="40"/>
      <c r="AB112" s="40">
        <f t="shared" si="43"/>
        <v>-40563115.320895508</v>
      </c>
      <c r="AC112" s="17"/>
      <c r="AD112" s="40"/>
      <c r="AE112" s="40"/>
      <c r="AF112" s="40">
        <f>BA112/100*AF25</f>
        <v>9880830601.6148815</v>
      </c>
      <c r="AG112" s="44">
        <f t="shared" si="38"/>
        <v>3.0126675779503306E-4</v>
      </c>
      <c r="AH112" s="44">
        <f t="shared" si="44"/>
        <v>-4.1052333509559455E-3</v>
      </c>
      <c r="AU112" s="39">
        <v>13740685</v>
      </c>
      <c r="AW112" s="39">
        <f t="shared" si="45"/>
        <v>1.247051514507412E-3</v>
      </c>
      <c r="AX112" s="56">
        <v>9404.4842264601994</v>
      </c>
      <c r="AY112" s="44">
        <f t="shared" si="46"/>
        <v>-9.446067833925924E-4</v>
      </c>
      <c r="AZ112" s="39">
        <f t="shared" si="39"/>
        <v>139.92146457994227</v>
      </c>
      <c r="BA112" s="39">
        <f t="shared" si="40"/>
        <v>171.92950053526428</v>
      </c>
      <c r="BC112" s="44" t="e">
        <f t="shared" si="41"/>
        <v>#DIV/0!</v>
      </c>
    </row>
    <row r="113" spans="1:55" s="39" customFormat="1">
      <c r="A113" s="39">
        <f t="shared" si="36"/>
        <v>2039</v>
      </c>
      <c r="B113" s="39">
        <f t="shared" si="37"/>
        <v>4</v>
      </c>
      <c r="C113" s="40"/>
      <c r="D113" s="55">
        <v>157422660.65149301</v>
      </c>
      <c r="E113" s="40"/>
      <c r="F113" s="55">
        <v>28613432.020865101</v>
      </c>
      <c r="G113" s="57">
        <v>11510513</v>
      </c>
      <c r="H113" s="57">
        <v>63327446.375613503</v>
      </c>
      <c r="I113" s="57">
        <v>355995</v>
      </c>
      <c r="J113" s="57">
        <v>1958579.45449404</v>
      </c>
      <c r="K113" s="40"/>
      <c r="L113" s="55">
        <v>2686889.60972234</v>
      </c>
      <c r="M113" s="43"/>
      <c r="N113" s="55">
        <v>1358614.9830555599</v>
      </c>
      <c r="O113" s="40"/>
      <c r="P113" s="55">
        <v>21416981.7383308</v>
      </c>
      <c r="Q113" s="43"/>
      <c r="R113" s="55">
        <v>41350488.265355997</v>
      </c>
      <c r="S113" s="43"/>
      <c r="T113" s="55">
        <v>158107175.79970199</v>
      </c>
      <c r="U113" s="40"/>
      <c r="V113" s="55">
        <v>156371.76781679</v>
      </c>
      <c r="W113" s="43"/>
      <c r="X113" s="55">
        <v>392760.79752414202</v>
      </c>
      <c r="Y113" s="40"/>
      <c r="Z113" s="40">
        <f t="shared" si="42"/>
        <v>8847923.4195297845</v>
      </c>
      <c r="AA113" s="40"/>
      <c r="AB113" s="40">
        <f t="shared" si="43"/>
        <v>-20732466.590121835</v>
      </c>
      <c r="AC113" s="17"/>
      <c r="AD113" s="40"/>
      <c r="AE113" s="40"/>
      <c r="AF113" s="40">
        <f>BA113/100*AF25</f>
        <v>9975990696.8284988</v>
      </c>
      <c r="AG113" s="44">
        <f t="shared" si="38"/>
        <v>9.6307789345224434E-3</v>
      </c>
      <c r="AH113" s="44">
        <f t="shared" si="44"/>
        <v>-2.0782363596943774E-3</v>
      </c>
      <c r="AU113" s="39">
        <v>13808116</v>
      </c>
      <c r="AW113" s="39">
        <f t="shared" si="45"/>
        <v>4.9073972658568331E-3</v>
      </c>
      <c r="AX113" s="56">
        <v>9448.6882680658</v>
      </c>
      <c r="AY113" s="44">
        <f t="shared" si="46"/>
        <v>4.7003153539488503E-3</v>
      </c>
      <c r="AZ113" s="39">
        <f t="shared" si="39"/>
        <v>140.57913958825438</v>
      </c>
      <c r="BA113" s="39">
        <f t="shared" si="40"/>
        <v>173.58531554724226</v>
      </c>
      <c r="BC113" s="44" t="e">
        <f t="shared" si="41"/>
        <v>#DIV/0!</v>
      </c>
    </row>
    <row r="114" spans="1:55" s="29" customFormat="1">
      <c r="A114" s="29">
        <f t="shared" ref="A114:A117" si="47">A110+1</f>
        <v>2040</v>
      </c>
      <c r="B114" s="29">
        <f t="shared" ref="B114:B117" si="48">B110</f>
        <v>1</v>
      </c>
      <c r="C114" s="30"/>
      <c r="D114" s="52">
        <v>158553077.81831399</v>
      </c>
      <c r="E114" s="30"/>
      <c r="F114" s="52">
        <v>28818898.721937198</v>
      </c>
      <c r="G114" s="59">
        <v>11817000</v>
      </c>
      <c r="H114" s="59">
        <v>65013647.421329103</v>
      </c>
      <c r="I114" s="59">
        <v>365474</v>
      </c>
      <c r="J114" s="59">
        <v>2010730.1157368899</v>
      </c>
      <c r="K114" s="30"/>
      <c r="L114" s="52">
        <v>3334744.7415825198</v>
      </c>
      <c r="M114" s="33"/>
      <c r="N114" s="52">
        <v>1369903.4406809099</v>
      </c>
      <c r="O114" s="30"/>
      <c r="P114" s="52">
        <v>24840810.860548198</v>
      </c>
      <c r="Q114" s="33"/>
      <c r="R114" s="52">
        <v>36369405.585338503</v>
      </c>
      <c r="S114" s="33"/>
      <c r="T114" s="52">
        <v>139061574.45375201</v>
      </c>
      <c r="U114" s="30"/>
      <c r="V114" s="52">
        <v>158075.921130826</v>
      </c>
      <c r="W114" s="33"/>
      <c r="X114" s="52">
        <v>397041.13932796603</v>
      </c>
      <c r="Y114" s="30"/>
      <c r="Z114" s="30">
        <f t="shared" si="42"/>
        <v>3003934.6022686996</v>
      </c>
      <c r="AA114" s="30"/>
      <c r="AB114" s="30">
        <f t="shared" si="43"/>
        <v>-44332314.225110173</v>
      </c>
      <c r="AC114" s="17"/>
      <c r="AD114" s="30"/>
      <c r="AE114" s="30"/>
      <c r="AF114" s="30">
        <f>BA114/100*AF25</f>
        <v>10020676939.560398</v>
      </c>
      <c r="AG114" s="34">
        <f t="shared" si="38"/>
        <v>4.479378949912776E-3</v>
      </c>
      <c r="AH114" s="34">
        <f t="shared" si="44"/>
        <v>-4.4240837712362186E-3</v>
      </c>
      <c r="AU114" s="29">
        <v>13821135</v>
      </c>
      <c r="AW114" s="29">
        <f t="shared" si="45"/>
        <v>9.4285129122611655E-4</v>
      </c>
      <c r="AX114" s="53">
        <v>9482.0723392495001</v>
      </c>
      <c r="AY114" s="34">
        <f t="shared" si="46"/>
        <v>3.5331963799176171E-3</v>
      </c>
      <c r="AZ114" s="29">
        <f t="shared" si="39"/>
        <v>141.07583329533955</v>
      </c>
      <c r="BA114" s="29">
        <f t="shared" si="40"/>
        <v>174.36286995571854</v>
      </c>
      <c r="BC114" s="34" t="e">
        <f t="shared" si="41"/>
        <v>#DIV/0!</v>
      </c>
    </row>
    <row r="115" spans="1:55" s="39" customFormat="1">
      <c r="A115" s="39">
        <f t="shared" si="47"/>
        <v>2040</v>
      </c>
      <c r="B115" s="39">
        <f t="shared" si="48"/>
        <v>2</v>
      </c>
      <c r="C115" s="40"/>
      <c r="D115" s="55">
        <v>159754497.27878901</v>
      </c>
      <c r="E115" s="40"/>
      <c r="F115" s="55">
        <v>29037270.930351</v>
      </c>
      <c r="G115" s="57">
        <v>12129903</v>
      </c>
      <c r="H115" s="57">
        <v>66735147.4060186</v>
      </c>
      <c r="I115" s="57">
        <v>375152</v>
      </c>
      <c r="J115" s="57">
        <v>2063975.6162652499</v>
      </c>
      <c r="K115" s="40"/>
      <c r="L115" s="55">
        <v>2502554.5600258601</v>
      </c>
      <c r="M115" s="43"/>
      <c r="N115" s="55">
        <v>1381948.7091949701</v>
      </c>
      <c r="O115" s="40"/>
      <c r="P115" s="55">
        <v>20588841.565820601</v>
      </c>
      <c r="Q115" s="43"/>
      <c r="R115" s="55">
        <v>41929638.279405102</v>
      </c>
      <c r="S115" s="43"/>
      <c r="T115" s="55">
        <v>160321606.07433599</v>
      </c>
      <c r="U115" s="40"/>
      <c r="V115" s="55">
        <v>160927.465000311</v>
      </c>
      <c r="W115" s="43"/>
      <c r="X115" s="55">
        <v>404203.395405202</v>
      </c>
      <c r="Y115" s="40"/>
      <c r="Z115" s="40">
        <f t="shared" si="42"/>
        <v>9168791.5448335744</v>
      </c>
      <c r="AA115" s="40"/>
      <c r="AB115" s="40">
        <f t="shared" si="43"/>
        <v>-20021732.770273626</v>
      </c>
      <c r="AC115" s="17"/>
      <c r="AD115" s="40"/>
      <c r="AE115" s="40"/>
      <c r="AF115" s="40">
        <f>BA115/100*AF25</f>
        <v>10073270780.749165</v>
      </c>
      <c r="AG115" s="44">
        <f t="shared" si="38"/>
        <v>5.2485317614753627E-3</v>
      </c>
      <c r="AH115" s="44">
        <f t="shared" si="44"/>
        <v>-1.9876099040777081E-3</v>
      </c>
      <c r="AU115" s="39">
        <v>13875783</v>
      </c>
      <c r="AW115" s="39">
        <f t="shared" si="45"/>
        <v>3.9539444481223865E-3</v>
      </c>
      <c r="AX115" s="56">
        <v>9494.2993648242991</v>
      </c>
      <c r="AY115" s="44">
        <f t="shared" si="46"/>
        <v>1.2894887464828953E-3</v>
      </c>
      <c r="AZ115" s="39">
        <f t="shared" si="39"/>
        <v>141.2577489947746</v>
      </c>
      <c r="BA115" s="39">
        <f t="shared" si="40"/>
        <v>175.27801901670315</v>
      </c>
      <c r="BC115" s="44" t="e">
        <f t="shared" si="41"/>
        <v>#DIV/0!</v>
      </c>
    </row>
    <row r="116" spans="1:55" s="39" customFormat="1">
      <c r="A116" s="39">
        <f t="shared" si="47"/>
        <v>2040</v>
      </c>
      <c r="B116" s="39">
        <f t="shared" si="48"/>
        <v>3</v>
      </c>
      <c r="C116" s="40"/>
      <c r="D116" s="55">
        <v>161278762.395852</v>
      </c>
      <c r="E116" s="40"/>
      <c r="F116" s="55">
        <v>29314324.158446401</v>
      </c>
      <c r="G116" s="57">
        <v>12292559</v>
      </c>
      <c r="H116" s="57">
        <v>67630032.726739898</v>
      </c>
      <c r="I116" s="57">
        <v>380182</v>
      </c>
      <c r="J116" s="57">
        <v>2091649.1921753199</v>
      </c>
      <c r="K116" s="40"/>
      <c r="L116" s="55">
        <v>2586740.1964246002</v>
      </c>
      <c r="M116" s="43"/>
      <c r="N116" s="55">
        <v>1396606.29719986</v>
      </c>
      <c r="O116" s="40"/>
      <c r="P116" s="55">
        <v>21106322.957810599</v>
      </c>
      <c r="Q116" s="43"/>
      <c r="R116" s="55">
        <v>36885420.090185396</v>
      </c>
      <c r="S116" s="43"/>
      <c r="T116" s="55">
        <v>141034600.636888</v>
      </c>
      <c r="U116" s="40"/>
      <c r="V116" s="55">
        <v>155380.81710412601</v>
      </c>
      <c r="W116" s="43"/>
      <c r="X116" s="55">
        <v>390271.815032946</v>
      </c>
      <c r="Y116" s="40"/>
      <c r="Z116" s="40">
        <f t="shared" si="42"/>
        <v>3743130.2552186586</v>
      </c>
      <c r="AA116" s="40"/>
      <c r="AB116" s="40">
        <f t="shared" si="43"/>
        <v>-41350484.716774598</v>
      </c>
      <c r="AC116" s="17"/>
      <c r="AD116" s="40"/>
      <c r="AE116" s="40"/>
      <c r="AF116" s="40">
        <f>BA116/100*AF25</f>
        <v>10137545011.913532</v>
      </c>
      <c r="AG116" s="44">
        <f t="shared" si="38"/>
        <v>6.3806714386354961E-3</v>
      </c>
      <c r="AH116" s="44">
        <f t="shared" si="44"/>
        <v>-4.0789446230009296E-3</v>
      </c>
      <c r="AU116" s="39">
        <v>13855484</v>
      </c>
      <c r="AW116" s="39">
        <f t="shared" si="45"/>
        <v>-1.4629084355095492E-3</v>
      </c>
      <c r="AX116" s="56">
        <v>9568.8777616071002</v>
      </c>
      <c r="AY116" s="44">
        <f t="shared" si="46"/>
        <v>7.8550711239534637E-3</v>
      </c>
      <c r="AZ116" s="39">
        <f t="shared" si="39"/>
        <v>142.36733865993813</v>
      </c>
      <c r="BA116" s="39">
        <f t="shared" si="40"/>
        <v>176.39641046646361</v>
      </c>
      <c r="BC116" s="44" t="e">
        <f t="shared" si="41"/>
        <v>#DIV/0!</v>
      </c>
    </row>
    <row r="117" spans="1:55" s="39" customFormat="1">
      <c r="A117" s="39">
        <f t="shared" si="47"/>
        <v>2040</v>
      </c>
      <c r="B117" s="39">
        <f t="shared" si="48"/>
        <v>4</v>
      </c>
      <c r="C117" s="40"/>
      <c r="D117" s="55">
        <v>161805797.29779601</v>
      </c>
      <c r="E117" s="40"/>
      <c r="F117" s="55">
        <v>29410118.990505401</v>
      </c>
      <c r="G117" s="57">
        <v>12553023</v>
      </c>
      <c r="H117" s="57">
        <v>69063028.805435807</v>
      </c>
      <c r="I117" s="57">
        <v>388238</v>
      </c>
      <c r="J117" s="57">
        <v>2135970.9272710499</v>
      </c>
      <c r="K117" s="40"/>
      <c r="L117" s="55">
        <v>2500570.7545667901</v>
      </c>
      <c r="M117" s="43"/>
      <c r="N117" s="55">
        <v>1401210.1049319799</v>
      </c>
      <c r="O117" s="40"/>
      <c r="P117" s="55">
        <v>20684518.106177401</v>
      </c>
      <c r="Q117" s="43"/>
      <c r="R117" s="55">
        <v>42575910.940395199</v>
      </c>
      <c r="S117" s="43"/>
      <c r="T117" s="55">
        <v>162792685.60718101</v>
      </c>
      <c r="U117" s="40"/>
      <c r="V117" s="55">
        <v>153516.776016388</v>
      </c>
      <c r="W117" s="43"/>
      <c r="X117" s="55">
        <v>385589.88123850699</v>
      </c>
      <c r="Y117" s="40"/>
      <c r="Z117" s="40">
        <f t="shared" si="42"/>
        <v>9417527.866407413</v>
      </c>
      <c r="AA117" s="40"/>
      <c r="AB117" s="40">
        <f t="shared" si="43"/>
        <v>-19697629.796792388</v>
      </c>
      <c r="AC117" s="17"/>
      <c r="AD117" s="40"/>
      <c r="AE117" s="40"/>
      <c r="AF117" s="40">
        <f>BA117/100*AF25</f>
        <v>10185020939.288427</v>
      </c>
      <c r="AG117" s="44">
        <f t="shared" si="38"/>
        <v>4.683177960650424E-3</v>
      </c>
      <c r="AH117" s="44">
        <f t="shared" si="44"/>
        <v>-1.9339802946118003E-3</v>
      </c>
      <c r="AU117" s="39">
        <v>13826971</v>
      </c>
      <c r="AW117" s="39">
        <f t="shared" si="45"/>
        <v>-2.0578855274922189E-3</v>
      </c>
      <c r="AX117" s="56">
        <v>9633.5151905379007</v>
      </c>
      <c r="AY117" s="44">
        <f t="shared" si="46"/>
        <v>6.7549644316853121E-3</v>
      </c>
      <c r="AZ117" s="39">
        <f t="shared" si="39"/>
        <v>143.32902496881971</v>
      </c>
      <c r="BA117" s="39">
        <f t="shared" si="40"/>
        <v>177.222506248298</v>
      </c>
      <c r="BC117" s="44" t="e">
        <f t="shared" si="41"/>
        <v>#DIV/0!</v>
      </c>
    </row>
    <row r="119" spans="1:55">
      <c r="BA119" t="s">
        <v>52</v>
      </c>
    </row>
  </sheetData>
  <mergeCells count="3">
    <mergeCell ref="AK1:AL1"/>
    <mergeCell ref="AO1:AP1"/>
    <mergeCell ref="AQ1:A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115" zoomScaleNormal="115" zoomScalePageLayoutView="115" workbookViewId="0">
      <selection activeCell="F8" sqref="F8:F31"/>
    </sheetView>
  </sheetViews>
  <sheetFormatPr baseColWidth="10" defaultColWidth="8.83203125" defaultRowHeight="12" x14ac:dyDescent="0"/>
  <sheetData>
    <row r="1" spans="1:7">
      <c r="B1" t="s">
        <v>53</v>
      </c>
      <c r="E1" t="s">
        <v>54</v>
      </c>
      <c r="G1" t="s">
        <v>55</v>
      </c>
    </row>
    <row r="3" spans="1:7" ht="58.75" customHeight="1">
      <c r="B3" s="8" t="s">
        <v>56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</row>
    <row r="4" spans="1:7">
      <c r="A4" s="14"/>
      <c r="B4" s="14"/>
      <c r="C4" s="14"/>
    </row>
    <row r="5" spans="1:7">
      <c r="A5" s="14">
        <v>2014</v>
      </c>
      <c r="B5" s="19">
        <f>'Central scenario'!AJ3</f>
        <v>-2.0764450566254731E-2</v>
      </c>
      <c r="C5" s="19">
        <f>'Central scenario'!BI3</f>
        <v>-2.0764450566254731E-2</v>
      </c>
      <c r="D5" s="20">
        <f>'Low scenario'!AJ3</f>
        <v>-2.0764450566254731E-2</v>
      </c>
      <c r="E5" s="20">
        <f>'Low scenario'!BH3</f>
        <v>-2.0764450566254731E-2</v>
      </c>
      <c r="F5" s="20">
        <f>'High scenario'!AJ3</f>
        <v>-2.0764450566254731E-2</v>
      </c>
      <c r="G5" s="20">
        <f>'High scenario'!BI3</f>
        <v>-2.0764450566254731E-2</v>
      </c>
    </row>
    <row r="6" spans="1:7">
      <c r="A6" s="14">
        <v>2015</v>
      </c>
      <c r="B6" s="19">
        <f>'Central scenario'!AJ4</f>
        <v>-3.2822266915484524E-2</v>
      </c>
      <c r="C6" s="19">
        <f>'Central scenario'!BI4</f>
        <v>-3.2822266915484524E-2</v>
      </c>
      <c r="D6" s="20">
        <f>'Low scenario'!AJ4</f>
        <v>-3.2822266915484871E-2</v>
      </c>
      <c r="E6" s="20">
        <f>'Low scenario'!BH4</f>
        <v>-3.2822266915484871E-2</v>
      </c>
      <c r="F6" s="20">
        <f>'High scenario'!AJ4</f>
        <v>-3.2822266915484871E-2</v>
      </c>
      <c r="G6" s="20">
        <f>'High scenario'!BI4</f>
        <v>-3.2822266915484871E-2</v>
      </c>
    </row>
    <row r="7" spans="1:7">
      <c r="A7" s="14">
        <v>2016</v>
      </c>
      <c r="B7" s="19">
        <f>'Central scenario'!AJ5</f>
        <v>-3.0485746542112804E-2</v>
      </c>
      <c r="C7" s="19">
        <f>'Central scenario'!BI5</f>
        <v>-3.0509316583299875E-2</v>
      </c>
      <c r="D7" s="20">
        <f>'Low scenario'!AJ5</f>
        <v>-3.0485746542112804E-2</v>
      </c>
      <c r="E7" s="20">
        <f>'Low scenario'!BH5</f>
        <v>-3.0509316583299875E-2</v>
      </c>
      <c r="F7" s="20">
        <f>'High scenario'!AJ5</f>
        <v>-3.0485746542112804E-2</v>
      </c>
      <c r="G7" s="20">
        <f>'High scenario'!BI5</f>
        <v>-3.0509316583299875E-2</v>
      </c>
    </row>
    <row r="8" spans="1:7">
      <c r="A8" s="14">
        <v>2017</v>
      </c>
      <c r="B8" s="19">
        <f>'Central scenario'!AJ6</f>
        <v>-3.4376308905891273E-2</v>
      </c>
      <c r="C8" s="19">
        <f>'Central scenario'!BI6</f>
        <v>-3.4840254266403227E-2</v>
      </c>
      <c r="D8" s="20">
        <f>'Low scenario'!AJ6</f>
        <v>-3.4376308905891363E-2</v>
      </c>
      <c r="E8" s="20">
        <f>'Low scenario'!BH6</f>
        <v>-3.4840254266403317E-2</v>
      </c>
      <c r="F8" s="20">
        <f>'High scenario'!AJ6</f>
        <v>-3.4376308905891252E-2</v>
      </c>
      <c r="G8" s="20">
        <f>'High scenario'!BI6</f>
        <v>-3.4840254266403206E-2</v>
      </c>
    </row>
    <row r="9" spans="1:7">
      <c r="A9" s="14">
        <f t="shared" ref="A9:A31" si="0">A8+1</f>
        <v>2018</v>
      </c>
      <c r="B9" s="19">
        <f>'Central scenario'!AJ7</f>
        <v>-2.8184645628802733E-2</v>
      </c>
      <c r="C9" s="19">
        <f>'Central scenario'!BI7</f>
        <v>-2.9063557722138551E-2</v>
      </c>
      <c r="D9" s="20">
        <f>'Low scenario'!AJ7</f>
        <v>-2.8902614957811969E-2</v>
      </c>
      <c r="E9" s="20">
        <f>'Low scenario'!BH7</f>
        <v>-2.980791726807475E-2</v>
      </c>
      <c r="F9" s="20">
        <f>'High scenario'!AJ7</f>
        <v>-2.9033964349267905E-2</v>
      </c>
      <c r="G9" s="20">
        <f>'High scenario'!BI7</f>
        <v>-2.9942192706108116E-2</v>
      </c>
    </row>
    <row r="10" spans="1:7">
      <c r="A10" s="14">
        <f t="shared" si="0"/>
        <v>2019</v>
      </c>
      <c r="B10" s="19">
        <f>'Central scenario'!AJ8</f>
        <v>-2.6486804766331213E-2</v>
      </c>
      <c r="C10" s="19">
        <f>'Central scenario'!BI8</f>
        <v>-2.7793927266058376E-2</v>
      </c>
      <c r="D10" s="20">
        <f>'Low scenario'!AJ8</f>
        <v>-2.6204129707112611E-2</v>
      </c>
      <c r="E10" s="20">
        <f>'Low scenario'!BH8</f>
        <v>-2.752532513779498E-2</v>
      </c>
      <c r="F10" s="20">
        <f>'High scenario'!AJ8</f>
        <v>-2.6273191586877218E-2</v>
      </c>
      <c r="G10" s="20">
        <f>'High scenario'!BI8</f>
        <v>-2.7598532004508507E-2</v>
      </c>
    </row>
    <row r="11" spans="1:7">
      <c r="A11" s="14">
        <f t="shared" si="0"/>
        <v>2020</v>
      </c>
      <c r="B11" s="19">
        <f>'Central scenario'!AJ9</f>
        <v>-2.8212517474453615E-2</v>
      </c>
      <c r="C11" s="19">
        <f>'Central scenario'!BI9</f>
        <v>-2.9959336802242224E-2</v>
      </c>
      <c r="D11" s="20">
        <f>'Low scenario'!AJ9</f>
        <v>-2.8806272029323135E-2</v>
      </c>
      <c r="E11" s="20">
        <f>'Low scenario'!BH9</f>
        <v>-3.0584263888022722E-2</v>
      </c>
      <c r="F11" s="20">
        <f>'High scenario'!AJ9</f>
        <v>-2.7598730646659093E-2</v>
      </c>
      <c r="G11" s="20">
        <f>'High scenario'!BI9</f>
        <v>-2.9404716476564945E-2</v>
      </c>
    </row>
    <row r="12" spans="1:7">
      <c r="A12" s="14">
        <f t="shared" si="0"/>
        <v>2021</v>
      </c>
      <c r="B12" s="19">
        <f>'Central scenario'!AJ10</f>
        <v>-2.7937501852481263E-2</v>
      </c>
      <c r="C12" s="19">
        <f>'Central scenario'!BI10</f>
        <v>-3.0124772630356116E-2</v>
      </c>
      <c r="D12" s="20">
        <f>'Low scenario'!AJ10</f>
        <v>-2.9291108955108055E-2</v>
      </c>
      <c r="E12" s="20">
        <f>'Low scenario'!BH10</f>
        <v>-3.1490848796854577E-2</v>
      </c>
      <c r="F12" s="20">
        <f>'High scenario'!AJ10</f>
        <v>-2.679010124149124E-2</v>
      </c>
      <c r="G12" s="20">
        <f>'High scenario'!BI10</f>
        <v>-2.900177811902831E-2</v>
      </c>
    </row>
    <row r="13" spans="1:7">
      <c r="A13" s="14">
        <f t="shared" si="0"/>
        <v>2022</v>
      </c>
      <c r="B13" s="19">
        <f>'Central scenario'!AJ11</f>
        <v>-2.7266447202214956E-2</v>
      </c>
      <c r="C13" s="19">
        <f>'Central scenario'!BI11</f>
        <v>-2.9938011669389475E-2</v>
      </c>
      <c r="D13" s="20">
        <f>'Low scenario'!AJ11</f>
        <v>-2.9533961362160542E-2</v>
      </c>
      <c r="E13" s="20">
        <f>'Low scenario'!BH11</f>
        <v>-3.2310342403262048E-2</v>
      </c>
      <c r="F13" s="20">
        <f>'High scenario'!AJ11</f>
        <v>-2.5944889548769369E-2</v>
      </c>
      <c r="G13" s="20">
        <f>'High scenario'!BI11</f>
        <v>-2.8676192323306215E-2</v>
      </c>
    </row>
    <row r="14" spans="1:7">
      <c r="A14" s="14">
        <f t="shared" si="0"/>
        <v>2023</v>
      </c>
      <c r="B14" s="19">
        <f>'Central scenario'!AJ12</f>
        <v>-2.6600016709129044E-2</v>
      </c>
      <c r="C14" s="19">
        <f>'Central scenario'!BI12</f>
        <v>-2.9774455184570493E-2</v>
      </c>
      <c r="D14" s="20">
        <f>'Low scenario'!AJ12</f>
        <v>-3.052261994228804E-2</v>
      </c>
      <c r="E14" s="20">
        <f>'Low scenario'!BH12</f>
        <v>-3.3744560778078657E-2</v>
      </c>
      <c r="F14" s="20">
        <f>'High scenario'!AJ12</f>
        <v>-2.5465246727181579E-2</v>
      </c>
      <c r="G14" s="20">
        <f>'High scenario'!BI12</f>
        <v>-2.8629427826658005E-2</v>
      </c>
    </row>
    <row r="15" spans="1:7">
      <c r="A15" s="26">
        <f t="shared" si="0"/>
        <v>2024</v>
      </c>
      <c r="B15" s="27">
        <f>'Central scenario'!AJ13</f>
        <v>-2.6912074268029534E-2</v>
      </c>
      <c r="C15" s="27">
        <f>'Central scenario'!BI13</f>
        <v>-3.069970460278347E-2</v>
      </c>
      <c r="D15" s="20">
        <f>'Low scenario'!AJ13</f>
        <v>-3.1199857998427588E-2</v>
      </c>
      <c r="E15" s="20">
        <f>'Low scenario'!BH13</f>
        <v>-3.4986367168539166E-2</v>
      </c>
      <c r="F15" s="20">
        <f>'High scenario'!AJ13</f>
        <v>-2.4352250467126323E-2</v>
      </c>
      <c r="G15" s="20">
        <f>'High scenario'!BI13</f>
        <v>-2.7988986461293639E-2</v>
      </c>
    </row>
    <row r="16" spans="1:7">
      <c r="A16" s="35">
        <f t="shared" si="0"/>
        <v>2025</v>
      </c>
      <c r="B16" s="36">
        <f>'Central scenario'!AJ14</f>
        <v>-2.7560410101298265E-2</v>
      </c>
      <c r="C16" s="36">
        <f>'Central scenario'!BI14</f>
        <v>-3.2892416517423147E-2</v>
      </c>
      <c r="D16" s="20">
        <f>'Low scenario'!AJ14</f>
        <v>-3.1323876825306435E-2</v>
      </c>
      <c r="E16" s="20">
        <f>'Low scenario'!BH14</f>
        <v>-3.6522872709776645E-2</v>
      </c>
      <c r="F16" s="20">
        <f>'High scenario'!AJ14</f>
        <v>-2.335396964946005E-2</v>
      </c>
      <c r="G16" s="20">
        <f>'High scenario'!BI14</f>
        <v>-2.8356624897705199E-2</v>
      </c>
    </row>
    <row r="17" spans="1:9">
      <c r="A17" s="45">
        <f t="shared" si="0"/>
        <v>2026</v>
      </c>
      <c r="B17" s="46">
        <f>'Central scenario'!AJ15</f>
        <v>-2.5505846889151761E-2</v>
      </c>
      <c r="C17" s="46">
        <f>'Central scenario'!BI15</f>
        <v>-3.2070920039281532E-2</v>
      </c>
      <c r="D17" s="20">
        <f>'Low scenario'!AJ15</f>
        <v>-3.1081340481507406E-2</v>
      </c>
      <c r="E17" s="20">
        <f>'Low scenario'!BH15</f>
        <v>-3.7852743205948544E-2</v>
      </c>
      <c r="F17" s="20">
        <f>'High scenario'!AJ15</f>
        <v>-2.2269305898961807E-2</v>
      </c>
      <c r="G17" s="20">
        <f>'High scenario'!BI15</f>
        <v>-2.8728766759892901E-2</v>
      </c>
    </row>
    <row r="18" spans="1:9">
      <c r="A18" s="45">
        <f t="shared" si="0"/>
        <v>2027</v>
      </c>
      <c r="B18" s="46">
        <f>'Central scenario'!AJ16</f>
        <v>-2.5093706008574468E-2</v>
      </c>
      <c r="C18" s="46">
        <f>'Central scenario'!BI16</f>
        <v>-3.327792309250395E-2</v>
      </c>
      <c r="D18" s="20">
        <f>'Low scenario'!AJ16</f>
        <v>-3.0761811635520102E-2</v>
      </c>
      <c r="E18" s="20">
        <f>'Low scenario'!BH16</f>
        <v>-3.9071761630199472E-2</v>
      </c>
      <c r="F18" s="20">
        <f>'High scenario'!AJ16</f>
        <v>-2.0238869171843827E-2</v>
      </c>
      <c r="G18" s="20">
        <f>'High scenario'!BI16</f>
        <v>-2.8141173640980819E-2</v>
      </c>
    </row>
    <row r="19" spans="1:9">
      <c r="A19" s="45">
        <f t="shared" si="0"/>
        <v>2028</v>
      </c>
      <c r="B19" s="46">
        <f>'Central scenario'!AJ17</f>
        <v>-2.4101466080410562E-2</v>
      </c>
      <c r="C19" s="46">
        <f>'Central scenario'!BI17</f>
        <v>-3.3800353567145031E-2</v>
      </c>
      <c r="D19" s="20">
        <f>'Low scenario'!AJ17</f>
        <v>-3.0664348665224168E-2</v>
      </c>
      <c r="E19" s="20">
        <f>'Low scenario'!BH17</f>
        <v>-4.0646891234167384E-2</v>
      </c>
      <c r="F19" s="20">
        <f>'High scenario'!AJ17</f>
        <v>-1.7996215019955786E-2</v>
      </c>
      <c r="G19" s="20">
        <f>'High scenario'!BI17</f>
        <v>-2.7379567548986919E-2</v>
      </c>
    </row>
    <row r="20" spans="1:9">
      <c r="A20" s="35">
        <f t="shared" si="0"/>
        <v>2029</v>
      </c>
      <c r="B20" s="36">
        <f>'Central scenario'!AJ18</f>
        <v>-2.3888504555603735E-2</v>
      </c>
      <c r="C20" s="36">
        <f>'Central scenario'!BI18</f>
        <v>-3.4969138233082044E-2</v>
      </c>
      <c r="D20" s="20">
        <f>'Low scenario'!AJ18</f>
        <v>-3.0353745884489074E-2</v>
      </c>
      <c r="E20" s="20">
        <f>'Low scenario'!BH18</f>
        <v>-4.1778483920719138E-2</v>
      </c>
      <c r="F20" s="20">
        <f>'High scenario'!AJ18</f>
        <v>-1.7003240954238545E-2</v>
      </c>
      <c r="G20" s="20">
        <f>'High scenario'!BI18</f>
        <v>-2.7782651391386162E-2</v>
      </c>
    </row>
    <row r="21" spans="1:9">
      <c r="A21" s="45">
        <f t="shared" si="0"/>
        <v>2030</v>
      </c>
      <c r="B21" s="46">
        <f>'Central scenario'!AJ19</f>
        <v>-2.4004707091811947E-2</v>
      </c>
      <c r="C21" s="46">
        <f>'Central scenario'!BI19</f>
        <v>-3.6433512831266411E-2</v>
      </c>
      <c r="D21" s="20">
        <f>'Low scenario'!AJ19</f>
        <v>-3.08446953143733E-2</v>
      </c>
      <c r="E21" s="20">
        <f>'Low scenario'!BH19</f>
        <v>-4.3700887075474044E-2</v>
      </c>
      <c r="F21" s="20">
        <f>'High scenario'!AJ19</f>
        <v>-1.654831448463075E-2</v>
      </c>
      <c r="G21" s="20">
        <f>'High scenario'!BI19</f>
        <v>-2.8647508268657015E-2</v>
      </c>
    </row>
    <row r="22" spans="1:9">
      <c r="A22" s="45">
        <f t="shared" si="0"/>
        <v>2031</v>
      </c>
      <c r="B22" s="46">
        <f>'Central scenario'!AJ20</f>
        <v>-2.4283148080314343E-2</v>
      </c>
      <c r="C22" s="46">
        <f>'Central scenario'!BI20</f>
        <v>-3.7932755220104017E-2</v>
      </c>
      <c r="D22" s="20">
        <f>'Low scenario'!AJ20</f>
        <v>-3.1382104634042216E-2</v>
      </c>
      <c r="E22" s="20">
        <f>'Low scenario'!BH20</f>
        <v>-4.5691488974951455E-2</v>
      </c>
      <c r="F22" s="20">
        <f>'High scenario'!AJ20</f>
        <v>-1.6186644845393998E-2</v>
      </c>
      <c r="G22" s="20">
        <f>'High scenario'!BI20</f>
        <v>-2.962634875584793E-2</v>
      </c>
    </row>
    <row r="23" spans="1:9">
      <c r="A23" s="45">
        <f t="shared" si="0"/>
        <v>2032</v>
      </c>
      <c r="B23" s="46">
        <f>'Central scenario'!AJ21</f>
        <v>-2.3365496639504761E-2</v>
      </c>
      <c r="C23" s="46">
        <f>'Central scenario'!BI21</f>
        <v>-3.8352214828484311E-2</v>
      </c>
      <c r="D23" s="20">
        <f>'Low scenario'!AJ21</f>
        <v>-3.2449919883929486E-2</v>
      </c>
      <c r="E23" s="20">
        <f>'Low scenario'!BH21</f>
        <v>-4.8478368651734008E-2</v>
      </c>
      <c r="F23" s="20">
        <f>'High scenario'!AJ21</f>
        <v>-1.5249598354054475E-2</v>
      </c>
      <c r="G23" s="20">
        <f>'High scenario'!BI21</f>
        <v>-3.0020425356342393E-2</v>
      </c>
    </row>
    <row r="24" spans="1:9">
      <c r="A24" s="35">
        <f t="shared" si="0"/>
        <v>2033</v>
      </c>
      <c r="B24" s="36">
        <f>'Central scenario'!AJ22</f>
        <v>-2.2264906127467201E-2</v>
      </c>
      <c r="C24" s="36">
        <f>'Central scenario'!BI22</f>
        <v>-3.8568364916410705E-2</v>
      </c>
      <c r="D24" s="20">
        <f>'Low scenario'!AJ22</f>
        <v>-3.3105021318805751E-2</v>
      </c>
      <c r="E24" s="20">
        <f>'Low scenario'!BH22</f>
        <v>-5.0773790250699911E-2</v>
      </c>
      <c r="F24" s="20">
        <f>'High scenario'!AJ22</f>
        <v>-1.5000691482311623E-2</v>
      </c>
      <c r="G24" s="20">
        <f>'High scenario'!BI22</f>
        <v>-3.1159015116388682E-2</v>
      </c>
    </row>
    <row r="25" spans="1:9">
      <c r="A25" s="45">
        <f t="shared" si="0"/>
        <v>2034</v>
      </c>
      <c r="B25" s="46">
        <f>'Central scenario'!AJ23</f>
        <v>-2.243436562164235E-2</v>
      </c>
      <c r="C25" s="46">
        <f>'Central scenario'!BI23</f>
        <v>-4.0182001392053607E-2</v>
      </c>
      <c r="D25" s="20">
        <f>'Low scenario'!AJ23</f>
        <v>-3.3644082531779716E-2</v>
      </c>
      <c r="E25" s="20">
        <f>'Low scenario'!BH23</f>
        <v>-5.2820579392371954E-2</v>
      </c>
      <c r="F25" s="20">
        <f>'High scenario'!AJ23</f>
        <v>-1.4614383343694677E-2</v>
      </c>
      <c r="G25" s="20">
        <f>'High scenario'!BI23</f>
        <v>-3.2272543228436812E-2</v>
      </c>
    </row>
    <row r="26" spans="1:9">
      <c r="A26" s="45">
        <f t="shared" si="0"/>
        <v>2035</v>
      </c>
      <c r="B26" s="46">
        <f>'Central scenario'!AJ24</f>
        <v>-2.2670836301678859E-2</v>
      </c>
      <c r="C26" s="46">
        <f>'Central scenario'!BI24</f>
        <v>-4.1667325767002092E-2</v>
      </c>
      <c r="D26" s="20">
        <f>'Low scenario'!AJ24</f>
        <v>-3.4168627355909309E-2</v>
      </c>
      <c r="E26" s="20">
        <f>'Low scenario'!BH24</f>
        <v>-5.487732958331562E-2</v>
      </c>
      <c r="F26" s="20">
        <f>'High scenario'!AJ24</f>
        <v>-1.3604691693752464E-2</v>
      </c>
      <c r="G26" s="20">
        <f>'High scenario'!BI24</f>
        <v>-3.250790545010819E-2</v>
      </c>
    </row>
    <row r="27" spans="1:9">
      <c r="A27" s="45">
        <f t="shared" si="0"/>
        <v>2036</v>
      </c>
      <c r="B27" s="46">
        <f>'Central scenario'!AJ25</f>
        <v>-2.2549757973630843E-2</v>
      </c>
      <c r="C27" s="46">
        <f>'Central scenario'!BI25</f>
        <v>-4.3402919978723434E-2</v>
      </c>
      <c r="D27" s="20">
        <f>'Low scenario'!AJ25</f>
        <v>-3.4269710598780576E-2</v>
      </c>
      <c r="E27" s="20">
        <f>'Low scenario'!BH25</f>
        <v>-5.6783443118508289E-2</v>
      </c>
      <c r="F27" s="20">
        <f>'High scenario'!AJ25</f>
        <v>-1.283137691192879E-2</v>
      </c>
      <c r="G27" s="20">
        <f>'High scenario'!BI25</f>
        <v>-3.3108044038522584E-2</v>
      </c>
    </row>
    <row r="28" spans="1:9">
      <c r="A28" s="35">
        <f t="shared" si="0"/>
        <v>2037</v>
      </c>
      <c r="B28" s="36">
        <f>'Central scenario'!AJ26</f>
        <v>-2.2042639806873609E-2</v>
      </c>
      <c r="C28" s="36">
        <f>'Central scenario'!BI26</f>
        <v>-4.4744219233401425E-2</v>
      </c>
      <c r="D28" s="20">
        <f>'Low scenario'!AJ26</f>
        <v>-3.488027794631425E-2</v>
      </c>
      <c r="E28" s="20">
        <f>'Low scenario'!BH26</f>
        <v>-5.9256742613211351E-2</v>
      </c>
      <c r="F28" s="20">
        <f>'High scenario'!AJ26</f>
        <v>-1.2823655359881038E-2</v>
      </c>
      <c r="G28" s="20">
        <f>'High scenario'!BI26</f>
        <v>-3.4855511245666687E-2</v>
      </c>
    </row>
    <row r="29" spans="1:9">
      <c r="A29" s="45">
        <f t="shared" si="0"/>
        <v>2038</v>
      </c>
      <c r="B29" s="46">
        <f>'Central scenario'!AJ27</f>
        <v>-2.2013373542945486E-2</v>
      </c>
      <c r="C29" s="46">
        <f>'Central scenario'!BI27</f>
        <v>-4.6642610221603154E-2</v>
      </c>
      <c r="D29" s="20">
        <f>'Low scenario'!AJ27</f>
        <v>-3.5251872837727898E-2</v>
      </c>
      <c r="E29" s="20">
        <f>'Low scenario'!BH27</f>
        <v>-6.1935520731516744E-2</v>
      </c>
      <c r="F29" s="20">
        <f>'High scenario'!AJ27</f>
        <v>-1.2433523733170448E-2</v>
      </c>
      <c r="G29" s="20">
        <f>'High scenario'!BI27</f>
        <v>-3.6230960070341274E-2</v>
      </c>
    </row>
    <row r="30" spans="1:9">
      <c r="A30" s="45">
        <f t="shared" si="0"/>
        <v>2039</v>
      </c>
      <c r="B30" s="46">
        <f>'Central scenario'!AJ28</f>
        <v>-2.1637188112270847E-2</v>
      </c>
      <c r="C30" s="46">
        <f>'Central scenario'!BI28</f>
        <v>-4.8138113379342248E-2</v>
      </c>
      <c r="D30" s="20">
        <f>'Low scenario'!AJ28</f>
        <v>-3.5525376062948436E-2</v>
      </c>
      <c r="E30" s="20">
        <f>'Low scenario'!BH28</f>
        <v>-6.445679771030785E-2</v>
      </c>
      <c r="F30" s="20">
        <f>'High scenario'!AJ28</f>
        <v>-1.2536789837583721E-2</v>
      </c>
      <c r="G30" s="20">
        <f>'High scenario'!BI28</f>
        <v>-3.8110406633215577E-2</v>
      </c>
    </row>
    <row r="31" spans="1:9">
      <c r="A31" s="45">
        <f t="shared" si="0"/>
        <v>2040</v>
      </c>
      <c r="B31" s="46">
        <f>'Central scenario'!AJ29</f>
        <v>-2.134500253235146E-2</v>
      </c>
      <c r="C31" s="46">
        <f>'Central scenario'!BI29</f>
        <v>-4.9686163036358075E-2</v>
      </c>
      <c r="D31" s="20">
        <f>'Low scenario'!AJ29</f>
        <v>-3.6452704394906742E-2</v>
      </c>
      <c r="E31" s="20">
        <f>'Low scenario'!BH29</f>
        <v>-6.7414116940931232E-2</v>
      </c>
      <c r="F31" s="20">
        <f>'High scenario'!AJ29</f>
        <v>-1.2410982553138253E-2</v>
      </c>
      <c r="G31" s="20">
        <f>'High scenario'!BI29</f>
        <v>-3.9800201174044814E-2</v>
      </c>
      <c r="H31" s="20">
        <f>F31-B31</f>
        <v>8.9340199792132067E-3</v>
      </c>
      <c r="I31" s="20">
        <f>B31-D31</f>
        <v>1.5107701862555282E-2</v>
      </c>
    </row>
    <row r="32" spans="1:9">
      <c r="B32" s="20">
        <f>B31-B13</f>
        <v>5.9214446698634959E-3</v>
      </c>
      <c r="D32" s="20">
        <f>D31-D13</f>
        <v>-6.9187430327461996E-3</v>
      </c>
      <c r="F32" s="20">
        <f>F31-F13</f>
        <v>1.3533906995631116E-2</v>
      </c>
    </row>
    <row r="33" spans="1:8" ht="60">
      <c r="B33" s="61" t="s">
        <v>62</v>
      </c>
      <c r="C33" s="8" t="s">
        <v>63</v>
      </c>
      <c r="D33" s="8" t="s">
        <v>64</v>
      </c>
      <c r="E33" s="8" t="s">
        <v>65</v>
      </c>
      <c r="F33" s="8" t="s">
        <v>66</v>
      </c>
      <c r="G33" s="8" t="s">
        <v>67</v>
      </c>
      <c r="H33" s="8" t="s">
        <v>68</v>
      </c>
    </row>
    <row r="34" spans="1:8">
      <c r="B34" s="61"/>
    </row>
    <row r="35" spans="1:8">
      <c r="A35">
        <v>1993</v>
      </c>
      <c r="B35" s="62">
        <v>-1.77E-2</v>
      </c>
    </row>
    <row r="36" spans="1:8">
      <c r="A36">
        <f t="shared" ref="A36:A82" si="1">A35+1</f>
        <v>1994</v>
      </c>
      <c r="B36" s="63">
        <v>-2.6599999999999999E-2</v>
      </c>
    </row>
    <row r="37" spans="1:8">
      <c r="A37">
        <f t="shared" si="1"/>
        <v>1995</v>
      </c>
      <c r="B37" s="62">
        <v>-2.23E-2</v>
      </c>
    </row>
    <row r="38" spans="1:8">
      <c r="A38">
        <f t="shared" si="1"/>
        <v>1996</v>
      </c>
      <c r="B38" s="63">
        <v>-2.3300000000000001E-2</v>
      </c>
    </row>
    <row r="39" spans="1:8">
      <c r="A39">
        <f t="shared" si="1"/>
        <v>1997</v>
      </c>
      <c r="B39" s="62">
        <v>-2.0799999999999999E-2</v>
      </c>
    </row>
    <row r="40" spans="1:8">
      <c r="A40">
        <f t="shared" si="1"/>
        <v>1998</v>
      </c>
      <c r="B40" s="63">
        <v>-2.7099999999999999E-2</v>
      </c>
    </row>
    <row r="41" spans="1:8">
      <c r="A41">
        <f t="shared" si="1"/>
        <v>1999</v>
      </c>
      <c r="B41" s="62">
        <v>-3.2199999999999999E-2</v>
      </c>
    </row>
    <row r="42" spans="1:8">
      <c r="A42">
        <f t="shared" si="1"/>
        <v>2000</v>
      </c>
      <c r="B42" s="63">
        <v>-3.3799999999999997E-2</v>
      </c>
    </row>
    <row r="43" spans="1:8">
      <c r="A43">
        <f t="shared" si="1"/>
        <v>2001</v>
      </c>
      <c r="B43" s="62">
        <v>-3.4299999999999997E-2</v>
      </c>
    </row>
    <row r="44" spans="1:8">
      <c r="A44">
        <f t="shared" si="1"/>
        <v>2002</v>
      </c>
      <c r="B44" s="63">
        <v>-2.9700000000000001E-2</v>
      </c>
    </row>
    <row r="45" spans="1:8">
      <c r="A45">
        <f t="shared" si="1"/>
        <v>2003</v>
      </c>
      <c r="B45" s="62">
        <v>-2.7799999999999998E-2</v>
      </c>
    </row>
    <row r="46" spans="1:8">
      <c r="A46">
        <f t="shared" si="1"/>
        <v>2004</v>
      </c>
      <c r="B46" s="63">
        <v>-2.1899999999999999E-2</v>
      </c>
    </row>
    <row r="47" spans="1:8">
      <c r="A47">
        <f t="shared" si="1"/>
        <v>2005</v>
      </c>
      <c r="B47" s="62">
        <v>-1.7899999999999999E-2</v>
      </c>
    </row>
    <row r="48" spans="1:8">
      <c r="A48">
        <f t="shared" si="1"/>
        <v>2006</v>
      </c>
      <c r="B48" s="63">
        <v>-1.6500000000000001E-2</v>
      </c>
    </row>
    <row r="49" spans="1:8">
      <c r="A49">
        <f t="shared" si="1"/>
        <v>2007</v>
      </c>
      <c r="B49" s="62">
        <v>-1.5900000000000001E-2</v>
      </c>
    </row>
    <row r="50" spans="1:8">
      <c r="A50">
        <f t="shared" si="1"/>
        <v>2008</v>
      </c>
      <c r="B50" s="63">
        <v>-1.83E-2</v>
      </c>
    </row>
    <row r="51" spans="1:8">
      <c r="A51">
        <f t="shared" si="1"/>
        <v>2009</v>
      </c>
      <c r="B51" s="62">
        <v>-1.5699999999999999E-2</v>
      </c>
    </row>
    <row r="52" spans="1:8">
      <c r="A52">
        <f t="shared" si="1"/>
        <v>2010</v>
      </c>
      <c r="B52" s="63">
        <v>-1.5800000000000002E-2</v>
      </c>
    </row>
    <row r="53" spans="1:8">
      <c r="A53">
        <f t="shared" si="1"/>
        <v>2011</v>
      </c>
      <c r="B53" s="62">
        <v>-1.6199999999999999E-2</v>
      </c>
    </row>
    <row r="54" spans="1:8">
      <c r="A54">
        <f t="shared" si="1"/>
        <v>2012</v>
      </c>
      <c r="B54" s="63">
        <v>-1.95E-2</v>
      </c>
    </row>
    <row r="55" spans="1:8">
      <c r="A55">
        <f t="shared" si="1"/>
        <v>2013</v>
      </c>
      <c r="B55" s="62">
        <v>-2.1100000000000001E-2</v>
      </c>
    </row>
    <row r="56" spans="1:8">
      <c r="A56">
        <f t="shared" si="1"/>
        <v>2014</v>
      </c>
      <c r="B56" s="63">
        <v>-2.1700000000000001E-2</v>
      </c>
      <c r="C56" s="19">
        <v>-2.04610062724093E-2</v>
      </c>
      <c r="D56" s="19"/>
      <c r="E56" s="20"/>
      <c r="F56" s="20"/>
      <c r="G56" s="20"/>
      <c r="H56" s="20"/>
    </row>
    <row r="57" spans="1:8">
      <c r="A57">
        <f t="shared" si="1"/>
        <v>2015</v>
      </c>
      <c r="B57" s="62">
        <v>-2.8799999999999999E-2</v>
      </c>
      <c r="C57" s="19">
        <v>-3.3044638260362802E-2</v>
      </c>
      <c r="D57" s="19"/>
      <c r="E57" s="20"/>
      <c r="F57" s="20"/>
      <c r="G57" s="20"/>
      <c r="H57" s="20"/>
    </row>
    <row r="58" spans="1:8">
      <c r="A58">
        <f t="shared" si="1"/>
        <v>2016</v>
      </c>
      <c r="B58" s="63">
        <v>-3.3700000000000001E-2</v>
      </c>
      <c r="C58" s="19">
        <v>-3.2069998032844597E-2</v>
      </c>
      <c r="D58" s="19">
        <v>-3.2103225099647699E-2</v>
      </c>
      <c r="E58" s="20"/>
      <c r="F58" s="20"/>
      <c r="G58" s="20"/>
      <c r="H58" s="20"/>
    </row>
    <row r="59" spans="1:8">
      <c r="A59">
        <f t="shared" si="1"/>
        <v>2017</v>
      </c>
      <c r="B59" s="62">
        <v>-4.0599999999999997E-2</v>
      </c>
      <c r="C59" s="19">
        <v>-3.7403852785620403E-2</v>
      </c>
      <c r="D59" s="19">
        <v>-3.7996113251991898E-2</v>
      </c>
      <c r="E59" s="20">
        <v>-3.7607778293913603E-2</v>
      </c>
      <c r="F59" s="20">
        <v>-3.8200038760285097E-2</v>
      </c>
      <c r="G59" s="20">
        <v>-3.7341522210877699E-2</v>
      </c>
      <c r="H59" s="20">
        <v>-3.79337826772492E-2</v>
      </c>
    </row>
    <row r="60" spans="1:8">
      <c r="A60">
        <f t="shared" si="1"/>
        <v>2018</v>
      </c>
      <c r="C60" s="19">
        <v>-3.7392961324655402E-2</v>
      </c>
      <c r="D60" s="19">
        <v>-3.8452513671492702E-2</v>
      </c>
      <c r="E60" s="20">
        <v>-3.8640363964177603E-2</v>
      </c>
      <c r="F60" s="20">
        <v>-3.9705604129979297E-2</v>
      </c>
      <c r="G60" s="20">
        <v>-3.6307860308015701E-2</v>
      </c>
      <c r="H60" s="20">
        <v>-3.73615054714437E-2</v>
      </c>
    </row>
    <row r="61" spans="1:8">
      <c r="A61">
        <f t="shared" si="1"/>
        <v>2019</v>
      </c>
      <c r="C61" s="19">
        <v>-4.0938359440306903E-2</v>
      </c>
      <c r="D61" s="19">
        <v>-4.2453692801659997E-2</v>
      </c>
      <c r="E61" s="20">
        <v>-4.3475443742129E-2</v>
      </c>
      <c r="F61" s="20">
        <v>-4.5010849715017502E-2</v>
      </c>
      <c r="G61" s="20">
        <v>-3.8766618125938401E-2</v>
      </c>
      <c r="H61" s="20">
        <v>-4.0261811345533902E-2</v>
      </c>
    </row>
    <row r="62" spans="1:8">
      <c r="A62">
        <f t="shared" si="1"/>
        <v>2020</v>
      </c>
      <c r="C62" s="19">
        <v>-4.3828210534307202E-2</v>
      </c>
      <c r="D62" s="19">
        <v>-4.5850567138983098E-2</v>
      </c>
      <c r="E62" s="20">
        <v>-4.7445468422155503E-2</v>
      </c>
      <c r="F62" s="20">
        <v>-4.9510295071098102E-2</v>
      </c>
      <c r="G62" s="20">
        <v>-4.0698020630775399E-2</v>
      </c>
      <c r="H62" s="20">
        <v>-4.2682802503413102E-2</v>
      </c>
    </row>
    <row r="63" spans="1:8">
      <c r="A63">
        <f t="shared" si="1"/>
        <v>2021</v>
      </c>
      <c r="C63" s="19">
        <v>-4.4841165018680698E-2</v>
      </c>
      <c r="D63" s="19">
        <v>-4.7327378669444101E-2</v>
      </c>
      <c r="E63" s="20">
        <v>-4.9176042337864399E-2</v>
      </c>
      <c r="F63" s="20">
        <v>-5.17191664308293E-2</v>
      </c>
      <c r="G63" s="20">
        <v>-4.0279793091458398E-2</v>
      </c>
      <c r="H63" s="20">
        <v>-4.2713745366851803E-2</v>
      </c>
    </row>
    <row r="64" spans="1:8">
      <c r="A64">
        <f t="shared" si="1"/>
        <v>2022</v>
      </c>
      <c r="C64" s="19">
        <v>-4.4770865092027198E-2</v>
      </c>
      <c r="D64" s="19">
        <v>-4.7824349301039099E-2</v>
      </c>
      <c r="E64" s="20">
        <v>-5.0693558724237198E-2</v>
      </c>
      <c r="F64" s="20">
        <v>-5.3811352462557901E-2</v>
      </c>
      <c r="G64" s="20">
        <v>-3.9941396902823403E-2</v>
      </c>
      <c r="H64" s="20">
        <v>-4.2868603716032003E-2</v>
      </c>
    </row>
    <row r="65" spans="1:8">
      <c r="A65">
        <f t="shared" si="1"/>
        <v>2023</v>
      </c>
      <c r="C65" s="19">
        <v>-4.32474424424217E-2</v>
      </c>
      <c r="D65" s="19">
        <v>-4.6803161722397298E-2</v>
      </c>
      <c r="E65" s="20">
        <v>-5.02813077901995E-2</v>
      </c>
      <c r="F65" s="20">
        <v>-5.3844567538501802E-2</v>
      </c>
      <c r="G65" s="20">
        <v>-3.6982389192176099E-2</v>
      </c>
      <c r="H65" s="20">
        <v>-4.0291364995348598E-2</v>
      </c>
    </row>
    <row r="66" spans="1:8">
      <c r="A66">
        <f t="shared" si="1"/>
        <v>2024</v>
      </c>
      <c r="C66" s="27">
        <v>-4.07053581128047E-2</v>
      </c>
      <c r="D66" s="27">
        <v>-4.4873693049842699E-2</v>
      </c>
      <c r="E66" s="20">
        <v>-4.9197869066938398E-2</v>
      </c>
      <c r="F66" s="20">
        <v>-5.3350308368239702E-2</v>
      </c>
      <c r="G66" s="20">
        <v>-3.4357169997021E-2</v>
      </c>
      <c r="H66" s="20">
        <v>-3.8178193995478303E-2</v>
      </c>
    </row>
    <row r="67" spans="1:8">
      <c r="A67">
        <f t="shared" si="1"/>
        <v>2025</v>
      </c>
      <c r="C67" s="36">
        <v>-3.8437388835727102E-2</v>
      </c>
      <c r="D67" s="36">
        <v>-4.3839013356570297E-2</v>
      </c>
      <c r="E67" s="20">
        <v>-4.8317161973534098E-2</v>
      </c>
      <c r="F67" s="20">
        <v>-5.3795669799487501E-2</v>
      </c>
      <c r="G67" s="20">
        <v>-3.1446462323119297E-2</v>
      </c>
      <c r="H67" s="20">
        <v>-3.6447809185915198E-2</v>
      </c>
    </row>
    <row r="68" spans="1:8">
      <c r="A68">
        <f t="shared" si="1"/>
        <v>2026</v>
      </c>
      <c r="C68" s="46">
        <v>-3.5833361479703799E-2</v>
      </c>
      <c r="D68" s="46">
        <v>-4.2518915995942499E-2</v>
      </c>
      <c r="E68" s="20">
        <v>-4.71101721898914E-2</v>
      </c>
      <c r="F68" s="20">
        <v>-5.3922409349610102E-2</v>
      </c>
      <c r="G68" s="20">
        <v>-2.8543145589422999E-2</v>
      </c>
      <c r="H68" s="20">
        <v>-3.4705985466903698E-2</v>
      </c>
    </row>
    <row r="69" spans="1:8">
      <c r="A69">
        <f t="shared" si="1"/>
        <v>2027</v>
      </c>
      <c r="C69" s="46">
        <v>-3.3555998572039503E-2</v>
      </c>
      <c r="D69" s="46">
        <v>-4.1671132818721299E-2</v>
      </c>
      <c r="E69" s="20">
        <v>-4.4499902277535197E-2</v>
      </c>
      <c r="F69" s="20">
        <v>-5.2930840326063502E-2</v>
      </c>
      <c r="G69" s="20">
        <v>-2.4635025821339401E-2</v>
      </c>
      <c r="H69" s="20">
        <v>-3.2064608567462301E-2</v>
      </c>
    </row>
    <row r="70" spans="1:8">
      <c r="A70">
        <f t="shared" si="1"/>
        <v>2028</v>
      </c>
      <c r="B70" s="14"/>
      <c r="C70" s="46">
        <v>-3.1509858502588799E-2</v>
      </c>
      <c r="D70" s="46">
        <v>-4.10056250740558E-2</v>
      </c>
      <c r="E70" s="20">
        <v>-4.2756136471171102E-2</v>
      </c>
      <c r="F70" s="20">
        <v>-5.2662710349283097E-2</v>
      </c>
      <c r="G70" s="20">
        <v>-2.1507669501768901E-2</v>
      </c>
      <c r="H70" s="20">
        <v>-3.0161045341474998E-2</v>
      </c>
    </row>
    <row r="71" spans="1:8">
      <c r="A71">
        <f t="shared" si="1"/>
        <v>2029</v>
      </c>
      <c r="B71" s="19"/>
      <c r="C71" s="36">
        <v>-2.93502546836776E-2</v>
      </c>
      <c r="D71" s="36">
        <v>-4.0027841799250799E-2</v>
      </c>
      <c r="E71" s="20">
        <v>-4.1926221131431303E-2</v>
      </c>
      <c r="F71" s="20">
        <v>-5.3205007466344503E-2</v>
      </c>
      <c r="G71" s="20">
        <v>-1.77299347081778E-2</v>
      </c>
      <c r="H71" s="20">
        <v>-2.74936711441096E-2</v>
      </c>
    </row>
    <row r="72" spans="1:8">
      <c r="A72">
        <f t="shared" si="1"/>
        <v>2030</v>
      </c>
      <c r="B72" s="19"/>
      <c r="C72" s="46">
        <v>-2.7511044160048199E-2</v>
      </c>
      <c r="D72" s="46">
        <v>-3.9083075156626401E-2</v>
      </c>
      <c r="E72" s="20">
        <v>-4.1216007777218303E-2</v>
      </c>
      <c r="F72" s="20">
        <v>-5.3751999026860203E-2</v>
      </c>
      <c r="G72" s="20">
        <v>-1.5200961982201401E-2</v>
      </c>
      <c r="H72" s="20">
        <v>-2.5869920175587899E-2</v>
      </c>
    </row>
    <row r="73" spans="1:8">
      <c r="A73">
        <f t="shared" si="1"/>
        <v>2031</v>
      </c>
      <c r="B73" s="19"/>
      <c r="C73" s="46">
        <v>-2.5023701151487901E-2</v>
      </c>
      <c r="D73" s="46">
        <v>-3.7636433861558599E-2</v>
      </c>
      <c r="E73" s="20">
        <v>-3.9004403869669302E-2</v>
      </c>
      <c r="F73" s="20">
        <v>-5.2743941824754698E-2</v>
      </c>
      <c r="G73" s="20">
        <v>-1.27195302993086E-2</v>
      </c>
      <c r="H73" s="20">
        <v>-2.4151208902882099E-2</v>
      </c>
    </row>
    <row r="74" spans="1:8">
      <c r="A74">
        <f t="shared" si="1"/>
        <v>2032</v>
      </c>
      <c r="B74" s="19"/>
      <c r="C74" s="46">
        <v>-2.36624962419754E-2</v>
      </c>
      <c r="D74" s="46">
        <v>-3.7373955215556802E-2</v>
      </c>
      <c r="E74" s="20">
        <v>-3.7203827708453999E-2</v>
      </c>
      <c r="F74" s="20">
        <v>-5.2348145130919302E-2</v>
      </c>
      <c r="G74" s="20">
        <v>-9.9791289783957796E-3</v>
      </c>
      <c r="H74" s="20">
        <v>-2.24162026356837E-2</v>
      </c>
    </row>
    <row r="75" spans="1:8">
      <c r="A75">
        <f t="shared" si="1"/>
        <v>2033</v>
      </c>
      <c r="B75" s="19"/>
      <c r="C75" s="36">
        <v>-2.1189228838124401E-2</v>
      </c>
      <c r="D75" s="36">
        <v>-3.5836712928319997E-2</v>
      </c>
      <c r="E75" s="20">
        <v>-3.5248206984766099E-2</v>
      </c>
      <c r="F75" s="20">
        <v>-5.1656829856433301E-2</v>
      </c>
      <c r="G75" s="20">
        <v>-7.1663302058344097E-3</v>
      </c>
      <c r="H75" s="20">
        <v>-2.03870041464871E-2</v>
      </c>
    </row>
    <row r="76" spans="1:8">
      <c r="A76">
        <f t="shared" si="1"/>
        <v>2034</v>
      </c>
      <c r="B76" s="19"/>
      <c r="C76" s="46">
        <v>-1.97720290629055E-2</v>
      </c>
      <c r="D76" s="46">
        <v>-3.53918960189126E-2</v>
      </c>
      <c r="E76" s="20">
        <v>-3.4545826484088597E-2</v>
      </c>
      <c r="F76" s="20">
        <v>-5.2198398048414099E-2</v>
      </c>
      <c r="G76" s="20">
        <v>-5.2591328547971503E-3</v>
      </c>
      <c r="H76" s="20">
        <v>-1.92070127073764E-2</v>
      </c>
    </row>
    <row r="77" spans="1:8">
      <c r="A77">
        <f t="shared" si="1"/>
        <v>2035</v>
      </c>
      <c r="B77" s="19"/>
      <c r="C77" s="46">
        <v>-1.8115084551335099E-2</v>
      </c>
      <c r="D77" s="46">
        <v>-3.4678921474199403E-2</v>
      </c>
      <c r="E77" s="20">
        <v>-3.3425845490203498E-2</v>
      </c>
      <c r="F77" s="20">
        <v>-5.2361931828119698E-2</v>
      </c>
      <c r="G77" s="20">
        <v>-3.5417840712152998E-3</v>
      </c>
      <c r="H77" s="20">
        <v>-1.82066664363193E-2</v>
      </c>
    </row>
    <row r="78" spans="1:8">
      <c r="A78">
        <f t="shared" si="1"/>
        <v>2036</v>
      </c>
      <c r="B78" s="19"/>
      <c r="C78" s="46">
        <v>-1.6537977974959601E-2</v>
      </c>
      <c r="D78" s="46">
        <v>-3.4078461737139999E-2</v>
      </c>
      <c r="E78" s="20">
        <v>-3.2063325189905997E-2</v>
      </c>
      <c r="F78" s="20">
        <v>-5.2222104571685302E-2</v>
      </c>
      <c r="G78" s="20">
        <v>-1.8858359542348201E-3</v>
      </c>
      <c r="H78" s="20">
        <v>-1.7363874266380201E-2</v>
      </c>
    </row>
    <row r="79" spans="1:8">
      <c r="A79">
        <f t="shared" si="1"/>
        <v>2037</v>
      </c>
      <c r="B79" s="19"/>
      <c r="C79" s="36">
        <v>-1.5550975233555499E-2</v>
      </c>
      <c r="D79" s="36">
        <v>-3.4099803431488003E-2</v>
      </c>
      <c r="E79" s="20">
        <v>-3.0606441824341302E-2</v>
      </c>
      <c r="F79" s="20">
        <v>-5.2168915722056799E-2</v>
      </c>
      <c r="G79" s="20">
        <v>1.7017956259121999E-4</v>
      </c>
      <c r="H79" s="20">
        <v>-1.5904150737630001E-2</v>
      </c>
    </row>
    <row r="80" spans="1:8">
      <c r="A80">
        <f t="shared" si="1"/>
        <v>2038</v>
      </c>
      <c r="B80" s="19"/>
      <c r="C80" s="46">
        <v>-1.4501819211095701E-2</v>
      </c>
      <c r="D80" s="46">
        <v>-3.4087775701549999E-2</v>
      </c>
      <c r="E80" s="20">
        <v>-2.92541441802E-2</v>
      </c>
      <c r="F80" s="20">
        <v>-5.2167950957750502E-2</v>
      </c>
      <c r="G80" s="20">
        <v>1.42985621154989E-3</v>
      </c>
      <c r="H80" s="20">
        <v>-1.5320010741176299E-2</v>
      </c>
    </row>
    <row r="81" spans="1:8">
      <c r="A81">
        <f t="shared" si="1"/>
        <v>2039</v>
      </c>
      <c r="B81" s="27"/>
      <c r="C81" s="46">
        <v>-1.34972399103032E-2</v>
      </c>
      <c r="D81" s="46">
        <v>-3.3968233178717201E-2</v>
      </c>
      <c r="E81" s="20">
        <v>-2.77373383666853E-2</v>
      </c>
      <c r="F81" s="20">
        <v>-5.2166505347925801E-2</v>
      </c>
      <c r="G81" s="20">
        <v>2.27289823088215E-3</v>
      </c>
      <c r="H81" s="20">
        <v>-1.5282599976068401E-2</v>
      </c>
    </row>
    <row r="82" spans="1:8">
      <c r="A82">
        <f t="shared" si="1"/>
        <v>2040</v>
      </c>
      <c r="B82" s="36"/>
      <c r="C82" s="46">
        <v>-1.32561175472251E-2</v>
      </c>
      <c r="D82" s="46">
        <v>-3.4710996518229301E-2</v>
      </c>
      <c r="E82" s="20">
        <v>-2.7625773397559301E-2</v>
      </c>
      <c r="F82" s="20">
        <v>-5.3366897924475097E-2</v>
      </c>
      <c r="G82" s="20">
        <v>2.9590171445052801E-3</v>
      </c>
      <c r="H82" s="20">
        <v>-1.5430971079205401E-2</v>
      </c>
    </row>
    <row r="83" spans="1:8">
      <c r="A83" s="45"/>
      <c r="B83" s="46"/>
      <c r="C83" s="46"/>
      <c r="D83" s="20"/>
      <c r="E83" s="20"/>
      <c r="F83" s="20"/>
      <c r="G83" s="20"/>
    </row>
    <row r="84" spans="1:8">
      <c r="A84" s="45"/>
      <c r="B84" s="46"/>
      <c r="C84" s="46"/>
      <c r="D84" s="20"/>
      <c r="E84" s="20"/>
      <c r="F84" s="20"/>
      <c r="G84" s="20"/>
    </row>
    <row r="85" spans="1:8">
      <c r="A85" s="45"/>
      <c r="B85" s="46"/>
      <c r="C85" s="46"/>
      <c r="D85" s="20"/>
      <c r="E85" s="20"/>
      <c r="F85" s="20"/>
      <c r="G85" s="20"/>
    </row>
    <row r="86" spans="1:8">
      <c r="A86" s="35"/>
      <c r="B86" s="36"/>
      <c r="C86" s="36"/>
      <c r="D86" s="20"/>
      <c r="E86" s="20"/>
      <c r="F86" s="20"/>
      <c r="G86" s="20"/>
    </row>
    <row r="87" spans="1:8">
      <c r="A87" s="45"/>
      <c r="B87" s="46"/>
      <c r="C87" s="46"/>
      <c r="D87" s="20"/>
      <c r="E87" s="20"/>
      <c r="F87" s="20"/>
      <c r="G87" s="20"/>
    </row>
    <row r="88" spans="1:8">
      <c r="A88" s="45"/>
      <c r="B88" s="46"/>
      <c r="C88" s="46"/>
      <c r="D88" s="20"/>
      <c r="E88" s="20"/>
      <c r="F88" s="20"/>
      <c r="G88" s="20"/>
    </row>
    <row r="89" spans="1:8">
      <c r="A89" s="45"/>
      <c r="B89" s="46"/>
      <c r="C89" s="46"/>
      <c r="D89" s="20"/>
      <c r="E89" s="20"/>
      <c r="F89" s="20"/>
      <c r="G89" s="20"/>
    </row>
    <row r="90" spans="1:8">
      <c r="A90" s="35"/>
      <c r="B90" s="36"/>
      <c r="C90" s="36"/>
      <c r="D90" s="20"/>
      <c r="E90" s="20"/>
      <c r="F90" s="20"/>
      <c r="G90" s="20"/>
    </row>
    <row r="91" spans="1:8">
      <c r="A91" s="45"/>
      <c r="B91" s="46"/>
      <c r="C91" s="46"/>
      <c r="D91" s="20"/>
      <c r="E91" s="20"/>
      <c r="F91" s="20"/>
      <c r="G91" s="20"/>
    </row>
    <row r="92" spans="1:8">
      <c r="A92" s="45"/>
      <c r="B92" s="46"/>
      <c r="C92" s="46"/>
      <c r="D92" s="20"/>
      <c r="E92" s="20"/>
      <c r="F92" s="20"/>
      <c r="G92" s="20"/>
    </row>
    <row r="93" spans="1:8">
      <c r="A93" s="45"/>
      <c r="B93" s="46"/>
      <c r="C93" s="46"/>
      <c r="D93" s="20"/>
      <c r="E93" s="20"/>
      <c r="F93" s="20"/>
      <c r="G93" s="20"/>
    </row>
    <row r="94" spans="1:8">
      <c r="A94" s="35"/>
      <c r="B94" s="36"/>
      <c r="C94" s="36"/>
      <c r="D94" s="20"/>
      <c r="E94" s="20"/>
      <c r="F94" s="20"/>
      <c r="G94" s="20"/>
    </row>
    <row r="95" spans="1:8">
      <c r="A95" s="45"/>
      <c r="B95" s="46"/>
      <c r="C95" s="46"/>
      <c r="D95" s="20"/>
      <c r="E95" s="20"/>
      <c r="F95" s="20"/>
      <c r="G95" s="20"/>
    </row>
    <row r="96" spans="1:8">
      <c r="A96" s="45"/>
      <c r="B96" s="46"/>
      <c r="C96" s="46"/>
      <c r="D96" s="20"/>
      <c r="E96" s="20"/>
      <c r="F96" s="20"/>
      <c r="G96" s="20"/>
    </row>
    <row r="97" spans="1:7">
      <c r="A97" s="45"/>
      <c r="B97" s="46"/>
      <c r="C97" s="46"/>
      <c r="D97" s="20"/>
      <c r="E97" s="20"/>
      <c r="F97" s="20"/>
      <c r="G97" s="20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scenario</vt:lpstr>
      <vt:lpstr>Low scenario</vt:lpstr>
      <vt:lpstr>High scenario</vt:lpstr>
      <vt:lpstr>Graphiques déficit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239</cp:revision>
  <dcterms:created xsi:type="dcterms:W3CDTF">2018-03-19T16:55:05Z</dcterms:created>
  <dcterms:modified xsi:type="dcterms:W3CDTF">2018-09-25T10:08:23Z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