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-20" yWindow="0" windowWidth="18840" windowHeight="17260" tabRatio="976" activeTab="3"/>
  </bookViews>
  <sheets>
    <sheet name="Central scenario" sheetId="1" r:id="rId1"/>
    <sheet name="Low scenario" sheetId="2" r:id="rId2"/>
    <sheet name="High scenario" sheetId="3" r:id="rId3"/>
    <sheet name="Graphiques déficit" sheetId="4" r:id="rId4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H29" i="1" l="1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AZ28" i="2"/>
  <c r="AZ26" i="2"/>
  <c r="AZ27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B114" i="3"/>
  <c r="AB115" i="3"/>
  <c r="AB116" i="3"/>
  <c r="AB117" i="3"/>
  <c r="AY26" i="3"/>
  <c r="AZ26" i="3"/>
  <c r="AY27" i="3"/>
  <c r="AZ27" i="3"/>
  <c r="AY28" i="3"/>
  <c r="AZ28" i="3"/>
  <c r="AY29" i="3"/>
  <c r="AZ29" i="3"/>
  <c r="AY30" i="3"/>
  <c r="AZ30" i="3"/>
  <c r="AY31" i="3"/>
  <c r="AZ31" i="3"/>
  <c r="AY32" i="3"/>
  <c r="AZ32" i="3"/>
  <c r="AY33" i="3"/>
  <c r="AZ33" i="3"/>
  <c r="AY34" i="3"/>
  <c r="AZ34" i="3"/>
  <c r="AY35" i="3"/>
  <c r="AZ35" i="3"/>
  <c r="AY36" i="3"/>
  <c r="AZ36" i="3"/>
  <c r="AY37" i="3"/>
  <c r="AZ37" i="3"/>
  <c r="AY38" i="3"/>
  <c r="AZ38" i="3"/>
  <c r="AY39" i="3"/>
  <c r="AZ39" i="3"/>
  <c r="AY40" i="3"/>
  <c r="AZ40" i="3"/>
  <c r="AY41" i="3"/>
  <c r="AZ41" i="3"/>
  <c r="AY42" i="3"/>
  <c r="AZ42" i="3"/>
  <c r="AY43" i="3"/>
  <c r="AZ43" i="3"/>
  <c r="AY44" i="3"/>
  <c r="AZ44" i="3"/>
  <c r="AY45" i="3"/>
  <c r="AZ45" i="3"/>
  <c r="AY46" i="3"/>
  <c r="AZ46" i="3"/>
  <c r="AY47" i="3"/>
  <c r="AZ47" i="3"/>
  <c r="AY48" i="3"/>
  <c r="AZ48" i="3"/>
  <c r="AY49" i="3"/>
  <c r="AZ49" i="3"/>
  <c r="AY50" i="3"/>
  <c r="AZ50" i="3"/>
  <c r="AY51" i="3"/>
  <c r="AZ51" i="3"/>
  <c r="AY52" i="3"/>
  <c r="AZ52" i="3"/>
  <c r="AY53" i="3"/>
  <c r="AZ53" i="3"/>
  <c r="AY54" i="3"/>
  <c r="AZ54" i="3"/>
  <c r="AY55" i="3"/>
  <c r="AZ55" i="3"/>
  <c r="AY56" i="3"/>
  <c r="AZ56" i="3"/>
  <c r="AY57" i="3"/>
  <c r="AZ57" i="3"/>
  <c r="AY58" i="3"/>
  <c r="AZ58" i="3"/>
  <c r="AY59" i="3"/>
  <c r="AZ59" i="3"/>
  <c r="AY60" i="3"/>
  <c r="AZ60" i="3"/>
  <c r="AY61" i="3"/>
  <c r="AZ61" i="3"/>
  <c r="AY62" i="3"/>
  <c r="AZ62" i="3"/>
  <c r="AY63" i="3"/>
  <c r="AZ63" i="3"/>
  <c r="AY64" i="3"/>
  <c r="AZ64" i="3"/>
  <c r="AY65" i="3"/>
  <c r="AZ65" i="3"/>
  <c r="AY66" i="3"/>
  <c r="AZ66" i="3"/>
  <c r="AY67" i="3"/>
  <c r="AZ67" i="3"/>
  <c r="AY68" i="3"/>
  <c r="AZ68" i="3"/>
  <c r="AY69" i="3"/>
  <c r="AZ69" i="3"/>
  <c r="AY70" i="3"/>
  <c r="AZ70" i="3"/>
  <c r="AY71" i="3"/>
  <c r="AZ71" i="3"/>
  <c r="AY72" i="3"/>
  <c r="AZ72" i="3"/>
  <c r="AY73" i="3"/>
  <c r="AZ73" i="3"/>
  <c r="AY74" i="3"/>
  <c r="AZ74" i="3"/>
  <c r="AY75" i="3"/>
  <c r="AZ75" i="3"/>
  <c r="AY76" i="3"/>
  <c r="AZ76" i="3"/>
  <c r="AY77" i="3"/>
  <c r="AZ77" i="3"/>
  <c r="AY78" i="3"/>
  <c r="AZ78" i="3"/>
  <c r="AY79" i="3"/>
  <c r="AZ79" i="3"/>
  <c r="AY80" i="3"/>
  <c r="AZ80" i="3"/>
  <c r="AY81" i="3"/>
  <c r="AZ81" i="3"/>
  <c r="AY82" i="3"/>
  <c r="AZ82" i="3"/>
  <c r="AY83" i="3"/>
  <c r="AZ83" i="3"/>
  <c r="AY84" i="3"/>
  <c r="AZ84" i="3"/>
  <c r="AY85" i="3"/>
  <c r="AZ85" i="3"/>
  <c r="AY86" i="3"/>
  <c r="AZ86" i="3"/>
  <c r="AY87" i="3"/>
  <c r="AZ87" i="3"/>
  <c r="AY88" i="3"/>
  <c r="AZ88" i="3"/>
  <c r="AY89" i="3"/>
  <c r="AZ89" i="3"/>
  <c r="AY90" i="3"/>
  <c r="AZ90" i="3"/>
  <c r="AY91" i="3"/>
  <c r="AZ91" i="3"/>
  <c r="AY92" i="3"/>
  <c r="AZ92" i="3"/>
  <c r="AY93" i="3"/>
  <c r="AZ93" i="3"/>
  <c r="AY94" i="3"/>
  <c r="AZ94" i="3"/>
  <c r="AY95" i="3"/>
  <c r="AZ95" i="3"/>
  <c r="AY96" i="3"/>
  <c r="AZ96" i="3"/>
  <c r="AY97" i="3"/>
  <c r="AZ97" i="3"/>
  <c r="AY98" i="3"/>
  <c r="AZ98" i="3"/>
  <c r="AY99" i="3"/>
  <c r="AZ99" i="3"/>
  <c r="AY100" i="3"/>
  <c r="AZ100" i="3"/>
  <c r="AY101" i="3"/>
  <c r="AZ101" i="3"/>
  <c r="AY102" i="3"/>
  <c r="AZ102" i="3"/>
  <c r="AY103" i="3"/>
  <c r="AZ103" i="3"/>
  <c r="AY104" i="3"/>
  <c r="AZ104" i="3"/>
  <c r="AY105" i="3"/>
  <c r="AZ105" i="3"/>
  <c r="AY106" i="3"/>
  <c r="AZ106" i="3"/>
  <c r="AY107" i="3"/>
  <c r="AZ107" i="3"/>
  <c r="AY108" i="3"/>
  <c r="AZ108" i="3"/>
  <c r="AY109" i="3"/>
  <c r="AZ109" i="3"/>
  <c r="AY110" i="3"/>
  <c r="AZ110" i="3"/>
  <c r="AY111" i="3"/>
  <c r="AZ111" i="3"/>
  <c r="AY112" i="3"/>
  <c r="AZ112" i="3"/>
  <c r="AY113" i="3"/>
  <c r="AZ113" i="3"/>
  <c r="AY114" i="3"/>
  <c r="AZ114" i="3"/>
  <c r="AW114" i="3"/>
  <c r="AF25" i="3"/>
  <c r="AF114" i="3"/>
  <c r="AY115" i="3"/>
  <c r="AZ115" i="3"/>
  <c r="AW115" i="3"/>
  <c r="AF115" i="3"/>
  <c r="AY116" i="3"/>
  <c r="AZ116" i="3"/>
  <c r="AW116" i="3"/>
  <c r="AF116" i="3"/>
  <c r="AY117" i="3"/>
  <c r="AZ117" i="3"/>
  <c r="AW117" i="3"/>
  <c r="AF117" i="3"/>
  <c r="AJ29" i="3"/>
  <c r="F31" i="4"/>
  <c r="AB42" i="3"/>
  <c r="AB43" i="3"/>
  <c r="AB44" i="3"/>
  <c r="AB45" i="3"/>
  <c r="AW42" i="3"/>
  <c r="AF42" i="3"/>
  <c r="AW43" i="3"/>
  <c r="AF43" i="3"/>
  <c r="AW44" i="3"/>
  <c r="AF44" i="3"/>
  <c r="AW45" i="3"/>
  <c r="AF45" i="3"/>
  <c r="AJ11" i="3"/>
  <c r="F13" i="4"/>
  <c r="F32" i="4"/>
  <c r="AB114" i="2"/>
  <c r="AB115" i="2"/>
  <c r="AB116" i="2"/>
  <c r="AB117" i="2"/>
  <c r="AX26" i="2"/>
  <c r="AY26" i="2"/>
  <c r="AX27" i="2"/>
  <c r="AY27" i="2"/>
  <c r="AX28" i="2"/>
  <c r="AY28" i="2"/>
  <c r="AX29" i="2"/>
  <c r="AY29" i="2"/>
  <c r="AX30" i="2"/>
  <c r="AY30" i="2"/>
  <c r="AX31" i="2"/>
  <c r="AY31" i="2"/>
  <c r="AX32" i="2"/>
  <c r="AY32" i="2"/>
  <c r="AX33" i="2"/>
  <c r="AY33" i="2"/>
  <c r="AX34" i="2"/>
  <c r="AY34" i="2"/>
  <c r="AX35" i="2"/>
  <c r="AY35" i="2"/>
  <c r="AX36" i="2"/>
  <c r="AY36" i="2"/>
  <c r="AX37" i="2"/>
  <c r="AY37" i="2"/>
  <c r="AX38" i="2"/>
  <c r="AY38" i="2"/>
  <c r="AX39" i="2"/>
  <c r="AY39" i="2"/>
  <c r="AX40" i="2"/>
  <c r="AY40" i="2"/>
  <c r="AX41" i="2"/>
  <c r="AY41" i="2"/>
  <c r="AX42" i="2"/>
  <c r="AY42" i="2"/>
  <c r="AX43" i="2"/>
  <c r="AY43" i="2"/>
  <c r="AX44" i="2"/>
  <c r="AY44" i="2"/>
  <c r="AX45" i="2"/>
  <c r="AY45" i="2"/>
  <c r="AX46" i="2"/>
  <c r="AY46" i="2"/>
  <c r="AX47" i="2"/>
  <c r="AY47" i="2"/>
  <c r="AX48" i="2"/>
  <c r="AY48" i="2"/>
  <c r="AX49" i="2"/>
  <c r="AY49" i="2"/>
  <c r="AX50" i="2"/>
  <c r="AY50" i="2"/>
  <c r="AX51" i="2"/>
  <c r="AY51" i="2"/>
  <c r="AX52" i="2"/>
  <c r="AY52" i="2"/>
  <c r="AX53" i="2"/>
  <c r="AY53" i="2"/>
  <c r="AX54" i="2"/>
  <c r="AY54" i="2"/>
  <c r="AX55" i="2"/>
  <c r="AY55" i="2"/>
  <c r="AX56" i="2"/>
  <c r="AY56" i="2"/>
  <c r="AX57" i="2"/>
  <c r="AY57" i="2"/>
  <c r="AX58" i="2"/>
  <c r="AY58" i="2"/>
  <c r="AX59" i="2"/>
  <c r="AY59" i="2"/>
  <c r="AX60" i="2"/>
  <c r="AY60" i="2"/>
  <c r="AX61" i="2"/>
  <c r="AY61" i="2"/>
  <c r="AX62" i="2"/>
  <c r="AY62" i="2"/>
  <c r="AX63" i="2"/>
  <c r="AY63" i="2"/>
  <c r="AX64" i="2"/>
  <c r="AY64" i="2"/>
  <c r="AX65" i="2"/>
  <c r="AY65" i="2"/>
  <c r="AX66" i="2"/>
  <c r="AY66" i="2"/>
  <c r="AX67" i="2"/>
  <c r="AY67" i="2"/>
  <c r="AX68" i="2"/>
  <c r="AY68" i="2"/>
  <c r="AX69" i="2"/>
  <c r="AY69" i="2"/>
  <c r="AX70" i="2"/>
  <c r="AY70" i="2"/>
  <c r="AX71" i="2"/>
  <c r="AY71" i="2"/>
  <c r="AX72" i="2"/>
  <c r="AY72" i="2"/>
  <c r="AX73" i="2"/>
  <c r="AY73" i="2"/>
  <c r="AX74" i="2"/>
  <c r="AY74" i="2"/>
  <c r="AX75" i="2"/>
  <c r="AY75" i="2"/>
  <c r="AX76" i="2"/>
  <c r="AY76" i="2"/>
  <c r="AX77" i="2"/>
  <c r="AY77" i="2"/>
  <c r="AX78" i="2"/>
  <c r="AY78" i="2"/>
  <c r="AX79" i="2"/>
  <c r="AY79" i="2"/>
  <c r="AX80" i="2"/>
  <c r="AY80" i="2"/>
  <c r="AX81" i="2"/>
  <c r="AY81" i="2"/>
  <c r="AX82" i="2"/>
  <c r="AY82" i="2"/>
  <c r="AX83" i="2"/>
  <c r="AY83" i="2"/>
  <c r="AX84" i="2"/>
  <c r="AY84" i="2"/>
  <c r="AX85" i="2"/>
  <c r="AY85" i="2"/>
  <c r="AX86" i="2"/>
  <c r="AY86" i="2"/>
  <c r="AX87" i="2"/>
  <c r="AY87" i="2"/>
  <c r="AX88" i="2"/>
  <c r="AY88" i="2"/>
  <c r="AX89" i="2"/>
  <c r="AY89" i="2"/>
  <c r="AX90" i="2"/>
  <c r="AY90" i="2"/>
  <c r="AX91" i="2"/>
  <c r="AY91" i="2"/>
  <c r="AX92" i="2"/>
  <c r="AY92" i="2"/>
  <c r="AX93" i="2"/>
  <c r="AY93" i="2"/>
  <c r="AX94" i="2"/>
  <c r="AY94" i="2"/>
  <c r="AX95" i="2"/>
  <c r="AY95" i="2"/>
  <c r="AX96" i="2"/>
  <c r="AY96" i="2"/>
  <c r="AX97" i="2"/>
  <c r="AY97" i="2"/>
  <c r="AX98" i="2"/>
  <c r="AY98" i="2"/>
  <c r="AX99" i="2"/>
  <c r="AY99" i="2"/>
  <c r="AX100" i="2"/>
  <c r="AY100" i="2"/>
  <c r="AX101" i="2"/>
  <c r="AY101" i="2"/>
  <c r="AX102" i="2"/>
  <c r="AY102" i="2"/>
  <c r="AX103" i="2"/>
  <c r="AY103" i="2"/>
  <c r="AX104" i="2"/>
  <c r="AY104" i="2"/>
  <c r="AX105" i="2"/>
  <c r="AY105" i="2"/>
  <c r="AX106" i="2"/>
  <c r="AY106" i="2"/>
  <c r="AX107" i="2"/>
  <c r="AY107" i="2"/>
  <c r="AX108" i="2"/>
  <c r="AY108" i="2"/>
  <c r="AX109" i="2"/>
  <c r="AY109" i="2"/>
  <c r="AX110" i="2"/>
  <c r="AY110" i="2"/>
  <c r="AX111" i="2"/>
  <c r="AY111" i="2"/>
  <c r="AX112" i="2"/>
  <c r="AY112" i="2"/>
  <c r="AX113" i="2"/>
  <c r="AY113" i="2"/>
  <c r="AX114" i="2"/>
  <c r="AY114" i="2"/>
  <c r="AV114" i="2"/>
  <c r="AF25" i="2"/>
  <c r="AF114" i="2"/>
  <c r="AX115" i="2"/>
  <c r="AY115" i="2"/>
  <c r="AV115" i="2"/>
  <c r="AF115" i="2"/>
  <c r="AX116" i="2"/>
  <c r="AY116" i="2"/>
  <c r="AV116" i="2"/>
  <c r="AF116" i="2"/>
  <c r="AX117" i="2"/>
  <c r="AY117" i="2"/>
  <c r="AV117" i="2"/>
  <c r="AF117" i="2"/>
  <c r="AJ29" i="2"/>
  <c r="D31" i="4"/>
  <c r="AB42" i="2"/>
  <c r="AB43" i="2"/>
  <c r="AB44" i="2"/>
  <c r="AB45" i="2"/>
  <c r="AV42" i="2"/>
  <c r="AF42" i="2"/>
  <c r="AV43" i="2"/>
  <c r="AF43" i="2"/>
  <c r="AV44" i="2"/>
  <c r="AF44" i="2"/>
  <c r="AV45" i="2"/>
  <c r="AF45" i="2"/>
  <c r="AJ11" i="2"/>
  <c r="D13" i="4"/>
  <c r="D32" i="4"/>
  <c r="AB114" i="1"/>
  <c r="AB115" i="1"/>
  <c r="AB116" i="1"/>
  <c r="AB117" i="1"/>
  <c r="AY26" i="1"/>
  <c r="AZ26" i="1"/>
  <c r="AY27" i="1"/>
  <c r="AZ27" i="1"/>
  <c r="AY28" i="1"/>
  <c r="AZ28" i="1"/>
  <c r="AY29" i="1"/>
  <c r="AZ29" i="1"/>
  <c r="AY30" i="1"/>
  <c r="AZ30" i="1"/>
  <c r="AY31" i="1"/>
  <c r="AZ31" i="1"/>
  <c r="AY32" i="1"/>
  <c r="AZ32" i="1"/>
  <c r="AY33" i="1"/>
  <c r="AZ33" i="1"/>
  <c r="AY34" i="1"/>
  <c r="AZ34" i="1"/>
  <c r="AY35" i="1"/>
  <c r="AZ35" i="1"/>
  <c r="AY36" i="1"/>
  <c r="AZ36" i="1"/>
  <c r="AY37" i="1"/>
  <c r="AZ37" i="1"/>
  <c r="AY38" i="1"/>
  <c r="AZ38" i="1"/>
  <c r="AY39" i="1"/>
  <c r="AZ39" i="1"/>
  <c r="AY40" i="1"/>
  <c r="AZ40" i="1"/>
  <c r="AY41" i="1"/>
  <c r="AZ41" i="1"/>
  <c r="AY42" i="1"/>
  <c r="AZ42" i="1"/>
  <c r="AY43" i="1"/>
  <c r="AZ43" i="1"/>
  <c r="AY44" i="1"/>
  <c r="AZ44" i="1"/>
  <c r="AY45" i="1"/>
  <c r="AZ45" i="1"/>
  <c r="AY46" i="1"/>
  <c r="AZ46" i="1"/>
  <c r="AY47" i="1"/>
  <c r="AZ47" i="1"/>
  <c r="AY48" i="1"/>
  <c r="AZ48" i="1"/>
  <c r="AY49" i="1"/>
  <c r="AZ49" i="1"/>
  <c r="AY50" i="1"/>
  <c r="AZ50" i="1"/>
  <c r="AY51" i="1"/>
  <c r="AZ51" i="1"/>
  <c r="AY52" i="1"/>
  <c r="AZ52" i="1"/>
  <c r="AY53" i="1"/>
  <c r="AZ53" i="1"/>
  <c r="AY54" i="1"/>
  <c r="AZ54" i="1"/>
  <c r="AY55" i="1"/>
  <c r="AZ55" i="1"/>
  <c r="AY56" i="1"/>
  <c r="AZ56" i="1"/>
  <c r="AY57" i="1"/>
  <c r="AZ57" i="1"/>
  <c r="AY58" i="1"/>
  <c r="AZ58" i="1"/>
  <c r="AY59" i="1"/>
  <c r="AZ59" i="1"/>
  <c r="AY60" i="1"/>
  <c r="AZ60" i="1"/>
  <c r="AY61" i="1"/>
  <c r="AZ61" i="1"/>
  <c r="AY62" i="1"/>
  <c r="AZ62" i="1"/>
  <c r="AY63" i="1"/>
  <c r="AZ63" i="1"/>
  <c r="AY64" i="1"/>
  <c r="AZ64" i="1"/>
  <c r="AY65" i="1"/>
  <c r="AZ65" i="1"/>
  <c r="AY66" i="1"/>
  <c r="AZ66" i="1"/>
  <c r="AY67" i="1"/>
  <c r="AZ67" i="1"/>
  <c r="AY68" i="1"/>
  <c r="AZ68" i="1"/>
  <c r="AY69" i="1"/>
  <c r="AZ69" i="1"/>
  <c r="AY70" i="1"/>
  <c r="AZ70" i="1"/>
  <c r="AY71" i="1"/>
  <c r="AZ71" i="1"/>
  <c r="AY72" i="1"/>
  <c r="AZ72" i="1"/>
  <c r="AY73" i="1"/>
  <c r="AZ73" i="1"/>
  <c r="AY74" i="1"/>
  <c r="AZ74" i="1"/>
  <c r="AY75" i="1"/>
  <c r="AZ75" i="1"/>
  <c r="AY76" i="1"/>
  <c r="AZ76" i="1"/>
  <c r="AY77" i="1"/>
  <c r="AZ77" i="1"/>
  <c r="AY78" i="1"/>
  <c r="AZ78" i="1"/>
  <c r="AY79" i="1"/>
  <c r="AZ79" i="1"/>
  <c r="AY80" i="1"/>
  <c r="AZ80" i="1"/>
  <c r="AY81" i="1"/>
  <c r="AZ81" i="1"/>
  <c r="AY82" i="1"/>
  <c r="AZ82" i="1"/>
  <c r="AY83" i="1"/>
  <c r="AZ83" i="1"/>
  <c r="AY84" i="1"/>
  <c r="AZ84" i="1"/>
  <c r="AY85" i="1"/>
  <c r="AZ85" i="1"/>
  <c r="AY86" i="1"/>
  <c r="AZ86" i="1"/>
  <c r="AY87" i="1"/>
  <c r="AZ87" i="1"/>
  <c r="AY88" i="1"/>
  <c r="AZ88" i="1"/>
  <c r="AY89" i="1"/>
  <c r="AZ89" i="1"/>
  <c r="AY90" i="1"/>
  <c r="AZ90" i="1"/>
  <c r="AY91" i="1"/>
  <c r="AZ91" i="1"/>
  <c r="AY92" i="1"/>
  <c r="AZ92" i="1"/>
  <c r="AY93" i="1"/>
  <c r="AZ93" i="1"/>
  <c r="AY94" i="1"/>
  <c r="AZ94" i="1"/>
  <c r="AY95" i="1"/>
  <c r="AZ95" i="1"/>
  <c r="AY96" i="1"/>
  <c r="AZ96" i="1"/>
  <c r="AY97" i="1"/>
  <c r="AZ97" i="1"/>
  <c r="AY98" i="1"/>
  <c r="AZ98" i="1"/>
  <c r="AY99" i="1"/>
  <c r="AZ99" i="1"/>
  <c r="AY100" i="1"/>
  <c r="AZ100" i="1"/>
  <c r="AY101" i="1"/>
  <c r="AZ101" i="1"/>
  <c r="AY102" i="1"/>
  <c r="AZ102" i="1"/>
  <c r="AY103" i="1"/>
  <c r="AZ103" i="1"/>
  <c r="AY104" i="1"/>
  <c r="AZ104" i="1"/>
  <c r="AY105" i="1"/>
  <c r="AZ105" i="1"/>
  <c r="AY106" i="1"/>
  <c r="AZ106" i="1"/>
  <c r="AY107" i="1"/>
  <c r="AZ107" i="1"/>
  <c r="AY108" i="1"/>
  <c r="AZ108" i="1"/>
  <c r="AY109" i="1"/>
  <c r="AZ109" i="1"/>
  <c r="AY110" i="1"/>
  <c r="AZ110" i="1"/>
  <c r="AY111" i="1"/>
  <c r="AZ111" i="1"/>
  <c r="AY112" i="1"/>
  <c r="AZ112" i="1"/>
  <c r="AY113" i="1"/>
  <c r="AZ113" i="1"/>
  <c r="AY114" i="1"/>
  <c r="AZ114" i="1"/>
  <c r="AW114" i="1"/>
  <c r="AF25" i="1"/>
  <c r="AF114" i="1"/>
  <c r="AY115" i="1"/>
  <c r="AZ115" i="1"/>
  <c r="AW115" i="1"/>
  <c r="AF115" i="1"/>
  <c r="AY116" i="1"/>
  <c r="AZ116" i="1"/>
  <c r="AW116" i="1"/>
  <c r="AF116" i="1"/>
  <c r="AY117" i="1"/>
  <c r="AZ117" i="1"/>
  <c r="AW117" i="1"/>
  <c r="AF117" i="1"/>
  <c r="AJ29" i="1"/>
  <c r="B31" i="4"/>
  <c r="AB42" i="1"/>
  <c r="AB43" i="1"/>
  <c r="AB44" i="1"/>
  <c r="AB45" i="1"/>
  <c r="AW42" i="1"/>
  <c r="AF42" i="1"/>
  <c r="AW43" i="1"/>
  <c r="AF43" i="1"/>
  <c r="AW44" i="1"/>
  <c r="AF44" i="1"/>
  <c r="AW45" i="1"/>
  <c r="AF45" i="1"/>
  <c r="AJ11" i="1"/>
  <c r="B13" i="4"/>
  <c r="B32" i="4"/>
  <c r="I31" i="4"/>
  <c r="H31" i="4"/>
  <c r="BH29" i="3"/>
  <c r="BI29" i="3"/>
  <c r="G31" i="4"/>
  <c r="BG29" i="2"/>
  <c r="BH29" i="2"/>
  <c r="E31" i="4"/>
  <c r="BI29" i="1"/>
  <c r="C31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B110" i="3"/>
  <c r="AB111" i="3"/>
  <c r="AB112" i="3"/>
  <c r="AB113" i="3"/>
  <c r="AW110" i="3"/>
  <c r="AF110" i="3"/>
  <c r="AW111" i="3"/>
  <c r="AF111" i="3"/>
  <c r="AW112" i="3"/>
  <c r="AF112" i="3"/>
  <c r="AW113" i="3"/>
  <c r="AF113" i="3"/>
  <c r="AJ28" i="3"/>
  <c r="BH28" i="3"/>
  <c r="BI28" i="3"/>
  <c r="G30" i="4"/>
  <c r="F30" i="4"/>
  <c r="AB110" i="2"/>
  <c r="AB111" i="2"/>
  <c r="AB112" i="2"/>
  <c r="AB113" i="2"/>
  <c r="AV110" i="2"/>
  <c r="AF110" i="2"/>
  <c r="AV111" i="2"/>
  <c r="AF111" i="2"/>
  <c r="AV112" i="2"/>
  <c r="AF112" i="2"/>
  <c r="AV113" i="2"/>
  <c r="AF113" i="2"/>
  <c r="AJ28" i="2"/>
  <c r="BG28" i="2"/>
  <c r="BH28" i="2"/>
  <c r="E30" i="4"/>
  <c r="D30" i="4"/>
  <c r="AB110" i="1"/>
  <c r="AB111" i="1"/>
  <c r="AB112" i="1"/>
  <c r="AB113" i="1"/>
  <c r="AW110" i="1"/>
  <c r="AF110" i="1"/>
  <c r="AW111" i="1"/>
  <c r="AF111" i="1"/>
  <c r="AW112" i="1"/>
  <c r="AF112" i="1"/>
  <c r="AW113" i="1"/>
  <c r="AF113" i="1"/>
  <c r="AJ28" i="1"/>
  <c r="BH28" i="1"/>
  <c r="BI28" i="1"/>
  <c r="C30" i="4"/>
  <c r="B30" i="4"/>
  <c r="AB106" i="3"/>
  <c r="AB107" i="3"/>
  <c r="AB108" i="3"/>
  <c r="AB109" i="3"/>
  <c r="AW106" i="3"/>
  <c r="AF106" i="3"/>
  <c r="AW107" i="3"/>
  <c r="AF107" i="3"/>
  <c r="AW108" i="3"/>
  <c r="AF108" i="3"/>
  <c r="AW109" i="3"/>
  <c r="AF109" i="3"/>
  <c r="AJ27" i="3"/>
  <c r="BH27" i="3"/>
  <c r="BI27" i="3"/>
  <c r="G29" i="4"/>
  <c r="F29" i="4"/>
  <c r="AB106" i="2"/>
  <c r="AB107" i="2"/>
  <c r="AB108" i="2"/>
  <c r="AB109" i="2"/>
  <c r="AV106" i="2"/>
  <c r="AF106" i="2"/>
  <c r="AV107" i="2"/>
  <c r="AF107" i="2"/>
  <c r="AV108" i="2"/>
  <c r="AF108" i="2"/>
  <c r="AV109" i="2"/>
  <c r="AF109" i="2"/>
  <c r="AJ27" i="2"/>
  <c r="BG27" i="2"/>
  <c r="BH27" i="2"/>
  <c r="E29" i="4"/>
  <c r="D29" i="4"/>
  <c r="AB106" i="1"/>
  <c r="AB107" i="1"/>
  <c r="AB108" i="1"/>
  <c r="AB109" i="1"/>
  <c r="AW106" i="1"/>
  <c r="AF106" i="1"/>
  <c r="AW107" i="1"/>
  <c r="AF107" i="1"/>
  <c r="AW108" i="1"/>
  <c r="AF108" i="1"/>
  <c r="AW109" i="1"/>
  <c r="AF109" i="1"/>
  <c r="AJ27" i="1"/>
  <c r="BH27" i="1"/>
  <c r="BI27" i="1"/>
  <c r="C29" i="4"/>
  <c r="B29" i="4"/>
  <c r="AB102" i="3"/>
  <c r="AB103" i="3"/>
  <c r="AB104" i="3"/>
  <c r="AB105" i="3"/>
  <c r="AW102" i="3"/>
  <c r="AF102" i="3"/>
  <c r="AW103" i="3"/>
  <c r="AF103" i="3"/>
  <c r="AW104" i="3"/>
  <c r="AF104" i="3"/>
  <c r="AW105" i="3"/>
  <c r="AF105" i="3"/>
  <c r="AJ26" i="3"/>
  <c r="BH26" i="3"/>
  <c r="BI26" i="3"/>
  <c r="G28" i="4"/>
  <c r="F28" i="4"/>
  <c r="AB102" i="2"/>
  <c r="AB103" i="2"/>
  <c r="AB104" i="2"/>
  <c r="AB105" i="2"/>
  <c r="AV102" i="2"/>
  <c r="AF102" i="2"/>
  <c r="AV103" i="2"/>
  <c r="AF103" i="2"/>
  <c r="AV104" i="2"/>
  <c r="AF104" i="2"/>
  <c r="AV105" i="2"/>
  <c r="AF105" i="2"/>
  <c r="AJ26" i="2"/>
  <c r="BG26" i="2"/>
  <c r="BH26" i="2"/>
  <c r="E28" i="4"/>
  <c r="D28" i="4"/>
  <c r="AB102" i="1"/>
  <c r="AB103" i="1"/>
  <c r="AB104" i="1"/>
  <c r="AB105" i="1"/>
  <c r="AW102" i="1"/>
  <c r="AF102" i="1"/>
  <c r="AW103" i="1"/>
  <c r="AF103" i="1"/>
  <c r="AW104" i="1"/>
  <c r="AF104" i="1"/>
  <c r="AW105" i="1"/>
  <c r="AF105" i="1"/>
  <c r="AJ26" i="1"/>
  <c r="BH26" i="1"/>
  <c r="BI26" i="1"/>
  <c r="C28" i="4"/>
  <c r="B28" i="4"/>
  <c r="AB98" i="3"/>
  <c r="AB99" i="3"/>
  <c r="AB100" i="3"/>
  <c r="AB101" i="3"/>
  <c r="AW98" i="3"/>
  <c r="AF98" i="3"/>
  <c r="AW99" i="3"/>
  <c r="AF99" i="3"/>
  <c r="AW100" i="3"/>
  <c r="AF100" i="3"/>
  <c r="AW101" i="3"/>
  <c r="AF101" i="3"/>
  <c r="AJ25" i="3"/>
  <c r="BH25" i="3"/>
  <c r="BI25" i="3"/>
  <c r="G27" i="4"/>
  <c r="F27" i="4"/>
  <c r="AB98" i="2"/>
  <c r="AB99" i="2"/>
  <c r="AB100" i="2"/>
  <c r="AB101" i="2"/>
  <c r="AV98" i="2"/>
  <c r="AF98" i="2"/>
  <c r="AV99" i="2"/>
  <c r="AF99" i="2"/>
  <c r="AV100" i="2"/>
  <c r="AF100" i="2"/>
  <c r="AV101" i="2"/>
  <c r="AF101" i="2"/>
  <c r="AJ25" i="2"/>
  <c r="BG25" i="2"/>
  <c r="BH25" i="2"/>
  <c r="E27" i="4"/>
  <c r="D27" i="4"/>
  <c r="AB98" i="1"/>
  <c r="AB99" i="1"/>
  <c r="AB100" i="1"/>
  <c r="AB101" i="1"/>
  <c r="AW98" i="1"/>
  <c r="AF98" i="1"/>
  <c r="AW99" i="1"/>
  <c r="AF99" i="1"/>
  <c r="AW100" i="1"/>
  <c r="AF100" i="1"/>
  <c r="AW101" i="1"/>
  <c r="AF101" i="1"/>
  <c r="AJ25" i="1"/>
  <c r="BH25" i="1"/>
  <c r="BI25" i="1"/>
  <c r="C27" i="4"/>
  <c r="B27" i="4"/>
  <c r="AB94" i="3"/>
  <c r="AB95" i="3"/>
  <c r="AB96" i="3"/>
  <c r="AB97" i="3"/>
  <c r="AW94" i="3"/>
  <c r="AF94" i="3"/>
  <c r="AW95" i="3"/>
  <c r="AF95" i="3"/>
  <c r="AW96" i="3"/>
  <c r="AF96" i="3"/>
  <c r="AW97" i="3"/>
  <c r="AF97" i="3"/>
  <c r="AJ24" i="3"/>
  <c r="BH24" i="3"/>
  <c r="BI24" i="3"/>
  <c r="G26" i="4"/>
  <c r="F26" i="4"/>
  <c r="AB94" i="2"/>
  <c r="AB95" i="2"/>
  <c r="AB96" i="2"/>
  <c r="AB97" i="2"/>
  <c r="AV94" i="2"/>
  <c r="AF94" i="2"/>
  <c r="AV95" i="2"/>
  <c r="AF95" i="2"/>
  <c r="AV96" i="2"/>
  <c r="AF96" i="2"/>
  <c r="AV97" i="2"/>
  <c r="AF97" i="2"/>
  <c r="AJ24" i="2"/>
  <c r="BG24" i="2"/>
  <c r="BH24" i="2"/>
  <c r="E26" i="4"/>
  <c r="D26" i="4"/>
  <c r="AB94" i="1"/>
  <c r="AB95" i="1"/>
  <c r="AB96" i="1"/>
  <c r="AB97" i="1"/>
  <c r="AW94" i="1"/>
  <c r="AF94" i="1"/>
  <c r="AW95" i="1"/>
  <c r="AF95" i="1"/>
  <c r="AW96" i="1"/>
  <c r="AF96" i="1"/>
  <c r="AW97" i="1"/>
  <c r="AF97" i="1"/>
  <c r="AJ24" i="1"/>
  <c r="BH24" i="1"/>
  <c r="BI24" i="1"/>
  <c r="C26" i="4"/>
  <c r="B26" i="4"/>
  <c r="AB90" i="3"/>
  <c r="AB91" i="3"/>
  <c r="AB92" i="3"/>
  <c r="AB93" i="3"/>
  <c r="AW90" i="3"/>
  <c r="AF90" i="3"/>
  <c r="AW91" i="3"/>
  <c r="AF91" i="3"/>
  <c r="AW92" i="3"/>
  <c r="AF92" i="3"/>
  <c r="AW93" i="3"/>
  <c r="AF93" i="3"/>
  <c r="AJ23" i="3"/>
  <c r="BH23" i="3"/>
  <c r="BI23" i="3"/>
  <c r="G25" i="4"/>
  <c r="F25" i="4"/>
  <c r="AB90" i="2"/>
  <c r="AB91" i="2"/>
  <c r="AB92" i="2"/>
  <c r="AB93" i="2"/>
  <c r="AV90" i="2"/>
  <c r="AF90" i="2"/>
  <c r="AV91" i="2"/>
  <c r="AF91" i="2"/>
  <c r="AV92" i="2"/>
  <c r="AF92" i="2"/>
  <c r="AV93" i="2"/>
  <c r="AF93" i="2"/>
  <c r="AJ23" i="2"/>
  <c r="BG23" i="2"/>
  <c r="BH23" i="2"/>
  <c r="E25" i="4"/>
  <c r="D25" i="4"/>
  <c r="AB90" i="1"/>
  <c r="AB91" i="1"/>
  <c r="AB92" i="1"/>
  <c r="AB93" i="1"/>
  <c r="AW90" i="1"/>
  <c r="AF90" i="1"/>
  <c r="AW91" i="1"/>
  <c r="AF91" i="1"/>
  <c r="AW92" i="1"/>
  <c r="AF92" i="1"/>
  <c r="AW93" i="1"/>
  <c r="AF93" i="1"/>
  <c r="AJ23" i="1"/>
  <c r="BH23" i="1"/>
  <c r="BI23" i="1"/>
  <c r="C25" i="4"/>
  <c r="B25" i="4"/>
  <c r="AB86" i="3"/>
  <c r="AB87" i="3"/>
  <c r="AB88" i="3"/>
  <c r="AB89" i="3"/>
  <c r="AW86" i="3"/>
  <c r="AF86" i="3"/>
  <c r="AW87" i="3"/>
  <c r="AF87" i="3"/>
  <c r="AW88" i="3"/>
  <c r="AF88" i="3"/>
  <c r="AW89" i="3"/>
  <c r="AF89" i="3"/>
  <c r="AJ22" i="3"/>
  <c r="BH22" i="3"/>
  <c r="BI22" i="3"/>
  <c r="G24" i="4"/>
  <c r="F24" i="4"/>
  <c r="AB86" i="2"/>
  <c r="AB87" i="2"/>
  <c r="AB88" i="2"/>
  <c r="AB89" i="2"/>
  <c r="AV86" i="2"/>
  <c r="AF86" i="2"/>
  <c r="AV87" i="2"/>
  <c r="AF87" i="2"/>
  <c r="AV88" i="2"/>
  <c r="AF88" i="2"/>
  <c r="AV89" i="2"/>
  <c r="AF89" i="2"/>
  <c r="AJ22" i="2"/>
  <c r="BG22" i="2"/>
  <c r="BH22" i="2"/>
  <c r="E24" i="4"/>
  <c r="D24" i="4"/>
  <c r="AB86" i="1"/>
  <c r="AB87" i="1"/>
  <c r="AB88" i="1"/>
  <c r="AB89" i="1"/>
  <c r="AW86" i="1"/>
  <c r="AF86" i="1"/>
  <c r="AW87" i="1"/>
  <c r="AF87" i="1"/>
  <c r="AW88" i="1"/>
  <c r="AF88" i="1"/>
  <c r="AW89" i="1"/>
  <c r="AF89" i="1"/>
  <c r="AJ22" i="1"/>
  <c r="BH22" i="1"/>
  <c r="BI22" i="1"/>
  <c r="C24" i="4"/>
  <c r="B24" i="4"/>
  <c r="AB82" i="3"/>
  <c r="AB83" i="3"/>
  <c r="AB84" i="3"/>
  <c r="AB85" i="3"/>
  <c r="AW82" i="3"/>
  <c r="AF82" i="3"/>
  <c r="AW83" i="3"/>
  <c r="AF83" i="3"/>
  <c r="AW84" i="3"/>
  <c r="AF84" i="3"/>
  <c r="AW85" i="3"/>
  <c r="AF85" i="3"/>
  <c r="AJ21" i="3"/>
  <c r="BH21" i="3"/>
  <c r="BI21" i="3"/>
  <c r="G23" i="4"/>
  <c r="F23" i="4"/>
  <c r="AB82" i="2"/>
  <c r="AB83" i="2"/>
  <c r="AB84" i="2"/>
  <c r="AB85" i="2"/>
  <c r="AV82" i="2"/>
  <c r="AF82" i="2"/>
  <c r="AV83" i="2"/>
  <c r="AF83" i="2"/>
  <c r="AV84" i="2"/>
  <c r="AF84" i="2"/>
  <c r="AV85" i="2"/>
  <c r="AF85" i="2"/>
  <c r="AJ21" i="2"/>
  <c r="BG21" i="2"/>
  <c r="BH21" i="2"/>
  <c r="E23" i="4"/>
  <c r="D23" i="4"/>
  <c r="AB82" i="1"/>
  <c r="AB83" i="1"/>
  <c r="AB84" i="1"/>
  <c r="AB85" i="1"/>
  <c r="AW82" i="1"/>
  <c r="AF82" i="1"/>
  <c r="AW83" i="1"/>
  <c r="AF83" i="1"/>
  <c r="AW84" i="1"/>
  <c r="AF84" i="1"/>
  <c r="AW85" i="1"/>
  <c r="AF85" i="1"/>
  <c r="AJ21" i="1"/>
  <c r="BH21" i="1"/>
  <c r="BI21" i="1"/>
  <c r="C23" i="4"/>
  <c r="B23" i="4"/>
  <c r="AB78" i="3"/>
  <c r="AB79" i="3"/>
  <c r="AB80" i="3"/>
  <c r="AB81" i="3"/>
  <c r="AW78" i="3"/>
  <c r="AF78" i="3"/>
  <c r="AW79" i="3"/>
  <c r="AF79" i="3"/>
  <c r="AW80" i="3"/>
  <c r="AF80" i="3"/>
  <c r="AW81" i="3"/>
  <c r="AF81" i="3"/>
  <c r="AJ20" i="3"/>
  <c r="BH20" i="3"/>
  <c r="BI20" i="3"/>
  <c r="G22" i="4"/>
  <c r="F22" i="4"/>
  <c r="AB78" i="2"/>
  <c r="AB79" i="2"/>
  <c r="AB80" i="2"/>
  <c r="AB81" i="2"/>
  <c r="AV78" i="2"/>
  <c r="AF78" i="2"/>
  <c r="AV79" i="2"/>
  <c r="AF79" i="2"/>
  <c r="AV80" i="2"/>
  <c r="AF80" i="2"/>
  <c r="AV81" i="2"/>
  <c r="AF81" i="2"/>
  <c r="AJ20" i="2"/>
  <c r="BG20" i="2"/>
  <c r="BH20" i="2"/>
  <c r="E22" i="4"/>
  <c r="D22" i="4"/>
  <c r="AB78" i="1"/>
  <c r="AB79" i="1"/>
  <c r="AB80" i="1"/>
  <c r="AB81" i="1"/>
  <c r="AW78" i="1"/>
  <c r="AF78" i="1"/>
  <c r="AW79" i="1"/>
  <c r="AF79" i="1"/>
  <c r="AW80" i="1"/>
  <c r="AF80" i="1"/>
  <c r="AW81" i="1"/>
  <c r="AF81" i="1"/>
  <c r="AJ20" i="1"/>
  <c r="BH20" i="1"/>
  <c r="BI20" i="1"/>
  <c r="C22" i="4"/>
  <c r="B22" i="4"/>
  <c r="AB74" i="3"/>
  <c r="AB75" i="3"/>
  <c r="AB76" i="3"/>
  <c r="AB77" i="3"/>
  <c r="AW74" i="3"/>
  <c r="AF74" i="3"/>
  <c r="AW75" i="3"/>
  <c r="AF75" i="3"/>
  <c r="AW76" i="3"/>
  <c r="AF76" i="3"/>
  <c r="AW77" i="3"/>
  <c r="AF77" i="3"/>
  <c r="AJ19" i="3"/>
  <c r="BH19" i="3"/>
  <c r="BI19" i="3"/>
  <c r="G21" i="4"/>
  <c r="F21" i="4"/>
  <c r="AB74" i="2"/>
  <c r="AB75" i="2"/>
  <c r="AB76" i="2"/>
  <c r="AB77" i="2"/>
  <c r="AV74" i="2"/>
  <c r="AF74" i="2"/>
  <c r="AV75" i="2"/>
  <c r="AF75" i="2"/>
  <c r="AV76" i="2"/>
  <c r="AF76" i="2"/>
  <c r="AV77" i="2"/>
  <c r="AF77" i="2"/>
  <c r="AJ19" i="2"/>
  <c r="BG19" i="2"/>
  <c r="BH19" i="2"/>
  <c r="E21" i="4"/>
  <c r="D21" i="4"/>
  <c r="AB74" i="1"/>
  <c r="AB75" i="1"/>
  <c r="AB76" i="1"/>
  <c r="AB77" i="1"/>
  <c r="AW74" i="1"/>
  <c r="AF74" i="1"/>
  <c r="AW75" i="1"/>
  <c r="AF75" i="1"/>
  <c r="AW76" i="1"/>
  <c r="AF76" i="1"/>
  <c r="AW77" i="1"/>
  <c r="AF77" i="1"/>
  <c r="AJ19" i="1"/>
  <c r="BH19" i="1"/>
  <c r="BI19" i="1"/>
  <c r="C21" i="4"/>
  <c r="B21" i="4"/>
  <c r="AB70" i="3"/>
  <c r="AB71" i="3"/>
  <c r="AB72" i="3"/>
  <c r="AB73" i="3"/>
  <c r="AW70" i="3"/>
  <c r="AF70" i="3"/>
  <c r="AW71" i="3"/>
  <c r="AF71" i="3"/>
  <c r="AW72" i="3"/>
  <c r="AF72" i="3"/>
  <c r="AW73" i="3"/>
  <c r="AF73" i="3"/>
  <c r="AJ18" i="3"/>
  <c r="BH18" i="3"/>
  <c r="BI18" i="3"/>
  <c r="G20" i="4"/>
  <c r="F20" i="4"/>
  <c r="AB70" i="2"/>
  <c r="AB71" i="2"/>
  <c r="AB72" i="2"/>
  <c r="AB73" i="2"/>
  <c r="AV70" i="2"/>
  <c r="AF70" i="2"/>
  <c r="AV71" i="2"/>
  <c r="AF71" i="2"/>
  <c r="AV72" i="2"/>
  <c r="AF72" i="2"/>
  <c r="AV73" i="2"/>
  <c r="AF73" i="2"/>
  <c r="AJ18" i="2"/>
  <c r="BG18" i="2"/>
  <c r="BH18" i="2"/>
  <c r="E20" i="4"/>
  <c r="D20" i="4"/>
  <c r="AB70" i="1"/>
  <c r="AB71" i="1"/>
  <c r="AB72" i="1"/>
  <c r="AB73" i="1"/>
  <c r="AW70" i="1"/>
  <c r="AF70" i="1"/>
  <c r="AW71" i="1"/>
  <c r="AF71" i="1"/>
  <c r="AW72" i="1"/>
  <c r="AF72" i="1"/>
  <c r="AW73" i="1"/>
  <c r="AF73" i="1"/>
  <c r="AJ18" i="1"/>
  <c r="BH18" i="1"/>
  <c r="BI18" i="1"/>
  <c r="C20" i="4"/>
  <c r="B20" i="4"/>
  <c r="AB66" i="3"/>
  <c r="AB67" i="3"/>
  <c r="AB68" i="3"/>
  <c r="AB69" i="3"/>
  <c r="AW66" i="3"/>
  <c r="AF66" i="3"/>
  <c r="AW67" i="3"/>
  <c r="AF67" i="3"/>
  <c r="AW68" i="3"/>
  <c r="AF68" i="3"/>
  <c r="AW69" i="3"/>
  <c r="AF69" i="3"/>
  <c r="AJ17" i="3"/>
  <c r="BH17" i="3"/>
  <c r="BI17" i="3"/>
  <c r="G19" i="4"/>
  <c r="F19" i="4"/>
  <c r="AB66" i="2"/>
  <c r="AB67" i="2"/>
  <c r="AB68" i="2"/>
  <c r="AB69" i="2"/>
  <c r="AV66" i="2"/>
  <c r="AF66" i="2"/>
  <c r="AV67" i="2"/>
  <c r="AF67" i="2"/>
  <c r="AV68" i="2"/>
  <c r="AF68" i="2"/>
  <c r="AV69" i="2"/>
  <c r="AF69" i="2"/>
  <c r="AJ17" i="2"/>
  <c r="BG17" i="2"/>
  <c r="BH17" i="2"/>
  <c r="E19" i="4"/>
  <c r="D19" i="4"/>
  <c r="AB66" i="1"/>
  <c r="AB67" i="1"/>
  <c r="AB68" i="1"/>
  <c r="AB69" i="1"/>
  <c r="AW66" i="1"/>
  <c r="AF66" i="1"/>
  <c r="AW67" i="1"/>
  <c r="AF67" i="1"/>
  <c r="AW68" i="1"/>
  <c r="AF68" i="1"/>
  <c r="AW69" i="1"/>
  <c r="AF69" i="1"/>
  <c r="AJ17" i="1"/>
  <c r="BH17" i="1"/>
  <c r="BI17" i="1"/>
  <c r="C19" i="4"/>
  <c r="B19" i="4"/>
  <c r="AB62" i="3"/>
  <c r="AB63" i="3"/>
  <c r="AB64" i="3"/>
  <c r="AB65" i="3"/>
  <c r="AW62" i="3"/>
  <c r="AF62" i="3"/>
  <c r="AW63" i="3"/>
  <c r="AF63" i="3"/>
  <c r="AW64" i="3"/>
  <c r="AF64" i="3"/>
  <c r="AW65" i="3"/>
  <c r="AF65" i="3"/>
  <c r="AJ16" i="3"/>
  <c r="BH16" i="3"/>
  <c r="BI16" i="3"/>
  <c r="G18" i="4"/>
  <c r="F18" i="4"/>
  <c r="AB62" i="2"/>
  <c r="AB63" i="2"/>
  <c r="AB64" i="2"/>
  <c r="AB65" i="2"/>
  <c r="AV62" i="2"/>
  <c r="AF62" i="2"/>
  <c r="AV63" i="2"/>
  <c r="AF63" i="2"/>
  <c r="AV64" i="2"/>
  <c r="AF64" i="2"/>
  <c r="AV65" i="2"/>
  <c r="AF65" i="2"/>
  <c r="AJ16" i="2"/>
  <c r="BG16" i="2"/>
  <c r="BH16" i="2"/>
  <c r="E18" i="4"/>
  <c r="D18" i="4"/>
  <c r="AB62" i="1"/>
  <c r="AB63" i="1"/>
  <c r="AB64" i="1"/>
  <c r="AB65" i="1"/>
  <c r="AW62" i="1"/>
  <c r="AF62" i="1"/>
  <c r="AW63" i="1"/>
  <c r="AF63" i="1"/>
  <c r="AW64" i="1"/>
  <c r="AF64" i="1"/>
  <c r="AW65" i="1"/>
  <c r="AF65" i="1"/>
  <c r="AJ16" i="1"/>
  <c r="BH16" i="1"/>
  <c r="BI16" i="1"/>
  <c r="C18" i="4"/>
  <c r="B18" i="4"/>
  <c r="AB58" i="3"/>
  <c r="AB59" i="3"/>
  <c r="AB60" i="3"/>
  <c r="AB61" i="3"/>
  <c r="AW58" i="3"/>
  <c r="AF58" i="3"/>
  <c r="AW59" i="3"/>
  <c r="AF59" i="3"/>
  <c r="AW60" i="3"/>
  <c r="AF60" i="3"/>
  <c r="AW61" i="3"/>
  <c r="AF61" i="3"/>
  <c r="AJ15" i="3"/>
  <c r="BH15" i="3"/>
  <c r="BI15" i="3"/>
  <c r="G17" i="4"/>
  <c r="F17" i="4"/>
  <c r="AB58" i="2"/>
  <c r="AB59" i="2"/>
  <c r="AB60" i="2"/>
  <c r="AB61" i="2"/>
  <c r="AV58" i="2"/>
  <c r="AF58" i="2"/>
  <c r="AV59" i="2"/>
  <c r="AF59" i="2"/>
  <c r="AV60" i="2"/>
  <c r="AF60" i="2"/>
  <c r="AV61" i="2"/>
  <c r="AF61" i="2"/>
  <c r="AJ15" i="2"/>
  <c r="BG15" i="2"/>
  <c r="BH15" i="2"/>
  <c r="E17" i="4"/>
  <c r="D17" i="4"/>
  <c r="AB58" i="1"/>
  <c r="AB59" i="1"/>
  <c r="AB60" i="1"/>
  <c r="AB61" i="1"/>
  <c r="AW58" i="1"/>
  <c r="AF58" i="1"/>
  <c r="AW59" i="1"/>
  <c r="AF59" i="1"/>
  <c r="AW60" i="1"/>
  <c r="AF60" i="1"/>
  <c r="AW61" i="1"/>
  <c r="AF61" i="1"/>
  <c r="AJ15" i="1"/>
  <c r="BH15" i="1"/>
  <c r="BI15" i="1"/>
  <c r="C17" i="4"/>
  <c r="B17" i="4"/>
  <c r="AB54" i="3"/>
  <c r="AB55" i="3"/>
  <c r="AB56" i="3"/>
  <c r="AB57" i="3"/>
  <c r="AW54" i="3"/>
  <c r="AF54" i="3"/>
  <c r="AW55" i="3"/>
  <c r="AF55" i="3"/>
  <c r="AW56" i="3"/>
  <c r="AF56" i="3"/>
  <c r="AW57" i="3"/>
  <c r="AF57" i="3"/>
  <c r="AJ14" i="3"/>
  <c r="BH14" i="3"/>
  <c r="BI14" i="3"/>
  <c r="G16" i="4"/>
  <c r="F16" i="4"/>
  <c r="AB54" i="2"/>
  <c r="AB55" i="2"/>
  <c r="AB56" i="2"/>
  <c r="AB57" i="2"/>
  <c r="AV54" i="2"/>
  <c r="AF54" i="2"/>
  <c r="AV55" i="2"/>
  <c r="AF55" i="2"/>
  <c r="AV56" i="2"/>
  <c r="AF56" i="2"/>
  <c r="AV57" i="2"/>
  <c r="AF57" i="2"/>
  <c r="AJ14" i="2"/>
  <c r="BG14" i="2"/>
  <c r="BH14" i="2"/>
  <c r="E16" i="4"/>
  <c r="D16" i="4"/>
  <c r="AB54" i="1"/>
  <c r="AB55" i="1"/>
  <c r="AB56" i="1"/>
  <c r="AB57" i="1"/>
  <c r="AW54" i="1"/>
  <c r="AF54" i="1"/>
  <c r="AW55" i="1"/>
  <c r="AF55" i="1"/>
  <c r="AW56" i="1"/>
  <c r="AF56" i="1"/>
  <c r="AW57" i="1"/>
  <c r="AF57" i="1"/>
  <c r="AJ14" i="1"/>
  <c r="BH14" i="1"/>
  <c r="BI14" i="1"/>
  <c r="C16" i="4"/>
  <c r="B16" i="4"/>
  <c r="AB50" i="3"/>
  <c r="AB51" i="3"/>
  <c r="AB52" i="3"/>
  <c r="AB53" i="3"/>
  <c r="AW50" i="3"/>
  <c r="AF50" i="3"/>
  <c r="AW51" i="3"/>
  <c r="AF51" i="3"/>
  <c r="AW52" i="3"/>
  <c r="AF52" i="3"/>
  <c r="AW53" i="3"/>
  <c r="AF53" i="3"/>
  <c r="AJ13" i="3"/>
  <c r="BH13" i="3"/>
  <c r="BI13" i="3"/>
  <c r="G15" i="4"/>
  <c r="F15" i="4"/>
  <c r="AB50" i="2"/>
  <c r="AB51" i="2"/>
  <c r="AB52" i="2"/>
  <c r="AB53" i="2"/>
  <c r="AV50" i="2"/>
  <c r="AF50" i="2"/>
  <c r="AV51" i="2"/>
  <c r="AF51" i="2"/>
  <c r="AV52" i="2"/>
  <c r="AF52" i="2"/>
  <c r="AV53" i="2"/>
  <c r="AF53" i="2"/>
  <c r="AJ13" i="2"/>
  <c r="BG13" i="2"/>
  <c r="BH13" i="2"/>
  <c r="E15" i="4"/>
  <c r="D15" i="4"/>
  <c r="AB50" i="1"/>
  <c r="AB51" i="1"/>
  <c r="AB52" i="1"/>
  <c r="AB53" i="1"/>
  <c r="AW50" i="1"/>
  <c r="AF50" i="1"/>
  <c r="AW51" i="1"/>
  <c r="AF51" i="1"/>
  <c r="AW52" i="1"/>
  <c r="AF52" i="1"/>
  <c r="AW53" i="1"/>
  <c r="AF53" i="1"/>
  <c r="AJ13" i="1"/>
  <c r="BH13" i="1"/>
  <c r="BI13" i="1"/>
  <c r="C15" i="4"/>
  <c r="B15" i="4"/>
  <c r="AB46" i="3"/>
  <c r="AB47" i="3"/>
  <c r="AB48" i="3"/>
  <c r="AB49" i="3"/>
  <c r="AW46" i="3"/>
  <c r="AF46" i="3"/>
  <c r="AW47" i="3"/>
  <c r="AF47" i="3"/>
  <c r="AW48" i="3"/>
  <c r="AF48" i="3"/>
  <c r="AW49" i="3"/>
  <c r="AF49" i="3"/>
  <c r="AJ12" i="3"/>
  <c r="BH12" i="3"/>
  <c r="BI12" i="3"/>
  <c r="G14" i="4"/>
  <c r="F14" i="4"/>
  <c r="AB46" i="2"/>
  <c r="AB47" i="2"/>
  <c r="AB48" i="2"/>
  <c r="AB49" i="2"/>
  <c r="AV46" i="2"/>
  <c r="AF46" i="2"/>
  <c r="AV47" i="2"/>
  <c r="AF47" i="2"/>
  <c r="AV48" i="2"/>
  <c r="AF48" i="2"/>
  <c r="AV49" i="2"/>
  <c r="AF49" i="2"/>
  <c r="AJ12" i="2"/>
  <c r="BG12" i="2"/>
  <c r="BH12" i="2"/>
  <c r="E14" i="4"/>
  <c r="D14" i="4"/>
  <c r="AB46" i="1"/>
  <c r="AB47" i="1"/>
  <c r="AB48" i="1"/>
  <c r="AB49" i="1"/>
  <c r="AW46" i="1"/>
  <c r="AF46" i="1"/>
  <c r="AW47" i="1"/>
  <c r="AF47" i="1"/>
  <c r="AW48" i="1"/>
  <c r="AF48" i="1"/>
  <c r="AW49" i="1"/>
  <c r="AF49" i="1"/>
  <c r="AJ12" i="1"/>
  <c r="BH12" i="1"/>
  <c r="BI12" i="1"/>
  <c r="C14" i="4"/>
  <c r="B14" i="4"/>
  <c r="BH11" i="3"/>
  <c r="BI11" i="3"/>
  <c r="G13" i="4"/>
  <c r="BG11" i="2"/>
  <c r="BH11" i="2"/>
  <c r="E13" i="4"/>
  <c r="BH11" i="1"/>
  <c r="BI11" i="1"/>
  <c r="C13" i="4"/>
  <c r="AB38" i="3"/>
  <c r="AB39" i="3"/>
  <c r="AB40" i="3"/>
  <c r="AB41" i="3"/>
  <c r="AW38" i="3"/>
  <c r="AF38" i="3"/>
  <c r="AW39" i="3"/>
  <c r="AF39" i="3"/>
  <c r="AW40" i="3"/>
  <c r="AF40" i="3"/>
  <c r="AW41" i="3"/>
  <c r="AF41" i="3"/>
  <c r="AJ10" i="3"/>
  <c r="BH10" i="3"/>
  <c r="BI10" i="3"/>
  <c r="G12" i="4"/>
  <c r="F12" i="4"/>
  <c r="AB38" i="2"/>
  <c r="AB39" i="2"/>
  <c r="AB40" i="2"/>
  <c r="AB41" i="2"/>
  <c r="AV38" i="2"/>
  <c r="AF38" i="2"/>
  <c r="AV39" i="2"/>
  <c r="AF39" i="2"/>
  <c r="AV40" i="2"/>
  <c r="AF40" i="2"/>
  <c r="AV41" i="2"/>
  <c r="AF41" i="2"/>
  <c r="AJ10" i="2"/>
  <c r="BG10" i="2"/>
  <c r="BH10" i="2"/>
  <c r="E12" i="4"/>
  <c r="D12" i="4"/>
  <c r="AB38" i="1"/>
  <c r="AB39" i="1"/>
  <c r="AB40" i="1"/>
  <c r="AB41" i="1"/>
  <c r="AW38" i="1"/>
  <c r="AF38" i="1"/>
  <c r="AW39" i="1"/>
  <c r="AF39" i="1"/>
  <c r="AW40" i="1"/>
  <c r="AF40" i="1"/>
  <c r="AW41" i="1"/>
  <c r="AF41" i="1"/>
  <c r="AJ10" i="1"/>
  <c r="BH10" i="1"/>
  <c r="BI10" i="1"/>
  <c r="C12" i="4"/>
  <c r="B12" i="4"/>
  <c r="AB34" i="3"/>
  <c r="AB35" i="3"/>
  <c r="AB36" i="3"/>
  <c r="AB37" i="3"/>
  <c r="AW34" i="3"/>
  <c r="AF34" i="3"/>
  <c r="AW35" i="3"/>
  <c r="AF35" i="3"/>
  <c r="AW36" i="3"/>
  <c r="AF36" i="3"/>
  <c r="AW37" i="3"/>
  <c r="AF37" i="3"/>
  <c r="AJ9" i="3"/>
  <c r="BH9" i="3"/>
  <c r="BI9" i="3"/>
  <c r="G11" i="4"/>
  <c r="F11" i="4"/>
  <c r="AB34" i="2"/>
  <c r="AB35" i="2"/>
  <c r="AB36" i="2"/>
  <c r="AB37" i="2"/>
  <c r="AV34" i="2"/>
  <c r="AF34" i="2"/>
  <c r="AV35" i="2"/>
  <c r="AF35" i="2"/>
  <c r="AV36" i="2"/>
  <c r="AF36" i="2"/>
  <c r="AV37" i="2"/>
  <c r="AF37" i="2"/>
  <c r="AJ9" i="2"/>
  <c r="BG9" i="2"/>
  <c r="BH9" i="2"/>
  <c r="E11" i="4"/>
  <c r="D11" i="4"/>
  <c r="AB34" i="1"/>
  <c r="AB35" i="1"/>
  <c r="AB36" i="1"/>
  <c r="AB37" i="1"/>
  <c r="AW34" i="1"/>
  <c r="AF34" i="1"/>
  <c r="AW35" i="1"/>
  <c r="AF35" i="1"/>
  <c r="AW36" i="1"/>
  <c r="AF36" i="1"/>
  <c r="AW37" i="1"/>
  <c r="AF37" i="1"/>
  <c r="AJ9" i="1"/>
  <c r="BH9" i="1"/>
  <c r="BI9" i="1"/>
  <c r="C11" i="4"/>
  <c r="B11" i="4"/>
  <c r="AB30" i="3"/>
  <c r="AB31" i="3"/>
  <c r="AB32" i="3"/>
  <c r="AB33" i="3"/>
  <c r="AW30" i="3"/>
  <c r="AF30" i="3"/>
  <c r="AW31" i="3"/>
  <c r="AF31" i="3"/>
  <c r="AW32" i="3"/>
  <c r="AF32" i="3"/>
  <c r="AW33" i="3"/>
  <c r="AF33" i="3"/>
  <c r="AJ8" i="3"/>
  <c r="BH8" i="3"/>
  <c r="BI8" i="3"/>
  <c r="G10" i="4"/>
  <c r="F10" i="4"/>
  <c r="AB30" i="2"/>
  <c r="AB31" i="2"/>
  <c r="AB32" i="2"/>
  <c r="AB33" i="2"/>
  <c r="AV30" i="2"/>
  <c r="AF30" i="2"/>
  <c r="AV31" i="2"/>
  <c r="AF31" i="2"/>
  <c r="AV32" i="2"/>
  <c r="AF32" i="2"/>
  <c r="AV33" i="2"/>
  <c r="AF33" i="2"/>
  <c r="AJ8" i="2"/>
  <c r="BG8" i="2"/>
  <c r="BH8" i="2"/>
  <c r="E10" i="4"/>
  <c r="D10" i="4"/>
  <c r="AB30" i="1"/>
  <c r="AB31" i="1"/>
  <c r="AB32" i="1"/>
  <c r="AB33" i="1"/>
  <c r="AW30" i="1"/>
  <c r="AF30" i="1"/>
  <c r="AW31" i="1"/>
  <c r="AF31" i="1"/>
  <c r="AW32" i="1"/>
  <c r="AF32" i="1"/>
  <c r="AW33" i="1"/>
  <c r="AF33" i="1"/>
  <c r="AJ8" i="1"/>
  <c r="BH8" i="1"/>
  <c r="BI8" i="1"/>
  <c r="C10" i="4"/>
  <c r="B10" i="4"/>
  <c r="AB26" i="3"/>
  <c r="AB27" i="3"/>
  <c r="AB28" i="3"/>
  <c r="AB29" i="3"/>
  <c r="AW26" i="3"/>
  <c r="AF26" i="3"/>
  <c r="AW27" i="3"/>
  <c r="AF27" i="3"/>
  <c r="AW28" i="3"/>
  <c r="AF28" i="3"/>
  <c r="AW29" i="3"/>
  <c r="AF29" i="3"/>
  <c r="AJ7" i="3"/>
  <c r="BH7" i="3"/>
  <c r="BI7" i="3"/>
  <c r="G9" i="4"/>
  <c r="F9" i="4"/>
  <c r="AB26" i="2"/>
  <c r="AB27" i="2"/>
  <c r="AB28" i="2"/>
  <c r="AB29" i="2"/>
  <c r="AV26" i="2"/>
  <c r="AF26" i="2"/>
  <c r="AV27" i="2"/>
  <c r="AF27" i="2"/>
  <c r="AV28" i="2"/>
  <c r="AF28" i="2"/>
  <c r="AV29" i="2"/>
  <c r="AF29" i="2"/>
  <c r="AJ7" i="2"/>
  <c r="BG7" i="2"/>
  <c r="BH7" i="2"/>
  <c r="E9" i="4"/>
  <c r="D9" i="4"/>
  <c r="AB26" i="1"/>
  <c r="AB27" i="1"/>
  <c r="AB28" i="1"/>
  <c r="AB29" i="1"/>
  <c r="AW26" i="1"/>
  <c r="AF26" i="1"/>
  <c r="AW27" i="1"/>
  <c r="AF27" i="1"/>
  <c r="AW28" i="1"/>
  <c r="AF28" i="1"/>
  <c r="AW29" i="1"/>
  <c r="AF29" i="1"/>
  <c r="AJ7" i="1"/>
  <c r="BH7" i="1"/>
  <c r="BI7" i="1"/>
  <c r="C9" i="4"/>
  <c r="B9" i="4"/>
  <c r="AB22" i="3"/>
  <c r="AB23" i="3"/>
  <c r="AB24" i="3"/>
  <c r="AB25" i="3"/>
  <c r="AF22" i="3"/>
  <c r="AF23" i="3"/>
  <c r="AF24" i="3"/>
  <c r="AJ6" i="3"/>
  <c r="BH6" i="3"/>
  <c r="BI6" i="3"/>
  <c r="G8" i="4"/>
  <c r="F8" i="4"/>
  <c r="AB22" i="2"/>
  <c r="AB23" i="2"/>
  <c r="AB24" i="2"/>
  <c r="AB25" i="2"/>
  <c r="AF22" i="2"/>
  <c r="AF23" i="2"/>
  <c r="AF24" i="2"/>
  <c r="AJ6" i="2"/>
  <c r="BG6" i="2"/>
  <c r="BH6" i="2"/>
  <c r="E8" i="4"/>
  <c r="D8" i="4"/>
  <c r="AB22" i="1"/>
  <c r="AB23" i="1"/>
  <c r="AB24" i="1"/>
  <c r="AB25" i="1"/>
  <c r="AF22" i="1"/>
  <c r="AF23" i="1"/>
  <c r="AF24" i="1"/>
  <c r="AJ6" i="1"/>
  <c r="BH6" i="1"/>
  <c r="BI6" i="1"/>
  <c r="C8" i="4"/>
  <c r="B8" i="4"/>
  <c r="AB18" i="3"/>
  <c r="AB19" i="3"/>
  <c r="AB20" i="3"/>
  <c r="AB21" i="3"/>
  <c r="AF18" i="3"/>
  <c r="AF19" i="3"/>
  <c r="AF20" i="3"/>
  <c r="AF21" i="3"/>
  <c r="AJ5" i="3"/>
  <c r="BH5" i="3"/>
  <c r="BI5" i="3"/>
  <c r="G7" i="4"/>
  <c r="F7" i="4"/>
  <c r="AB18" i="2"/>
  <c r="AB19" i="2"/>
  <c r="AB20" i="2"/>
  <c r="AB21" i="2"/>
  <c r="AF18" i="2"/>
  <c r="AF19" i="2"/>
  <c r="AF20" i="2"/>
  <c r="AF21" i="2"/>
  <c r="AJ5" i="2"/>
  <c r="BG5" i="2"/>
  <c r="BH5" i="2"/>
  <c r="E7" i="4"/>
  <c r="D7" i="4"/>
  <c r="AB18" i="1"/>
  <c r="AB19" i="1"/>
  <c r="AB20" i="1"/>
  <c r="AB21" i="1"/>
  <c r="AF18" i="1"/>
  <c r="AF19" i="1"/>
  <c r="AF20" i="1"/>
  <c r="AF21" i="1"/>
  <c r="AJ5" i="1"/>
  <c r="BH5" i="1"/>
  <c r="BI5" i="1"/>
  <c r="C7" i="4"/>
  <c r="B7" i="4"/>
  <c r="AB14" i="3"/>
  <c r="AB15" i="3"/>
  <c r="AB16" i="3"/>
  <c r="AB17" i="3"/>
  <c r="AF14" i="3"/>
  <c r="AF15" i="3"/>
  <c r="AF16" i="3"/>
  <c r="AF17" i="3"/>
  <c r="AJ4" i="3"/>
  <c r="BH4" i="3"/>
  <c r="BI4" i="3"/>
  <c r="G6" i="4"/>
  <c r="F6" i="4"/>
  <c r="AB14" i="2"/>
  <c r="AB15" i="2"/>
  <c r="AB16" i="2"/>
  <c r="AB17" i="2"/>
  <c r="AF14" i="2"/>
  <c r="AF15" i="2"/>
  <c r="AF16" i="2"/>
  <c r="AF17" i="2"/>
  <c r="AJ4" i="2"/>
  <c r="BG4" i="2"/>
  <c r="BH4" i="2"/>
  <c r="E6" i="4"/>
  <c r="D6" i="4"/>
  <c r="AB14" i="1"/>
  <c r="AB15" i="1"/>
  <c r="AB16" i="1"/>
  <c r="AB17" i="1"/>
  <c r="AF14" i="1"/>
  <c r="AF15" i="1"/>
  <c r="AF16" i="1"/>
  <c r="AF17" i="1"/>
  <c r="AJ4" i="1"/>
  <c r="BH4" i="1"/>
  <c r="BI4" i="1"/>
  <c r="C6" i="4"/>
  <c r="B6" i="4"/>
  <c r="AA3" i="3"/>
  <c r="AA4" i="3"/>
  <c r="AA5" i="3"/>
  <c r="AA6" i="3"/>
  <c r="AF3" i="3"/>
  <c r="AF4" i="3"/>
  <c r="AF5" i="3"/>
  <c r="AF6" i="3"/>
  <c r="AJ3" i="3"/>
  <c r="BH3" i="3"/>
  <c r="BI3" i="3"/>
  <c r="G5" i="4"/>
  <c r="F5" i="4"/>
  <c r="AA3" i="2"/>
  <c r="AA4" i="2"/>
  <c r="AA5" i="2"/>
  <c r="AA6" i="2"/>
  <c r="AF3" i="2"/>
  <c r="AF4" i="2"/>
  <c r="AF5" i="2"/>
  <c r="AF6" i="2"/>
  <c r="AJ3" i="2"/>
  <c r="BG3" i="2"/>
  <c r="BH3" i="2"/>
  <c r="E5" i="4"/>
  <c r="D5" i="4"/>
  <c r="AA3" i="1"/>
  <c r="AA4" i="1"/>
  <c r="AA5" i="1"/>
  <c r="AA6" i="1"/>
  <c r="AF3" i="1"/>
  <c r="AF4" i="1"/>
  <c r="AF5" i="1"/>
  <c r="AF6" i="1"/>
  <c r="AJ3" i="1"/>
  <c r="BH3" i="1"/>
  <c r="BI3" i="1"/>
  <c r="C5" i="4"/>
  <c r="B5" i="4"/>
  <c r="BC117" i="3"/>
  <c r="AH117" i="3"/>
  <c r="AG117" i="3"/>
  <c r="Z1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A109" i="3"/>
  <c r="A113" i="3"/>
  <c r="A117" i="3"/>
  <c r="BC116" i="3"/>
  <c r="AH116" i="3"/>
  <c r="AG116" i="3"/>
  <c r="Z1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A108" i="3"/>
  <c r="A112" i="3"/>
  <c r="A116" i="3"/>
  <c r="BC115" i="3"/>
  <c r="AH115" i="3"/>
  <c r="AG115" i="3"/>
  <c r="Z1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103" i="3"/>
  <c r="B107" i="3"/>
  <c r="B111" i="3"/>
  <c r="B1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A107" i="3"/>
  <c r="A111" i="3"/>
  <c r="A115" i="3"/>
  <c r="BC114" i="3"/>
  <c r="AH114" i="3"/>
  <c r="AG114" i="3"/>
  <c r="Z114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A110" i="3"/>
  <c r="A114" i="3"/>
  <c r="BC113" i="3"/>
  <c r="AH113" i="3"/>
  <c r="AG113" i="3"/>
  <c r="Z113" i="3"/>
  <c r="BC112" i="3"/>
  <c r="AH112" i="3"/>
  <c r="AG112" i="3"/>
  <c r="Z112" i="3"/>
  <c r="BC111" i="3"/>
  <c r="AH111" i="3"/>
  <c r="AG111" i="3"/>
  <c r="Z111" i="3"/>
  <c r="BC110" i="3"/>
  <c r="AH110" i="3"/>
  <c r="AG110" i="3"/>
  <c r="Z110" i="3"/>
  <c r="BC109" i="3"/>
  <c r="AH109" i="3"/>
  <c r="AG109" i="3"/>
  <c r="Z109" i="3"/>
  <c r="BC108" i="3"/>
  <c r="AH108" i="3"/>
  <c r="AG108" i="3"/>
  <c r="Z108" i="3"/>
  <c r="BC107" i="3"/>
  <c r="AH107" i="3"/>
  <c r="AG107" i="3"/>
  <c r="Z107" i="3"/>
  <c r="BC106" i="3"/>
  <c r="AH106" i="3"/>
  <c r="AG106" i="3"/>
  <c r="Z106" i="3"/>
  <c r="BC105" i="3"/>
  <c r="AH105" i="3"/>
  <c r="AG105" i="3"/>
  <c r="Z105" i="3"/>
  <c r="BC104" i="3"/>
  <c r="AH104" i="3"/>
  <c r="AG104" i="3"/>
  <c r="Z104" i="3"/>
  <c r="BC103" i="3"/>
  <c r="AH103" i="3"/>
  <c r="AG103" i="3"/>
  <c r="Z103" i="3"/>
  <c r="BC102" i="3"/>
  <c r="AH102" i="3"/>
  <c r="AG102" i="3"/>
  <c r="Z102" i="3"/>
  <c r="BC101" i="3"/>
  <c r="AH101" i="3"/>
  <c r="AG101" i="3"/>
  <c r="Z101" i="3"/>
  <c r="BC100" i="3"/>
  <c r="AH100" i="3"/>
  <c r="AG100" i="3"/>
  <c r="Z100" i="3"/>
  <c r="BC99" i="3"/>
  <c r="AH99" i="3"/>
  <c r="AG99" i="3"/>
  <c r="Z99" i="3"/>
  <c r="BC98" i="3"/>
  <c r="AH98" i="3"/>
  <c r="AG98" i="3"/>
  <c r="Z98" i="3"/>
  <c r="BC97" i="3"/>
  <c r="AH97" i="3"/>
  <c r="AG97" i="3"/>
  <c r="Z97" i="3"/>
  <c r="BC96" i="3"/>
  <c r="AH96" i="3"/>
  <c r="AG96" i="3"/>
  <c r="Z96" i="3"/>
  <c r="BC95" i="3"/>
  <c r="AH95" i="3"/>
  <c r="AG95" i="3"/>
  <c r="Z95" i="3"/>
  <c r="BC94" i="3"/>
  <c r="AH94" i="3"/>
  <c r="AG94" i="3"/>
  <c r="Z94" i="3"/>
  <c r="BC93" i="3"/>
  <c r="AH93" i="3"/>
  <c r="AG93" i="3"/>
  <c r="Z93" i="3"/>
  <c r="BC92" i="3"/>
  <c r="AH92" i="3"/>
  <c r="AG92" i="3"/>
  <c r="Z92" i="3"/>
  <c r="BC91" i="3"/>
  <c r="AH91" i="3"/>
  <c r="AG91" i="3"/>
  <c r="Z91" i="3"/>
  <c r="BC90" i="3"/>
  <c r="AH90" i="3"/>
  <c r="AG90" i="3"/>
  <c r="Z90" i="3"/>
  <c r="BC89" i="3"/>
  <c r="AH89" i="3"/>
  <c r="AG89" i="3"/>
  <c r="Z89" i="3"/>
  <c r="BC88" i="3"/>
  <c r="AH88" i="3"/>
  <c r="AG88" i="3"/>
  <c r="Z88" i="3"/>
  <c r="BC87" i="3"/>
  <c r="AH87" i="3"/>
  <c r="AG87" i="3"/>
  <c r="Z87" i="3"/>
  <c r="BC86" i="3"/>
  <c r="AH86" i="3"/>
  <c r="AG86" i="3"/>
  <c r="Z86" i="3"/>
  <c r="BC85" i="3"/>
  <c r="AH85" i="3"/>
  <c r="AG85" i="3"/>
  <c r="Z85" i="3"/>
  <c r="BC84" i="3"/>
  <c r="AH84" i="3"/>
  <c r="AG84" i="3"/>
  <c r="Z84" i="3"/>
  <c r="BC83" i="3"/>
  <c r="AH83" i="3"/>
  <c r="AG83" i="3"/>
  <c r="Z83" i="3"/>
  <c r="BC82" i="3"/>
  <c r="AH82" i="3"/>
  <c r="AG82" i="3"/>
  <c r="Z82" i="3"/>
  <c r="BC81" i="3"/>
  <c r="AH81" i="3"/>
  <c r="AG81" i="3"/>
  <c r="Z81" i="3"/>
  <c r="BC80" i="3"/>
  <c r="AH80" i="3"/>
  <c r="AG80" i="3"/>
  <c r="Z80" i="3"/>
  <c r="BC79" i="3"/>
  <c r="AH79" i="3"/>
  <c r="AG79" i="3"/>
  <c r="Z79" i="3"/>
  <c r="BC78" i="3"/>
  <c r="AH78" i="3"/>
  <c r="AG78" i="3"/>
  <c r="Z78" i="3"/>
  <c r="BC77" i="3"/>
  <c r="AH77" i="3"/>
  <c r="AG77" i="3"/>
  <c r="Z77" i="3"/>
  <c r="BC76" i="3"/>
  <c r="AH76" i="3"/>
  <c r="AG76" i="3"/>
  <c r="Z76" i="3"/>
  <c r="BC75" i="3"/>
  <c r="AH75" i="3"/>
  <c r="AG75" i="3"/>
  <c r="Z75" i="3"/>
  <c r="BC74" i="3"/>
  <c r="AH74" i="3"/>
  <c r="AG74" i="3"/>
  <c r="Z74" i="3"/>
  <c r="BC73" i="3"/>
  <c r="AH73" i="3"/>
  <c r="AG73" i="3"/>
  <c r="Z73" i="3"/>
  <c r="BC72" i="3"/>
  <c r="AH72" i="3"/>
  <c r="AG72" i="3"/>
  <c r="Z72" i="3"/>
  <c r="BC71" i="3"/>
  <c r="AH71" i="3"/>
  <c r="AG71" i="3"/>
  <c r="Z71" i="3"/>
  <c r="BC70" i="3"/>
  <c r="AH70" i="3"/>
  <c r="AG70" i="3"/>
  <c r="Z70" i="3"/>
  <c r="BC69" i="3"/>
  <c r="AH69" i="3"/>
  <c r="AG69" i="3"/>
  <c r="Z69" i="3"/>
  <c r="BC68" i="3"/>
  <c r="AH68" i="3"/>
  <c r="AG68" i="3"/>
  <c r="Z68" i="3"/>
  <c r="BC67" i="3"/>
  <c r="AH67" i="3"/>
  <c r="AG67" i="3"/>
  <c r="Z67" i="3"/>
  <c r="BC66" i="3"/>
  <c r="AH66" i="3"/>
  <c r="AG66" i="3"/>
  <c r="Z66" i="3"/>
  <c r="BC65" i="3"/>
  <c r="AH65" i="3"/>
  <c r="AG65" i="3"/>
  <c r="Z65" i="3"/>
  <c r="BC64" i="3"/>
  <c r="AH64" i="3"/>
  <c r="AG64" i="3"/>
  <c r="Z64" i="3"/>
  <c r="BC63" i="3"/>
  <c r="AH63" i="3"/>
  <c r="AG63" i="3"/>
  <c r="Z63" i="3"/>
  <c r="BC62" i="3"/>
  <c r="AH62" i="3"/>
  <c r="AG62" i="3"/>
  <c r="Z62" i="3"/>
  <c r="BC61" i="3"/>
  <c r="AH61" i="3"/>
  <c r="AG61" i="3"/>
  <c r="Z61" i="3"/>
  <c r="BC60" i="3"/>
  <c r="AH60" i="3"/>
  <c r="AG60" i="3"/>
  <c r="Z60" i="3"/>
  <c r="BC59" i="3"/>
  <c r="AH59" i="3"/>
  <c r="AG59" i="3"/>
  <c r="Z59" i="3"/>
  <c r="BC58" i="3"/>
  <c r="AH58" i="3"/>
  <c r="AG58" i="3"/>
  <c r="Z58" i="3"/>
  <c r="BC57" i="3"/>
  <c r="AH57" i="3"/>
  <c r="AG57" i="3"/>
  <c r="Z57" i="3"/>
  <c r="BC56" i="3"/>
  <c r="AH56" i="3"/>
  <c r="AG56" i="3"/>
  <c r="Z56" i="3"/>
  <c r="BC55" i="3"/>
  <c r="AH55" i="3"/>
  <c r="AG55" i="3"/>
  <c r="Z55" i="3"/>
  <c r="BC54" i="3"/>
  <c r="AH54" i="3"/>
  <c r="AG54" i="3"/>
  <c r="Z54" i="3"/>
  <c r="BC53" i="3"/>
  <c r="AH53" i="3"/>
  <c r="AG53" i="3"/>
  <c r="Z53" i="3"/>
  <c r="BC52" i="3"/>
  <c r="AH52" i="3"/>
  <c r="AG52" i="3"/>
  <c r="Z52" i="3"/>
  <c r="BC51" i="3"/>
  <c r="AH51" i="3"/>
  <c r="AG51" i="3"/>
  <c r="Z51" i="3"/>
  <c r="BC50" i="3"/>
  <c r="AH50" i="3"/>
  <c r="AG50" i="3"/>
  <c r="Z50" i="3"/>
  <c r="BC49" i="3"/>
  <c r="AH49" i="3"/>
  <c r="AG49" i="3"/>
  <c r="Z49" i="3"/>
  <c r="BC48" i="3"/>
  <c r="AH48" i="3"/>
  <c r="AG48" i="3"/>
  <c r="Z48" i="3"/>
  <c r="BC47" i="3"/>
  <c r="AH47" i="3"/>
  <c r="AG47" i="3"/>
  <c r="Z47" i="3"/>
  <c r="BC46" i="3"/>
  <c r="AH46" i="3"/>
  <c r="AG46" i="3"/>
  <c r="Z46" i="3"/>
  <c r="BC45" i="3"/>
  <c r="AH45" i="3"/>
  <c r="AG45" i="3"/>
  <c r="Z45" i="3"/>
  <c r="BC44" i="3"/>
  <c r="AH44" i="3"/>
  <c r="AG44" i="3"/>
  <c r="Z44" i="3"/>
  <c r="BC43" i="3"/>
  <c r="AH43" i="3"/>
  <c r="AG43" i="3"/>
  <c r="Z43" i="3"/>
  <c r="BC42" i="3"/>
  <c r="AH42" i="3"/>
  <c r="AG42" i="3"/>
  <c r="Z42" i="3"/>
  <c r="BC41" i="3"/>
  <c r="AH41" i="3"/>
  <c r="AG41" i="3"/>
  <c r="Z41" i="3"/>
  <c r="BC40" i="3"/>
  <c r="AH40" i="3"/>
  <c r="AG40" i="3"/>
  <c r="Z40" i="3"/>
  <c r="BC39" i="3"/>
  <c r="AH39" i="3"/>
  <c r="AG39" i="3"/>
  <c r="Z39" i="3"/>
  <c r="BC38" i="3"/>
  <c r="AH38" i="3"/>
  <c r="AG38" i="3"/>
  <c r="Z38" i="3"/>
  <c r="BC37" i="3"/>
  <c r="AH37" i="3"/>
  <c r="AG37" i="3"/>
  <c r="Z37" i="3"/>
  <c r="BC36" i="3"/>
  <c r="AH36" i="3"/>
  <c r="AG36" i="3"/>
  <c r="Z36" i="3"/>
  <c r="BC35" i="3"/>
  <c r="AH35" i="3"/>
  <c r="AG35" i="3"/>
  <c r="Z35" i="3"/>
  <c r="BC34" i="3"/>
  <c r="AH34" i="3"/>
  <c r="AG34" i="3"/>
  <c r="Z34" i="3"/>
  <c r="BC33" i="3"/>
  <c r="AH33" i="3"/>
  <c r="AG33" i="3"/>
  <c r="Z33" i="3"/>
  <c r="BC32" i="3"/>
  <c r="AH32" i="3"/>
  <c r="AG32" i="3"/>
  <c r="Z32" i="3"/>
  <c r="C26" i="3"/>
  <c r="C27" i="3"/>
  <c r="C28" i="3"/>
  <c r="C29" i="3"/>
  <c r="C32" i="3"/>
  <c r="BC31" i="3"/>
  <c r="AH31" i="3"/>
  <c r="AG31" i="3"/>
  <c r="Z31" i="3"/>
  <c r="BC30" i="3"/>
  <c r="AM7" i="3"/>
  <c r="AO7" i="3"/>
  <c r="AM8" i="3"/>
  <c r="AN7" i="3"/>
  <c r="AN8" i="3"/>
  <c r="AP8" i="3"/>
  <c r="AM9" i="3"/>
  <c r="AP9" i="3"/>
  <c r="AM10" i="3"/>
  <c r="AP10" i="3"/>
  <c r="AM11" i="3"/>
  <c r="AP11" i="3"/>
  <c r="AM12" i="3"/>
  <c r="AP12" i="3"/>
  <c r="AM13" i="3"/>
  <c r="AP13" i="3"/>
  <c r="AM14" i="3"/>
  <c r="AP14" i="3"/>
  <c r="AM15" i="3"/>
  <c r="AP15" i="3"/>
  <c r="AM16" i="3"/>
  <c r="AP16" i="3"/>
  <c r="AM17" i="3"/>
  <c r="AP17" i="3"/>
  <c r="AM18" i="3"/>
  <c r="AP18" i="3"/>
  <c r="AM19" i="3"/>
  <c r="AP19" i="3"/>
  <c r="AM20" i="3"/>
  <c r="AP20" i="3"/>
  <c r="AM21" i="3"/>
  <c r="AP21" i="3"/>
  <c r="AM22" i="3"/>
  <c r="AP22" i="3"/>
  <c r="AM23" i="3"/>
  <c r="AP23" i="3"/>
  <c r="AM24" i="3"/>
  <c r="AP24" i="3"/>
  <c r="AM25" i="3"/>
  <c r="AP25" i="3"/>
  <c r="AM26" i="3"/>
  <c r="AP26" i="3"/>
  <c r="AM27" i="3"/>
  <c r="AP27" i="3"/>
  <c r="AM28" i="3"/>
  <c r="AP28" i="3"/>
  <c r="AM29" i="3"/>
  <c r="AP29" i="3"/>
  <c r="AP6" i="3"/>
  <c r="AP30" i="3"/>
  <c r="AH30" i="3"/>
  <c r="AG30" i="3"/>
  <c r="Z30" i="3"/>
  <c r="BG29" i="3"/>
  <c r="BF29" i="3"/>
  <c r="BE29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C29" i="3"/>
  <c r="AR29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Q29" i="3"/>
  <c r="AL29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H29" i="3"/>
  <c r="AG29" i="3"/>
  <c r="Z29" i="3"/>
  <c r="BG28" i="3"/>
  <c r="BF28" i="3"/>
  <c r="BE28" i="3"/>
  <c r="BC28" i="3"/>
  <c r="AR28" i="3"/>
  <c r="AQ28" i="3"/>
  <c r="AL28" i="3"/>
  <c r="AH28" i="3"/>
  <c r="AG28" i="3"/>
  <c r="Z28" i="3"/>
  <c r="BG27" i="3"/>
  <c r="BF27" i="3"/>
  <c r="BE27" i="3"/>
  <c r="BC27" i="3"/>
  <c r="AR27" i="3"/>
  <c r="AQ27" i="3"/>
  <c r="AL27" i="3"/>
  <c r="AH27" i="3"/>
  <c r="AG27" i="3"/>
  <c r="Z27" i="3"/>
  <c r="BG26" i="3"/>
  <c r="BF26" i="3"/>
  <c r="BE26" i="3"/>
  <c r="BC26" i="3"/>
  <c r="AR26" i="3"/>
  <c r="AQ26" i="3"/>
  <c r="AL26" i="3"/>
  <c r="AH26" i="3"/>
  <c r="AG26" i="3"/>
  <c r="Z26" i="3"/>
  <c r="BG25" i="3"/>
  <c r="BF25" i="3"/>
  <c r="BE25" i="3"/>
  <c r="BC25" i="3"/>
  <c r="AY25" i="3"/>
  <c r="AW25" i="3"/>
  <c r="AR25" i="3"/>
  <c r="AQ25" i="3"/>
  <c r="AL25" i="3"/>
  <c r="AH25" i="3"/>
  <c r="Z25" i="3"/>
  <c r="BG24" i="3"/>
  <c r="BF24" i="3"/>
  <c r="BE24" i="3"/>
  <c r="BC24" i="3"/>
  <c r="AY24" i="3"/>
  <c r="AW24" i="3"/>
  <c r="AR24" i="3"/>
  <c r="AQ24" i="3"/>
  <c r="AL24" i="3"/>
  <c r="AH24" i="3"/>
  <c r="Z24" i="3"/>
  <c r="BG23" i="3"/>
  <c r="BF23" i="3"/>
  <c r="BE23" i="3"/>
  <c r="BC23" i="3"/>
  <c r="AY23" i="3"/>
  <c r="AW23" i="3"/>
  <c r="AR23" i="3"/>
  <c r="AQ23" i="3"/>
  <c r="AL23" i="3"/>
  <c r="AH23" i="3"/>
  <c r="Z23" i="3"/>
  <c r="BG22" i="3"/>
  <c r="BF22" i="3"/>
  <c r="BE22" i="3"/>
  <c r="BC22" i="3"/>
  <c r="AY22" i="3"/>
  <c r="AW22" i="3"/>
  <c r="AR22" i="3"/>
  <c r="AQ22" i="3"/>
  <c r="AL22" i="3"/>
  <c r="AH22" i="3"/>
  <c r="Z22" i="3"/>
  <c r="BG21" i="3"/>
  <c r="BF21" i="3"/>
  <c r="BE21" i="3"/>
  <c r="BC21" i="3"/>
  <c r="AY21" i="3"/>
  <c r="AW21" i="3"/>
  <c r="AR21" i="3"/>
  <c r="AQ21" i="3"/>
  <c r="AL21" i="3"/>
  <c r="AH21" i="3"/>
  <c r="Z21" i="3"/>
  <c r="BG20" i="3"/>
  <c r="BF20" i="3"/>
  <c r="BE20" i="3"/>
  <c r="BC20" i="3"/>
  <c r="AY20" i="3"/>
  <c r="AW20" i="3"/>
  <c r="AR20" i="3"/>
  <c r="AQ20" i="3"/>
  <c r="AL20" i="3"/>
  <c r="AH20" i="3"/>
  <c r="Z20" i="3"/>
  <c r="BG19" i="3"/>
  <c r="BF19" i="3"/>
  <c r="BE19" i="3"/>
  <c r="BC19" i="3"/>
  <c r="AY19" i="3"/>
  <c r="AW19" i="3"/>
  <c r="AR19" i="3"/>
  <c r="AQ19" i="3"/>
  <c r="AL19" i="3"/>
  <c r="AH19" i="3"/>
  <c r="Z19" i="3"/>
  <c r="BG18" i="3"/>
  <c r="BF18" i="3"/>
  <c r="BE18" i="3"/>
  <c r="BC18" i="3"/>
  <c r="AY18" i="3"/>
  <c r="AW18" i="3"/>
  <c r="AR18" i="3"/>
  <c r="AQ18" i="3"/>
  <c r="AL18" i="3"/>
  <c r="AH18" i="3"/>
  <c r="Z18" i="3"/>
  <c r="BG17" i="3"/>
  <c r="BF17" i="3"/>
  <c r="BE17" i="3"/>
  <c r="BC17" i="3"/>
  <c r="AY17" i="3"/>
  <c r="AW17" i="3"/>
  <c r="AR17" i="3"/>
  <c r="AQ17" i="3"/>
  <c r="AL17" i="3"/>
  <c r="AH17" i="3"/>
  <c r="Z17" i="3"/>
  <c r="BG16" i="3"/>
  <c r="BF16" i="3"/>
  <c r="BE16" i="3"/>
  <c r="BC16" i="3"/>
  <c r="AY16" i="3"/>
  <c r="AW16" i="3"/>
  <c r="AR16" i="3"/>
  <c r="AQ16" i="3"/>
  <c r="AL16" i="3"/>
  <c r="AH16" i="3"/>
  <c r="Z16" i="3"/>
  <c r="BG15" i="3"/>
  <c r="BF15" i="3"/>
  <c r="BE15" i="3"/>
  <c r="BC15" i="3"/>
  <c r="AY15" i="3"/>
  <c r="AW15" i="3"/>
  <c r="AR15" i="3"/>
  <c r="AQ15" i="3"/>
  <c r="AL15" i="3"/>
  <c r="AH15" i="3"/>
  <c r="Z15" i="3"/>
  <c r="BG14" i="3"/>
  <c r="BF14" i="3"/>
  <c r="BE14" i="3"/>
  <c r="BC14" i="3"/>
  <c r="AW14" i="3"/>
  <c r="AR14" i="3"/>
  <c r="AQ14" i="3"/>
  <c r="AL14" i="3"/>
  <c r="AH14" i="3"/>
  <c r="Z14" i="3"/>
  <c r="BG13" i="3"/>
  <c r="BF13" i="3"/>
  <c r="BE13" i="3"/>
  <c r="BC13" i="3"/>
  <c r="AR13" i="3"/>
  <c r="AQ13" i="3"/>
  <c r="AL13" i="3"/>
  <c r="BG12" i="3"/>
  <c r="BF12" i="3"/>
  <c r="BE12" i="3"/>
  <c r="BC12" i="3"/>
  <c r="AV12" i="3"/>
  <c r="AR12" i="3"/>
  <c r="AQ12" i="3"/>
  <c r="AL12" i="3"/>
  <c r="BG11" i="3"/>
  <c r="BF11" i="3"/>
  <c r="BE11" i="3"/>
  <c r="BC11" i="3"/>
  <c r="AV11" i="3"/>
  <c r="AR11" i="3"/>
  <c r="AQ11" i="3"/>
  <c r="AL11" i="3"/>
  <c r="BG10" i="3"/>
  <c r="BF10" i="3"/>
  <c r="BE10" i="3"/>
  <c r="BC10" i="3"/>
  <c r="AV10" i="3"/>
  <c r="AR10" i="3"/>
  <c r="AQ10" i="3"/>
  <c r="AL10" i="3"/>
  <c r="BG9" i="3"/>
  <c r="BF9" i="3"/>
  <c r="BE9" i="3"/>
  <c r="BC9" i="3"/>
  <c r="AV9" i="3"/>
  <c r="AR9" i="3"/>
  <c r="AQ9" i="3"/>
  <c r="AL9" i="3"/>
  <c r="BG8" i="3"/>
  <c r="BF8" i="3"/>
  <c r="BE8" i="3"/>
  <c r="BC8" i="3"/>
  <c r="AV8" i="3"/>
  <c r="AR8" i="3"/>
  <c r="AQ8" i="3"/>
  <c r="AL8" i="3"/>
  <c r="AA8" i="3"/>
  <c r="Y8" i="3"/>
  <c r="BG7" i="3"/>
  <c r="BF7" i="3"/>
  <c r="BE7" i="3"/>
  <c r="BC7" i="3"/>
  <c r="AV7" i="3"/>
  <c r="AP7" i="3"/>
  <c r="AR7" i="3"/>
  <c r="AQ7" i="3"/>
  <c r="AL7" i="3"/>
  <c r="AA7" i="3"/>
  <c r="Y7" i="3"/>
  <c r="BG6" i="3"/>
  <c r="BF6" i="3"/>
  <c r="BE6" i="3"/>
  <c r="BC6" i="3"/>
  <c r="AV6" i="3"/>
  <c r="AR6" i="3"/>
  <c r="AQ6" i="3"/>
  <c r="AH6" i="3"/>
  <c r="Y6" i="3"/>
  <c r="BG5" i="3"/>
  <c r="BF5" i="3"/>
  <c r="BE5" i="3"/>
  <c r="BC5" i="3"/>
  <c r="AV5" i="3"/>
  <c r="AP5" i="3"/>
  <c r="AR5" i="3"/>
  <c r="AQ5" i="3"/>
  <c r="AH5" i="3"/>
  <c r="Y5" i="3"/>
  <c r="BG4" i="3"/>
  <c r="BF4" i="3"/>
  <c r="BE4" i="3"/>
  <c r="BC4" i="3"/>
  <c r="AV4" i="3"/>
  <c r="AP4" i="3"/>
  <c r="AR4" i="3"/>
  <c r="AQ4" i="3"/>
  <c r="AH4" i="3"/>
  <c r="Y4" i="3"/>
  <c r="BG3" i="3"/>
  <c r="BF3" i="3"/>
  <c r="BE3" i="3"/>
  <c r="BC3" i="3"/>
  <c r="AH3" i="3"/>
  <c r="Y3" i="3"/>
  <c r="BB117" i="2"/>
  <c r="AH117" i="2"/>
  <c r="AG117" i="2"/>
  <c r="Z1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A21" i="2"/>
  <c r="A25" i="2"/>
  <c r="A29" i="2"/>
  <c r="A33" i="2"/>
  <c r="A37" i="2"/>
  <c r="A41" i="2"/>
  <c r="A45" i="2"/>
  <c r="A49" i="2"/>
  <c r="A53" i="2"/>
  <c r="A57" i="2"/>
  <c r="A61" i="2"/>
  <c r="A65" i="2"/>
  <c r="A69" i="2"/>
  <c r="A73" i="2"/>
  <c r="A77" i="2"/>
  <c r="A81" i="2"/>
  <c r="A85" i="2"/>
  <c r="A89" i="2"/>
  <c r="A93" i="2"/>
  <c r="A97" i="2"/>
  <c r="A101" i="2"/>
  <c r="A105" i="2"/>
  <c r="A109" i="2"/>
  <c r="A113" i="2"/>
  <c r="A117" i="2"/>
  <c r="BB116" i="2"/>
  <c r="AH116" i="2"/>
  <c r="AG116" i="2"/>
  <c r="Z1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B104" i="2"/>
  <c r="B108" i="2"/>
  <c r="B112" i="2"/>
  <c r="B116" i="2"/>
  <c r="A20" i="2"/>
  <c r="A24" i="2"/>
  <c r="A28" i="2"/>
  <c r="A32" i="2"/>
  <c r="A36" i="2"/>
  <c r="A40" i="2"/>
  <c r="A44" i="2"/>
  <c r="A48" i="2"/>
  <c r="A52" i="2"/>
  <c r="A56" i="2"/>
  <c r="A60" i="2"/>
  <c r="A64" i="2"/>
  <c r="A68" i="2"/>
  <c r="A72" i="2"/>
  <c r="A76" i="2"/>
  <c r="A80" i="2"/>
  <c r="A84" i="2"/>
  <c r="A88" i="2"/>
  <c r="A92" i="2"/>
  <c r="A96" i="2"/>
  <c r="A100" i="2"/>
  <c r="A104" i="2"/>
  <c r="A108" i="2"/>
  <c r="A112" i="2"/>
  <c r="A116" i="2"/>
  <c r="BB115" i="2"/>
  <c r="AH115" i="2"/>
  <c r="AG115" i="2"/>
  <c r="Z1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A19" i="2"/>
  <c r="A23" i="2"/>
  <c r="A27" i="2"/>
  <c r="A31" i="2"/>
  <c r="A35" i="2"/>
  <c r="A39" i="2"/>
  <c r="A43" i="2"/>
  <c r="A47" i="2"/>
  <c r="A51" i="2"/>
  <c r="A55" i="2"/>
  <c r="A59" i="2"/>
  <c r="A63" i="2"/>
  <c r="A67" i="2"/>
  <c r="A71" i="2"/>
  <c r="A75" i="2"/>
  <c r="A79" i="2"/>
  <c r="A83" i="2"/>
  <c r="A87" i="2"/>
  <c r="A91" i="2"/>
  <c r="A95" i="2"/>
  <c r="A99" i="2"/>
  <c r="A103" i="2"/>
  <c r="A107" i="2"/>
  <c r="A111" i="2"/>
  <c r="A115" i="2"/>
  <c r="BB114" i="2"/>
  <c r="AH114" i="2"/>
  <c r="AG114" i="2"/>
  <c r="Z1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110" i="2"/>
  <c r="B114" i="2"/>
  <c r="A18" i="2"/>
  <c r="A22" i="2"/>
  <c r="A26" i="2"/>
  <c r="A30" i="2"/>
  <c r="A34" i="2"/>
  <c r="A38" i="2"/>
  <c r="A42" i="2"/>
  <c r="A46" i="2"/>
  <c r="A50" i="2"/>
  <c r="A54" i="2"/>
  <c r="A58" i="2"/>
  <c r="A62" i="2"/>
  <c r="A66" i="2"/>
  <c r="A70" i="2"/>
  <c r="A74" i="2"/>
  <c r="A78" i="2"/>
  <c r="A82" i="2"/>
  <c r="A86" i="2"/>
  <c r="A90" i="2"/>
  <c r="A94" i="2"/>
  <c r="A98" i="2"/>
  <c r="A102" i="2"/>
  <c r="A106" i="2"/>
  <c r="A110" i="2"/>
  <c r="A114" i="2"/>
  <c r="BB113" i="2"/>
  <c r="AH113" i="2"/>
  <c r="AG113" i="2"/>
  <c r="Z113" i="2"/>
  <c r="BB112" i="2"/>
  <c r="AH112" i="2"/>
  <c r="AG112" i="2"/>
  <c r="Z112" i="2"/>
  <c r="BB111" i="2"/>
  <c r="AH111" i="2"/>
  <c r="AG111" i="2"/>
  <c r="Z111" i="2"/>
  <c r="BB110" i="2"/>
  <c r="AH110" i="2"/>
  <c r="AG110" i="2"/>
  <c r="Z110" i="2"/>
  <c r="BB109" i="2"/>
  <c r="AH109" i="2"/>
  <c r="AG109" i="2"/>
  <c r="Z109" i="2"/>
  <c r="BB108" i="2"/>
  <c r="AH108" i="2"/>
  <c r="AG108" i="2"/>
  <c r="Z108" i="2"/>
  <c r="BB107" i="2"/>
  <c r="AH107" i="2"/>
  <c r="AG107" i="2"/>
  <c r="Z107" i="2"/>
  <c r="BB106" i="2"/>
  <c r="AH106" i="2"/>
  <c r="AG106" i="2"/>
  <c r="Z106" i="2"/>
  <c r="BB105" i="2"/>
  <c r="AH105" i="2"/>
  <c r="AG105" i="2"/>
  <c r="Z105" i="2"/>
  <c r="BB104" i="2"/>
  <c r="AH104" i="2"/>
  <c r="AG104" i="2"/>
  <c r="Z104" i="2"/>
  <c r="BB103" i="2"/>
  <c r="AH103" i="2"/>
  <c r="AG103" i="2"/>
  <c r="Z103" i="2"/>
  <c r="BB102" i="2"/>
  <c r="AH102" i="2"/>
  <c r="AG102" i="2"/>
  <c r="Z102" i="2"/>
  <c r="BB101" i="2"/>
  <c r="AH101" i="2"/>
  <c r="AG101" i="2"/>
  <c r="Z101" i="2"/>
  <c r="BB100" i="2"/>
  <c r="AH100" i="2"/>
  <c r="AG100" i="2"/>
  <c r="Z100" i="2"/>
  <c r="BB99" i="2"/>
  <c r="AH99" i="2"/>
  <c r="AG99" i="2"/>
  <c r="Z99" i="2"/>
  <c r="BB98" i="2"/>
  <c r="AH98" i="2"/>
  <c r="AG98" i="2"/>
  <c r="Z98" i="2"/>
  <c r="BB97" i="2"/>
  <c r="AH97" i="2"/>
  <c r="AG97" i="2"/>
  <c r="Z97" i="2"/>
  <c r="BB96" i="2"/>
  <c r="AH96" i="2"/>
  <c r="AG96" i="2"/>
  <c r="Z96" i="2"/>
  <c r="BB95" i="2"/>
  <c r="AH95" i="2"/>
  <c r="AG95" i="2"/>
  <c r="Z95" i="2"/>
  <c r="BB94" i="2"/>
  <c r="AH94" i="2"/>
  <c r="AG94" i="2"/>
  <c r="Z94" i="2"/>
  <c r="BB93" i="2"/>
  <c r="AH93" i="2"/>
  <c r="AG93" i="2"/>
  <c r="Z93" i="2"/>
  <c r="BB92" i="2"/>
  <c r="AH92" i="2"/>
  <c r="AG92" i="2"/>
  <c r="Z92" i="2"/>
  <c r="BB91" i="2"/>
  <c r="AH91" i="2"/>
  <c r="AG91" i="2"/>
  <c r="Z91" i="2"/>
  <c r="BB90" i="2"/>
  <c r="AH90" i="2"/>
  <c r="AG90" i="2"/>
  <c r="Z90" i="2"/>
  <c r="BB89" i="2"/>
  <c r="AH89" i="2"/>
  <c r="AG89" i="2"/>
  <c r="Z89" i="2"/>
  <c r="BB88" i="2"/>
  <c r="AH88" i="2"/>
  <c r="AG88" i="2"/>
  <c r="Z88" i="2"/>
  <c r="BB87" i="2"/>
  <c r="AH87" i="2"/>
  <c r="AG87" i="2"/>
  <c r="Z87" i="2"/>
  <c r="BB86" i="2"/>
  <c r="AH86" i="2"/>
  <c r="AG86" i="2"/>
  <c r="Z86" i="2"/>
  <c r="BB85" i="2"/>
  <c r="AH85" i="2"/>
  <c r="AG85" i="2"/>
  <c r="Z85" i="2"/>
  <c r="BB84" i="2"/>
  <c r="AH84" i="2"/>
  <c r="AG84" i="2"/>
  <c r="Z84" i="2"/>
  <c r="BB83" i="2"/>
  <c r="AH83" i="2"/>
  <c r="AG83" i="2"/>
  <c r="Z83" i="2"/>
  <c r="BB82" i="2"/>
  <c r="AH82" i="2"/>
  <c r="AG82" i="2"/>
  <c r="Z82" i="2"/>
  <c r="BB81" i="2"/>
  <c r="AH81" i="2"/>
  <c r="AG81" i="2"/>
  <c r="Z81" i="2"/>
  <c r="BB80" i="2"/>
  <c r="AH80" i="2"/>
  <c r="AG80" i="2"/>
  <c r="Z80" i="2"/>
  <c r="BB79" i="2"/>
  <c r="AH79" i="2"/>
  <c r="AG79" i="2"/>
  <c r="Z79" i="2"/>
  <c r="BB78" i="2"/>
  <c r="AH78" i="2"/>
  <c r="AG78" i="2"/>
  <c r="Z78" i="2"/>
  <c r="BB77" i="2"/>
  <c r="AH77" i="2"/>
  <c r="AG77" i="2"/>
  <c r="Z77" i="2"/>
  <c r="BB76" i="2"/>
  <c r="AH76" i="2"/>
  <c r="AG76" i="2"/>
  <c r="Z76" i="2"/>
  <c r="BB75" i="2"/>
  <c r="AH75" i="2"/>
  <c r="AG75" i="2"/>
  <c r="Z75" i="2"/>
  <c r="BB74" i="2"/>
  <c r="AH74" i="2"/>
  <c r="AG74" i="2"/>
  <c r="Z74" i="2"/>
  <c r="BB73" i="2"/>
  <c r="AH73" i="2"/>
  <c r="AG73" i="2"/>
  <c r="Z73" i="2"/>
  <c r="BB72" i="2"/>
  <c r="AH72" i="2"/>
  <c r="AG72" i="2"/>
  <c r="Z72" i="2"/>
  <c r="BB71" i="2"/>
  <c r="AH71" i="2"/>
  <c r="AG71" i="2"/>
  <c r="Z71" i="2"/>
  <c r="BB70" i="2"/>
  <c r="AH70" i="2"/>
  <c r="AG70" i="2"/>
  <c r="Z70" i="2"/>
  <c r="BB69" i="2"/>
  <c r="AH69" i="2"/>
  <c r="AG69" i="2"/>
  <c r="Z69" i="2"/>
  <c r="BB68" i="2"/>
  <c r="AH68" i="2"/>
  <c r="AG68" i="2"/>
  <c r="Z68" i="2"/>
  <c r="BB67" i="2"/>
  <c r="AH67" i="2"/>
  <c r="AG67" i="2"/>
  <c r="Z67" i="2"/>
  <c r="BB66" i="2"/>
  <c r="AH66" i="2"/>
  <c r="AG66" i="2"/>
  <c r="Z66" i="2"/>
  <c r="BB65" i="2"/>
  <c r="AH65" i="2"/>
  <c r="AG65" i="2"/>
  <c r="Z65" i="2"/>
  <c r="BB64" i="2"/>
  <c r="AH64" i="2"/>
  <c r="AG64" i="2"/>
  <c r="Z64" i="2"/>
  <c r="BB63" i="2"/>
  <c r="AH63" i="2"/>
  <c r="AG63" i="2"/>
  <c r="Z63" i="2"/>
  <c r="BB62" i="2"/>
  <c r="AH62" i="2"/>
  <c r="AG62" i="2"/>
  <c r="Z62" i="2"/>
  <c r="BB61" i="2"/>
  <c r="AH61" i="2"/>
  <c r="AG61" i="2"/>
  <c r="Z61" i="2"/>
  <c r="BB60" i="2"/>
  <c r="AH60" i="2"/>
  <c r="AG60" i="2"/>
  <c r="Z60" i="2"/>
  <c r="BB59" i="2"/>
  <c r="AH59" i="2"/>
  <c r="AG59" i="2"/>
  <c r="Z59" i="2"/>
  <c r="BB58" i="2"/>
  <c r="AH58" i="2"/>
  <c r="AG58" i="2"/>
  <c r="Z58" i="2"/>
  <c r="BB57" i="2"/>
  <c r="AH57" i="2"/>
  <c r="AG57" i="2"/>
  <c r="Z57" i="2"/>
  <c r="BB56" i="2"/>
  <c r="AH56" i="2"/>
  <c r="AG56" i="2"/>
  <c r="Z56" i="2"/>
  <c r="BB55" i="2"/>
  <c r="AH55" i="2"/>
  <c r="AG55" i="2"/>
  <c r="Z55" i="2"/>
  <c r="BB54" i="2"/>
  <c r="AH54" i="2"/>
  <c r="AG54" i="2"/>
  <c r="Z54" i="2"/>
  <c r="BB53" i="2"/>
  <c r="AH53" i="2"/>
  <c r="AG53" i="2"/>
  <c r="Z53" i="2"/>
  <c r="BB52" i="2"/>
  <c r="AH52" i="2"/>
  <c r="AG52" i="2"/>
  <c r="Z52" i="2"/>
  <c r="BB51" i="2"/>
  <c r="AH51" i="2"/>
  <c r="AG51" i="2"/>
  <c r="Z51" i="2"/>
  <c r="BB50" i="2"/>
  <c r="AH50" i="2"/>
  <c r="AG50" i="2"/>
  <c r="Z50" i="2"/>
  <c r="BB49" i="2"/>
  <c r="AH49" i="2"/>
  <c r="AG49" i="2"/>
  <c r="Z49" i="2"/>
  <c r="BB48" i="2"/>
  <c r="AH48" i="2"/>
  <c r="AG48" i="2"/>
  <c r="Z48" i="2"/>
  <c r="BB47" i="2"/>
  <c r="AH47" i="2"/>
  <c r="AG47" i="2"/>
  <c r="Z47" i="2"/>
  <c r="BB46" i="2"/>
  <c r="AH46" i="2"/>
  <c r="AG46" i="2"/>
  <c r="Z46" i="2"/>
  <c r="BB45" i="2"/>
  <c r="AH45" i="2"/>
  <c r="AG45" i="2"/>
  <c r="Z45" i="2"/>
  <c r="BB44" i="2"/>
  <c r="AH44" i="2"/>
  <c r="AG44" i="2"/>
  <c r="Z44" i="2"/>
  <c r="BB43" i="2"/>
  <c r="AH43" i="2"/>
  <c r="AG43" i="2"/>
  <c r="Z43" i="2"/>
  <c r="BB42" i="2"/>
  <c r="AH42" i="2"/>
  <c r="AG42" i="2"/>
  <c r="Z42" i="2"/>
  <c r="BB41" i="2"/>
  <c r="AH41" i="2"/>
  <c r="AG41" i="2"/>
  <c r="Z41" i="2"/>
  <c r="BB40" i="2"/>
  <c r="AH40" i="2"/>
  <c r="AG40" i="2"/>
  <c r="Z40" i="2"/>
  <c r="BB39" i="2"/>
  <c r="AH39" i="2"/>
  <c r="AG39" i="2"/>
  <c r="Z39" i="2"/>
  <c r="BB38" i="2"/>
  <c r="AH38" i="2"/>
  <c r="AG38" i="2"/>
  <c r="Z38" i="2"/>
  <c r="BB37" i="2"/>
  <c r="AH37" i="2"/>
  <c r="AG37" i="2"/>
  <c r="Z37" i="2"/>
  <c r="BB36" i="2"/>
  <c r="AH36" i="2"/>
  <c r="AG36" i="2"/>
  <c r="Z36" i="2"/>
  <c r="BB35" i="2"/>
  <c r="AH35" i="2"/>
  <c r="AG35" i="2"/>
  <c r="Z35" i="2"/>
  <c r="BB34" i="2"/>
  <c r="AH34" i="2"/>
  <c r="AG34" i="2"/>
  <c r="Z34" i="2"/>
  <c r="BB33" i="2"/>
  <c r="AH33" i="2"/>
  <c r="AG33" i="2"/>
  <c r="Z33" i="2"/>
  <c r="BB32" i="2"/>
  <c r="AH32" i="2"/>
  <c r="AG32" i="2"/>
  <c r="Z32" i="2"/>
  <c r="C26" i="2"/>
  <c r="C27" i="2"/>
  <c r="C28" i="2"/>
  <c r="C29" i="2"/>
  <c r="C32" i="2"/>
  <c r="BB31" i="2"/>
  <c r="AH31" i="2"/>
  <c r="AG31" i="2"/>
  <c r="Z31" i="2"/>
  <c r="BB30" i="2"/>
  <c r="AM7" i="2"/>
  <c r="AO7" i="2"/>
  <c r="AM8" i="2"/>
  <c r="AN7" i="2"/>
  <c r="AN8" i="2"/>
  <c r="AP8" i="2"/>
  <c r="AM9" i="2"/>
  <c r="AP9" i="2"/>
  <c r="AM10" i="2"/>
  <c r="AP10" i="2"/>
  <c r="AM11" i="2"/>
  <c r="AP11" i="2"/>
  <c r="AM12" i="2"/>
  <c r="AP12" i="2"/>
  <c r="AM13" i="2"/>
  <c r="AP13" i="2"/>
  <c r="AM14" i="2"/>
  <c r="AP14" i="2"/>
  <c r="AM15" i="2"/>
  <c r="AP15" i="2"/>
  <c r="AM16" i="2"/>
  <c r="AP16" i="2"/>
  <c r="AM17" i="2"/>
  <c r="AP17" i="2"/>
  <c r="AM18" i="2"/>
  <c r="AP18" i="2"/>
  <c r="AM19" i="2"/>
  <c r="AP19" i="2"/>
  <c r="AM20" i="2"/>
  <c r="AP20" i="2"/>
  <c r="AM21" i="2"/>
  <c r="AP21" i="2"/>
  <c r="AM22" i="2"/>
  <c r="AP22" i="2"/>
  <c r="AM23" i="2"/>
  <c r="AP23" i="2"/>
  <c r="AM24" i="2"/>
  <c r="AP24" i="2"/>
  <c r="AM25" i="2"/>
  <c r="AP25" i="2"/>
  <c r="AM26" i="2"/>
  <c r="AP26" i="2"/>
  <c r="AM27" i="2"/>
  <c r="AP27" i="2"/>
  <c r="AM28" i="2"/>
  <c r="AP28" i="2"/>
  <c r="AM29" i="2"/>
  <c r="AP29" i="2"/>
  <c r="AP6" i="2"/>
  <c r="AP30" i="2"/>
  <c r="AH30" i="2"/>
  <c r="AG30" i="2"/>
  <c r="Z30" i="2"/>
  <c r="BF29" i="2"/>
  <c r="BE29" i="2"/>
  <c r="BD29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B29" i="2"/>
  <c r="AR29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Q29" i="2"/>
  <c r="AL29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H29" i="2"/>
  <c r="AG29" i="2"/>
  <c r="Z29" i="2"/>
  <c r="BF28" i="2"/>
  <c r="BE28" i="2"/>
  <c r="BD28" i="2"/>
  <c r="BB28" i="2"/>
  <c r="AR28" i="2"/>
  <c r="AQ28" i="2"/>
  <c r="AL28" i="2"/>
  <c r="AH28" i="2"/>
  <c r="AG28" i="2"/>
  <c r="Z28" i="2"/>
  <c r="BF27" i="2"/>
  <c r="BE27" i="2"/>
  <c r="BD27" i="2"/>
  <c r="BB27" i="2"/>
  <c r="AR27" i="2"/>
  <c r="AQ27" i="2"/>
  <c r="AL27" i="2"/>
  <c r="AH27" i="2"/>
  <c r="AG27" i="2"/>
  <c r="Z27" i="2"/>
  <c r="BF26" i="2"/>
  <c r="BE26" i="2"/>
  <c r="BD26" i="2"/>
  <c r="BB26" i="2"/>
  <c r="AR26" i="2"/>
  <c r="AQ26" i="2"/>
  <c r="AL26" i="2"/>
  <c r="AH26" i="2"/>
  <c r="AG26" i="2"/>
  <c r="Z26" i="2"/>
  <c r="BF25" i="2"/>
  <c r="BE25" i="2"/>
  <c r="BD25" i="2"/>
  <c r="BB25" i="2"/>
  <c r="AX25" i="2"/>
  <c r="AV25" i="2"/>
  <c r="AR25" i="2"/>
  <c r="AQ25" i="2"/>
  <c r="AL25" i="2"/>
  <c r="AH25" i="2"/>
  <c r="Z25" i="2"/>
  <c r="BF24" i="2"/>
  <c r="BE24" i="2"/>
  <c r="BD24" i="2"/>
  <c r="BB24" i="2"/>
  <c r="AX24" i="2"/>
  <c r="AV24" i="2"/>
  <c r="AR24" i="2"/>
  <c r="AQ24" i="2"/>
  <c r="AL24" i="2"/>
  <c r="AH24" i="2"/>
  <c r="Z24" i="2"/>
  <c r="BF23" i="2"/>
  <c r="BE23" i="2"/>
  <c r="BD23" i="2"/>
  <c r="BB23" i="2"/>
  <c r="AX23" i="2"/>
  <c r="AV23" i="2"/>
  <c r="AR23" i="2"/>
  <c r="AQ23" i="2"/>
  <c r="AL23" i="2"/>
  <c r="AH23" i="2"/>
  <c r="Z23" i="2"/>
  <c r="BF22" i="2"/>
  <c r="BE22" i="2"/>
  <c r="BD22" i="2"/>
  <c r="BB22" i="2"/>
  <c r="AX22" i="2"/>
  <c r="AV22" i="2"/>
  <c r="AR22" i="2"/>
  <c r="AQ22" i="2"/>
  <c r="AL22" i="2"/>
  <c r="AH22" i="2"/>
  <c r="Z22" i="2"/>
  <c r="BF21" i="2"/>
  <c r="BE21" i="2"/>
  <c r="BD21" i="2"/>
  <c r="BB21" i="2"/>
  <c r="AX21" i="2"/>
  <c r="AV21" i="2"/>
  <c r="AR21" i="2"/>
  <c r="AQ21" i="2"/>
  <c r="AL21" i="2"/>
  <c r="AH21" i="2"/>
  <c r="Z21" i="2"/>
  <c r="BF20" i="2"/>
  <c r="BE20" i="2"/>
  <c r="BD20" i="2"/>
  <c r="BB20" i="2"/>
  <c r="AX20" i="2"/>
  <c r="AV20" i="2"/>
  <c r="AR20" i="2"/>
  <c r="AQ20" i="2"/>
  <c r="AL20" i="2"/>
  <c r="AH20" i="2"/>
  <c r="Z20" i="2"/>
  <c r="BF19" i="2"/>
  <c r="BE19" i="2"/>
  <c r="BD19" i="2"/>
  <c r="BB19" i="2"/>
  <c r="AX19" i="2"/>
  <c r="AV19" i="2"/>
  <c r="AR19" i="2"/>
  <c r="AQ19" i="2"/>
  <c r="AL19" i="2"/>
  <c r="AH19" i="2"/>
  <c r="Z19" i="2"/>
  <c r="BF18" i="2"/>
  <c r="BE18" i="2"/>
  <c r="BD18" i="2"/>
  <c r="BB18" i="2"/>
  <c r="AX18" i="2"/>
  <c r="AV18" i="2"/>
  <c r="AR18" i="2"/>
  <c r="AQ18" i="2"/>
  <c r="AL18" i="2"/>
  <c r="AH18" i="2"/>
  <c r="Z18" i="2"/>
  <c r="BF17" i="2"/>
  <c r="BE17" i="2"/>
  <c r="BD17" i="2"/>
  <c r="BB17" i="2"/>
  <c r="AX17" i="2"/>
  <c r="AV17" i="2"/>
  <c r="AR17" i="2"/>
  <c r="AQ17" i="2"/>
  <c r="AL17" i="2"/>
  <c r="AH17" i="2"/>
  <c r="Z17" i="2"/>
  <c r="BF16" i="2"/>
  <c r="BE16" i="2"/>
  <c r="BD16" i="2"/>
  <c r="BB16" i="2"/>
  <c r="AX16" i="2"/>
  <c r="AV16" i="2"/>
  <c r="AR16" i="2"/>
  <c r="AQ16" i="2"/>
  <c r="AL16" i="2"/>
  <c r="AH16" i="2"/>
  <c r="Z16" i="2"/>
  <c r="BF15" i="2"/>
  <c r="BE15" i="2"/>
  <c r="BD15" i="2"/>
  <c r="BB15" i="2"/>
  <c r="AX15" i="2"/>
  <c r="AV15" i="2"/>
  <c r="AR15" i="2"/>
  <c r="AQ15" i="2"/>
  <c r="AL15" i="2"/>
  <c r="AH15" i="2"/>
  <c r="Z15" i="2"/>
  <c r="BF14" i="2"/>
  <c r="BE14" i="2"/>
  <c r="BD14" i="2"/>
  <c r="BB14" i="2"/>
  <c r="AV14" i="2"/>
  <c r="AR14" i="2"/>
  <c r="AQ14" i="2"/>
  <c r="AL14" i="2"/>
  <c r="AH14" i="2"/>
  <c r="Z14" i="2"/>
  <c r="BF13" i="2"/>
  <c r="BE13" i="2"/>
  <c r="BD13" i="2"/>
  <c r="BB13" i="2"/>
  <c r="AR13" i="2"/>
  <c r="AQ13" i="2"/>
  <c r="AL13" i="2"/>
  <c r="BF12" i="2"/>
  <c r="BE12" i="2"/>
  <c r="BD12" i="2"/>
  <c r="BB12" i="2"/>
  <c r="AU12" i="2"/>
  <c r="AR12" i="2"/>
  <c r="AQ12" i="2"/>
  <c r="AL12" i="2"/>
  <c r="BF11" i="2"/>
  <c r="BE11" i="2"/>
  <c r="BD11" i="2"/>
  <c r="BB11" i="2"/>
  <c r="AU11" i="2"/>
  <c r="AR11" i="2"/>
  <c r="AQ11" i="2"/>
  <c r="AL11" i="2"/>
  <c r="BF10" i="2"/>
  <c r="BE10" i="2"/>
  <c r="BD10" i="2"/>
  <c r="BB10" i="2"/>
  <c r="AU10" i="2"/>
  <c r="AR10" i="2"/>
  <c r="AQ10" i="2"/>
  <c r="AL10" i="2"/>
  <c r="BF9" i="2"/>
  <c r="BE9" i="2"/>
  <c r="BD9" i="2"/>
  <c r="BB9" i="2"/>
  <c r="AU9" i="2"/>
  <c r="AR9" i="2"/>
  <c r="AQ9" i="2"/>
  <c r="AL9" i="2"/>
  <c r="BF8" i="2"/>
  <c r="BE8" i="2"/>
  <c r="BD8" i="2"/>
  <c r="BB8" i="2"/>
  <c r="AU8" i="2"/>
  <c r="AR8" i="2"/>
  <c r="AQ8" i="2"/>
  <c r="AL8" i="2"/>
  <c r="AA8" i="2"/>
  <c r="Y8" i="2"/>
  <c r="BF7" i="2"/>
  <c r="BE7" i="2"/>
  <c r="BD7" i="2"/>
  <c r="BB7" i="2"/>
  <c r="AU7" i="2"/>
  <c r="AP7" i="2"/>
  <c r="AR7" i="2"/>
  <c r="AQ7" i="2"/>
  <c r="AL7" i="2"/>
  <c r="AA7" i="2"/>
  <c r="Y7" i="2"/>
  <c r="BF6" i="2"/>
  <c r="BE6" i="2"/>
  <c r="BD6" i="2"/>
  <c r="BB6" i="2"/>
  <c r="AU6" i="2"/>
  <c r="AR6" i="2"/>
  <c r="AQ6" i="2"/>
  <c r="AH6" i="2"/>
  <c r="Y6" i="2"/>
  <c r="BF5" i="2"/>
  <c r="BE5" i="2"/>
  <c r="BD5" i="2"/>
  <c r="BB5" i="2"/>
  <c r="AU5" i="2"/>
  <c r="AP5" i="2"/>
  <c r="AR5" i="2"/>
  <c r="AQ5" i="2"/>
  <c r="AH5" i="2"/>
  <c r="Y5" i="2"/>
  <c r="BF4" i="2"/>
  <c r="BE4" i="2"/>
  <c r="BD4" i="2"/>
  <c r="BB4" i="2"/>
  <c r="AU4" i="2"/>
  <c r="AP4" i="2"/>
  <c r="AR4" i="2"/>
  <c r="AQ4" i="2"/>
  <c r="AH4" i="2"/>
  <c r="Y4" i="2"/>
  <c r="BF3" i="2"/>
  <c r="BE3" i="2"/>
  <c r="BD3" i="2"/>
  <c r="BB3" i="2"/>
  <c r="AH3" i="2"/>
  <c r="Y3" i="2"/>
  <c r="AF230" i="1"/>
  <c r="AF226" i="1"/>
  <c r="AH230" i="1"/>
  <c r="AE134" i="1"/>
  <c r="AE138" i="1"/>
  <c r="AE142" i="1"/>
  <c r="AE146" i="1"/>
  <c r="AE150" i="1"/>
  <c r="AE154" i="1"/>
  <c r="AE158" i="1"/>
  <c r="AE162" i="1"/>
  <c r="AE166" i="1"/>
  <c r="AE170" i="1"/>
  <c r="AE174" i="1"/>
  <c r="AE178" i="1"/>
  <c r="AE182" i="1"/>
  <c r="AE186" i="1"/>
  <c r="AE190" i="1"/>
  <c r="AE194" i="1"/>
  <c r="AE198" i="1"/>
  <c r="AE202" i="1"/>
  <c r="AE206" i="1"/>
  <c r="AE210" i="1"/>
  <c r="AE214" i="1"/>
  <c r="AE218" i="1"/>
  <c r="AE222" i="1"/>
  <c r="AE226" i="1"/>
  <c r="AE230" i="1"/>
  <c r="AF229" i="1"/>
  <c r="AE133" i="1"/>
  <c r="AE137" i="1"/>
  <c r="AE141" i="1"/>
  <c r="AE145" i="1"/>
  <c r="AE149" i="1"/>
  <c r="AE153" i="1"/>
  <c r="AE157" i="1"/>
  <c r="AE161" i="1"/>
  <c r="AE165" i="1"/>
  <c r="AE169" i="1"/>
  <c r="AE173" i="1"/>
  <c r="AE177" i="1"/>
  <c r="AE181" i="1"/>
  <c r="AE185" i="1"/>
  <c r="AE189" i="1"/>
  <c r="AE193" i="1"/>
  <c r="AE197" i="1"/>
  <c r="AE201" i="1"/>
  <c r="AE205" i="1"/>
  <c r="AE209" i="1"/>
  <c r="AE213" i="1"/>
  <c r="AE217" i="1"/>
  <c r="AE221" i="1"/>
  <c r="AE225" i="1"/>
  <c r="AE229" i="1"/>
  <c r="AF228" i="1"/>
  <c r="AE132" i="1"/>
  <c r="AE136" i="1"/>
  <c r="AE140" i="1"/>
  <c r="AE144" i="1"/>
  <c r="AE148" i="1"/>
  <c r="AE152" i="1"/>
  <c r="AE156" i="1"/>
  <c r="AE160" i="1"/>
  <c r="AE164" i="1"/>
  <c r="AE168" i="1"/>
  <c r="AE172" i="1"/>
  <c r="AE176" i="1"/>
  <c r="AE180" i="1"/>
  <c r="AE184" i="1"/>
  <c r="AE188" i="1"/>
  <c r="AE192" i="1"/>
  <c r="AE196" i="1"/>
  <c r="AE200" i="1"/>
  <c r="AE204" i="1"/>
  <c r="AE208" i="1"/>
  <c r="AE212" i="1"/>
  <c r="AE216" i="1"/>
  <c r="AE220" i="1"/>
  <c r="AE224" i="1"/>
  <c r="AE228" i="1"/>
  <c r="AF227" i="1"/>
  <c r="AE131" i="1"/>
  <c r="AE135" i="1"/>
  <c r="AE139" i="1"/>
  <c r="AE143" i="1"/>
  <c r="AE147" i="1"/>
  <c r="AE151" i="1"/>
  <c r="AE155" i="1"/>
  <c r="AE159" i="1"/>
  <c r="AE163" i="1"/>
  <c r="AE167" i="1"/>
  <c r="AE171" i="1"/>
  <c r="AE175" i="1"/>
  <c r="AE179" i="1"/>
  <c r="AE183" i="1"/>
  <c r="AE187" i="1"/>
  <c r="AE191" i="1"/>
  <c r="AE195" i="1"/>
  <c r="AE199" i="1"/>
  <c r="AE203" i="1"/>
  <c r="AE207" i="1"/>
  <c r="AE211" i="1"/>
  <c r="AE215" i="1"/>
  <c r="AE219" i="1"/>
  <c r="AE223" i="1"/>
  <c r="AE227" i="1"/>
  <c r="AF222" i="1"/>
  <c r="AH226" i="1"/>
  <c r="AF225" i="1"/>
  <c r="AF224" i="1"/>
  <c r="AF223" i="1"/>
  <c r="AF218" i="1"/>
  <c r="AH222" i="1"/>
  <c r="AF221" i="1"/>
  <c r="AF220" i="1"/>
  <c r="AF219" i="1"/>
  <c r="AF214" i="1"/>
  <c r="AH218" i="1"/>
  <c r="AF217" i="1"/>
  <c r="AF216" i="1"/>
  <c r="AF215" i="1"/>
  <c r="AF210" i="1"/>
  <c r="AH214" i="1"/>
  <c r="AF213" i="1"/>
  <c r="AF212" i="1"/>
  <c r="AF211" i="1"/>
  <c r="AF206" i="1"/>
  <c r="AH210" i="1"/>
  <c r="AF209" i="1"/>
  <c r="AF208" i="1"/>
  <c r="AF207" i="1"/>
  <c r="AF202" i="1"/>
  <c r="AH206" i="1"/>
  <c r="AF205" i="1"/>
  <c r="AF204" i="1"/>
  <c r="AF203" i="1"/>
  <c r="AF198" i="1"/>
  <c r="AH202" i="1"/>
  <c r="AF201" i="1"/>
  <c r="AF200" i="1"/>
  <c r="AF199" i="1"/>
  <c r="AF194" i="1"/>
  <c r="AH198" i="1"/>
  <c r="AF197" i="1"/>
  <c r="AF196" i="1"/>
  <c r="AF195" i="1"/>
  <c r="AF190" i="1"/>
  <c r="AH194" i="1"/>
  <c r="AF193" i="1"/>
  <c r="AF192" i="1"/>
  <c r="AF191" i="1"/>
  <c r="AF186" i="1"/>
  <c r="AH190" i="1"/>
  <c r="AF189" i="1"/>
  <c r="AF188" i="1"/>
  <c r="AF187" i="1"/>
  <c r="AF182" i="1"/>
  <c r="AH186" i="1"/>
  <c r="AF185" i="1"/>
  <c r="AF184" i="1"/>
  <c r="AF183" i="1"/>
  <c r="AF178" i="1"/>
  <c r="AH182" i="1"/>
  <c r="AF181" i="1"/>
  <c r="AF180" i="1"/>
  <c r="AF179" i="1"/>
  <c r="AF174" i="1"/>
  <c r="AH178" i="1"/>
  <c r="AF177" i="1"/>
  <c r="AF176" i="1"/>
  <c r="AF175" i="1"/>
  <c r="AF170" i="1"/>
  <c r="AH174" i="1"/>
  <c r="AF173" i="1"/>
  <c r="AF172" i="1"/>
  <c r="AF171" i="1"/>
  <c r="AF166" i="1"/>
  <c r="AH170" i="1"/>
  <c r="AF169" i="1"/>
  <c r="AF168" i="1"/>
  <c r="AF167" i="1"/>
  <c r="AF162" i="1"/>
  <c r="AH166" i="1"/>
  <c r="AF165" i="1"/>
  <c r="AF164" i="1"/>
  <c r="AF163" i="1"/>
  <c r="AF158" i="1"/>
  <c r="AH162" i="1"/>
  <c r="AF161" i="1"/>
  <c r="AF160" i="1"/>
  <c r="AF159" i="1"/>
  <c r="AF154" i="1"/>
  <c r="AH158" i="1"/>
  <c r="AF157" i="1"/>
  <c r="AF156" i="1"/>
  <c r="AF155" i="1"/>
  <c r="AF150" i="1"/>
  <c r="AH154" i="1"/>
  <c r="AF153" i="1"/>
  <c r="AF152" i="1"/>
  <c r="AF151" i="1"/>
  <c r="AF146" i="1"/>
  <c r="AH150" i="1"/>
  <c r="AF138" i="1"/>
  <c r="AF134" i="1"/>
  <c r="AH138" i="1"/>
  <c r="AF142" i="1"/>
  <c r="AH142" i="1"/>
  <c r="AH146" i="1"/>
  <c r="AG149" i="1"/>
  <c r="AF149" i="1"/>
  <c r="AF148" i="1"/>
  <c r="AI147" i="1"/>
  <c r="AJ147" i="1"/>
  <c r="AF147" i="1"/>
  <c r="AF145" i="1"/>
  <c r="AF144" i="1"/>
  <c r="AF143" i="1"/>
  <c r="AF141" i="1"/>
  <c r="AF140" i="1"/>
  <c r="AF139" i="1"/>
  <c r="AI138" i="1"/>
  <c r="AF137" i="1"/>
  <c r="AF136" i="1"/>
  <c r="AF135" i="1"/>
  <c r="AF133" i="1"/>
  <c r="AF132" i="1"/>
  <c r="AF131" i="1"/>
  <c r="AF130" i="1"/>
  <c r="AF129" i="1"/>
  <c r="AF128" i="1"/>
  <c r="AF127" i="1"/>
  <c r="AH117" i="1"/>
  <c r="AG117" i="1"/>
  <c r="Z1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H116" i="1"/>
  <c r="AG116" i="1"/>
  <c r="Z1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H115" i="1"/>
  <c r="AG115" i="1"/>
  <c r="Z1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G114" i="1"/>
  <c r="AS114" i="1"/>
  <c r="AH114" i="1"/>
  <c r="Z1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H113" i="1"/>
  <c r="AG113" i="1"/>
  <c r="Z113" i="1"/>
  <c r="AH112" i="1"/>
  <c r="AG112" i="1"/>
  <c r="Z112" i="1"/>
  <c r="AH111" i="1"/>
  <c r="AG111" i="1"/>
  <c r="Z111" i="1"/>
  <c r="BC110" i="1"/>
  <c r="AG110" i="1"/>
  <c r="AS110" i="1"/>
  <c r="AH110" i="1"/>
  <c r="Z110" i="1"/>
  <c r="BC109" i="1"/>
  <c r="AH109" i="1"/>
  <c r="AG109" i="1"/>
  <c r="Z109" i="1"/>
  <c r="BC108" i="1"/>
  <c r="AH108" i="1"/>
  <c r="AG108" i="1"/>
  <c r="Z108" i="1"/>
  <c r="BC107" i="1"/>
  <c r="AH107" i="1"/>
  <c r="AG107" i="1"/>
  <c r="Z107" i="1"/>
  <c r="BC106" i="1"/>
  <c r="AG106" i="1"/>
  <c r="AS106" i="1"/>
  <c r="AH106" i="1"/>
  <c r="Z106" i="1"/>
  <c r="BC105" i="1"/>
  <c r="AH105" i="1"/>
  <c r="AG105" i="1"/>
  <c r="Z105" i="1"/>
  <c r="BC104" i="1"/>
  <c r="AH104" i="1"/>
  <c r="AG104" i="1"/>
  <c r="Z104" i="1"/>
  <c r="BC103" i="1"/>
  <c r="AH103" i="1"/>
  <c r="AG103" i="1"/>
  <c r="Z103" i="1"/>
  <c r="BC102" i="1"/>
  <c r="AG102" i="1"/>
  <c r="AS102" i="1"/>
  <c r="AH102" i="1"/>
  <c r="Z102" i="1"/>
  <c r="BC101" i="1"/>
  <c r="AH101" i="1"/>
  <c r="AG101" i="1"/>
  <c r="Z101" i="1"/>
  <c r="BC100" i="1"/>
  <c r="AH100" i="1"/>
  <c r="AG100" i="1"/>
  <c r="Z100" i="1"/>
  <c r="BC99" i="1"/>
  <c r="AH99" i="1"/>
  <c r="AG99" i="1"/>
  <c r="Z99" i="1"/>
  <c r="BC98" i="1"/>
  <c r="AG98" i="1"/>
  <c r="AS98" i="1"/>
  <c r="AH98" i="1"/>
  <c r="Z98" i="1"/>
  <c r="BC97" i="1"/>
  <c r="AH97" i="1"/>
  <c r="AG97" i="1"/>
  <c r="Z97" i="1"/>
  <c r="BC96" i="1"/>
  <c r="AH96" i="1"/>
  <c r="AG96" i="1"/>
  <c r="Z96" i="1"/>
  <c r="BC95" i="1"/>
  <c r="AH95" i="1"/>
  <c r="AG95" i="1"/>
  <c r="Z95" i="1"/>
  <c r="BC94" i="1"/>
  <c r="AG94" i="1"/>
  <c r="AS94" i="1"/>
  <c r="AH94" i="1"/>
  <c r="Z94" i="1"/>
  <c r="BC93" i="1"/>
  <c r="AH93" i="1"/>
  <c r="AG93" i="1"/>
  <c r="Z93" i="1"/>
  <c r="BC92" i="1"/>
  <c r="AH92" i="1"/>
  <c r="AG92" i="1"/>
  <c r="Z92" i="1"/>
  <c r="BC91" i="1"/>
  <c r="AH91" i="1"/>
  <c r="AG91" i="1"/>
  <c r="Z91" i="1"/>
  <c r="BC90" i="1"/>
  <c r="AG90" i="1"/>
  <c r="AS90" i="1"/>
  <c r="AH90" i="1"/>
  <c r="Z90" i="1"/>
  <c r="BC89" i="1"/>
  <c r="AH89" i="1"/>
  <c r="AG89" i="1"/>
  <c r="Z89" i="1"/>
  <c r="BC88" i="1"/>
  <c r="AH88" i="1"/>
  <c r="AG88" i="1"/>
  <c r="Z88" i="1"/>
  <c r="BC87" i="1"/>
  <c r="AH87" i="1"/>
  <c r="AG87" i="1"/>
  <c r="Z87" i="1"/>
  <c r="BC86" i="1"/>
  <c r="AG86" i="1"/>
  <c r="AS86" i="1"/>
  <c r="AH86" i="1"/>
  <c r="Z86" i="1"/>
  <c r="BC85" i="1"/>
  <c r="AH85" i="1"/>
  <c r="AG85" i="1"/>
  <c r="Z85" i="1"/>
  <c r="BC84" i="1"/>
  <c r="AH84" i="1"/>
  <c r="AG84" i="1"/>
  <c r="Z84" i="1"/>
  <c r="BC83" i="1"/>
  <c r="AH83" i="1"/>
  <c r="AG83" i="1"/>
  <c r="Z83" i="1"/>
  <c r="BC82" i="1"/>
  <c r="AG82" i="1"/>
  <c r="AS82" i="1"/>
  <c r="AH82" i="1"/>
  <c r="Z82" i="1"/>
  <c r="BC81" i="1"/>
  <c r="AH81" i="1"/>
  <c r="AG81" i="1"/>
  <c r="Z81" i="1"/>
  <c r="BC80" i="1"/>
  <c r="AH80" i="1"/>
  <c r="AG80" i="1"/>
  <c r="Z80" i="1"/>
  <c r="BC79" i="1"/>
  <c r="AH79" i="1"/>
  <c r="AG79" i="1"/>
  <c r="Z79" i="1"/>
  <c r="BC78" i="1"/>
  <c r="AG78" i="1"/>
  <c r="AS78" i="1"/>
  <c r="AH78" i="1"/>
  <c r="Z78" i="1"/>
  <c r="BC77" i="1"/>
  <c r="AH77" i="1"/>
  <c r="AG77" i="1"/>
  <c r="Z77" i="1"/>
  <c r="BC76" i="1"/>
  <c r="AH76" i="1"/>
  <c r="AG76" i="1"/>
  <c r="Z76" i="1"/>
  <c r="BC75" i="1"/>
  <c r="AH75" i="1"/>
  <c r="AG75" i="1"/>
  <c r="Z75" i="1"/>
  <c r="BC74" i="1"/>
  <c r="AG74" i="1"/>
  <c r="AS74" i="1"/>
  <c r="AH74" i="1"/>
  <c r="Z74" i="1"/>
  <c r="BC73" i="1"/>
  <c r="AH73" i="1"/>
  <c r="AG73" i="1"/>
  <c r="Z73" i="1"/>
  <c r="BC72" i="1"/>
  <c r="AH72" i="1"/>
  <c r="AG72" i="1"/>
  <c r="Z72" i="1"/>
  <c r="BC71" i="1"/>
  <c r="AH71" i="1"/>
  <c r="AG71" i="1"/>
  <c r="Z71" i="1"/>
  <c r="BC70" i="1"/>
  <c r="AG70" i="1"/>
  <c r="AS70" i="1"/>
  <c r="AH70" i="1"/>
  <c r="Z70" i="1"/>
  <c r="BC69" i="1"/>
  <c r="AH69" i="1"/>
  <c r="AG69" i="1"/>
  <c r="Z69" i="1"/>
  <c r="BC68" i="1"/>
  <c r="AH68" i="1"/>
  <c r="AG68" i="1"/>
  <c r="Z68" i="1"/>
  <c r="BC67" i="1"/>
  <c r="AH67" i="1"/>
  <c r="AG67" i="1"/>
  <c r="Z67" i="1"/>
  <c r="BC66" i="1"/>
  <c r="AG66" i="1"/>
  <c r="AS66" i="1"/>
  <c r="AH66" i="1"/>
  <c r="Z66" i="1"/>
  <c r="BC65" i="1"/>
  <c r="AH65" i="1"/>
  <c r="AG65" i="1"/>
  <c r="Z65" i="1"/>
  <c r="BC64" i="1"/>
  <c r="AH64" i="1"/>
  <c r="AG64" i="1"/>
  <c r="Z64" i="1"/>
  <c r="BC63" i="1"/>
  <c r="AH63" i="1"/>
  <c r="AG63" i="1"/>
  <c r="Z63" i="1"/>
  <c r="BC62" i="1"/>
  <c r="AG62" i="1"/>
  <c r="AS62" i="1"/>
  <c r="AH62" i="1"/>
  <c r="Z62" i="1"/>
  <c r="BC61" i="1"/>
  <c r="AH61" i="1"/>
  <c r="AG61" i="1"/>
  <c r="Z61" i="1"/>
  <c r="BC60" i="1"/>
  <c r="AH60" i="1"/>
  <c r="AG60" i="1"/>
  <c r="Z60" i="1"/>
  <c r="BC59" i="1"/>
  <c r="AH59" i="1"/>
  <c r="AG59" i="1"/>
  <c r="Z59" i="1"/>
  <c r="BC58" i="1"/>
  <c r="AG58" i="1"/>
  <c r="AS58" i="1"/>
  <c r="AH58" i="1"/>
  <c r="Z58" i="1"/>
  <c r="BC57" i="1"/>
  <c r="AH57" i="1"/>
  <c r="AG57" i="1"/>
  <c r="Z57" i="1"/>
  <c r="BC56" i="1"/>
  <c r="AH56" i="1"/>
  <c r="AG56" i="1"/>
  <c r="Z56" i="1"/>
  <c r="BC55" i="1"/>
  <c r="AH55" i="1"/>
  <c r="AG55" i="1"/>
  <c r="Z55" i="1"/>
  <c r="BC54" i="1"/>
  <c r="AG54" i="1"/>
  <c r="AS54" i="1"/>
  <c r="AH54" i="1"/>
  <c r="Z54" i="1"/>
  <c r="BC53" i="1"/>
  <c r="AH53" i="1"/>
  <c r="AG53" i="1"/>
  <c r="Z53" i="1"/>
  <c r="BC52" i="1"/>
  <c r="AH52" i="1"/>
  <c r="AG52" i="1"/>
  <c r="Z52" i="1"/>
  <c r="BC51" i="1"/>
  <c r="AH51" i="1"/>
  <c r="AG51" i="1"/>
  <c r="Z51" i="1"/>
  <c r="BC50" i="1"/>
  <c r="AG50" i="1"/>
  <c r="AS50" i="1"/>
  <c r="AH50" i="1"/>
  <c r="Z50" i="1"/>
  <c r="BC49" i="1"/>
  <c r="AH49" i="1"/>
  <c r="AG49" i="1"/>
  <c r="Z49" i="1"/>
  <c r="BC48" i="1"/>
  <c r="AH48" i="1"/>
  <c r="AG48" i="1"/>
  <c r="Z48" i="1"/>
  <c r="BC47" i="1"/>
  <c r="AH47" i="1"/>
  <c r="AG47" i="1"/>
  <c r="Z47" i="1"/>
  <c r="BC46" i="1"/>
  <c r="AG46" i="1"/>
  <c r="AS46" i="1"/>
  <c r="AH46" i="1"/>
  <c r="Z46" i="1"/>
  <c r="BC45" i="1"/>
  <c r="AH45" i="1"/>
  <c r="AG45" i="1"/>
  <c r="Z45" i="1"/>
  <c r="BC44" i="1"/>
  <c r="AH44" i="1"/>
  <c r="AG44" i="1"/>
  <c r="Z44" i="1"/>
  <c r="BC43" i="1"/>
  <c r="AH43" i="1"/>
  <c r="AG43" i="1"/>
  <c r="Z43" i="1"/>
  <c r="BC42" i="1"/>
  <c r="AG42" i="1"/>
  <c r="AS42" i="1"/>
  <c r="AH42" i="1"/>
  <c r="Z42" i="1"/>
  <c r="BC41" i="1"/>
  <c r="AH41" i="1"/>
  <c r="AG41" i="1"/>
  <c r="Z41" i="1"/>
  <c r="BC40" i="1"/>
  <c r="AH40" i="1"/>
  <c r="AG40" i="1"/>
  <c r="Z40" i="1"/>
  <c r="BC39" i="1"/>
  <c r="AH39" i="1"/>
  <c r="AG39" i="1"/>
  <c r="Z39" i="1"/>
  <c r="BC38" i="1"/>
  <c r="AG38" i="1"/>
  <c r="AS38" i="1"/>
  <c r="AH38" i="1"/>
  <c r="Z38" i="1"/>
  <c r="BC37" i="1"/>
  <c r="AH37" i="1"/>
  <c r="AG37" i="1"/>
  <c r="Z37" i="1"/>
  <c r="BC36" i="1"/>
  <c r="AH36" i="1"/>
  <c r="AG36" i="1"/>
  <c r="Z36" i="1"/>
  <c r="BC35" i="1"/>
  <c r="AH35" i="1"/>
  <c r="AG35" i="1"/>
  <c r="Z35" i="1"/>
  <c r="BC34" i="1"/>
  <c r="AG34" i="1"/>
  <c r="AS34" i="1"/>
  <c r="AH34" i="1"/>
  <c r="Z34" i="1"/>
  <c r="BC33" i="1"/>
  <c r="AH33" i="1"/>
  <c r="AG33" i="1"/>
  <c r="Z33" i="1"/>
  <c r="BC32" i="1"/>
  <c r="AM7" i="1"/>
  <c r="AO7" i="1"/>
  <c r="AM8" i="1"/>
  <c r="AN7" i="1"/>
  <c r="AN8" i="1"/>
  <c r="AP8" i="1"/>
  <c r="AM9" i="1"/>
  <c r="AP9" i="1"/>
  <c r="AM10" i="1"/>
  <c r="AP10" i="1"/>
  <c r="AM11" i="1"/>
  <c r="AP11" i="1"/>
  <c r="AM12" i="1"/>
  <c r="AP12" i="1"/>
  <c r="AM13" i="1"/>
  <c r="AP13" i="1"/>
  <c r="AM14" i="1"/>
  <c r="AP14" i="1"/>
  <c r="AM15" i="1"/>
  <c r="AP15" i="1"/>
  <c r="AM16" i="1"/>
  <c r="AP16" i="1"/>
  <c r="AM17" i="1"/>
  <c r="AP17" i="1"/>
  <c r="AM18" i="1"/>
  <c r="AP18" i="1"/>
  <c r="AM19" i="1"/>
  <c r="AP19" i="1"/>
  <c r="AM20" i="1"/>
  <c r="AP20" i="1"/>
  <c r="AM21" i="1"/>
  <c r="AP21" i="1"/>
  <c r="AM22" i="1"/>
  <c r="AP22" i="1"/>
  <c r="AM23" i="1"/>
  <c r="AP23" i="1"/>
  <c r="AM24" i="1"/>
  <c r="AP24" i="1"/>
  <c r="AM25" i="1"/>
  <c r="AP25" i="1"/>
  <c r="AM26" i="1"/>
  <c r="AP26" i="1"/>
  <c r="AM27" i="1"/>
  <c r="AP27" i="1"/>
  <c r="AM28" i="1"/>
  <c r="AP28" i="1"/>
  <c r="AM29" i="1"/>
  <c r="AP32" i="1"/>
  <c r="AH32" i="1"/>
  <c r="AG32" i="1"/>
  <c r="Z32" i="1"/>
  <c r="C26" i="1"/>
  <c r="C27" i="1"/>
  <c r="C28" i="1"/>
  <c r="C29" i="1"/>
  <c r="C32" i="1"/>
  <c r="BC31" i="1"/>
  <c r="AP31" i="1"/>
  <c r="AH31" i="1"/>
  <c r="AG31" i="1"/>
  <c r="Z31" i="1"/>
  <c r="BC30" i="1"/>
  <c r="AG30" i="1"/>
  <c r="AS30" i="1"/>
  <c r="AP29" i="1"/>
  <c r="AP6" i="1"/>
  <c r="AP30" i="1"/>
  <c r="AH30" i="1"/>
  <c r="Z30" i="1"/>
  <c r="BG29" i="1"/>
  <c r="BF29" i="1"/>
  <c r="BE29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C29" i="1"/>
  <c r="AR29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Q29" i="1"/>
  <c r="AL29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H29" i="1"/>
  <c r="AG29" i="1"/>
  <c r="Z29" i="1"/>
  <c r="BG28" i="1"/>
  <c r="BF28" i="1"/>
  <c r="BE28" i="1"/>
  <c r="BC28" i="1"/>
  <c r="AR28" i="1"/>
  <c r="AQ28" i="1"/>
  <c r="AL28" i="1"/>
  <c r="AH28" i="1"/>
  <c r="AG28" i="1"/>
  <c r="Z28" i="1"/>
  <c r="BG27" i="1"/>
  <c r="BF27" i="1"/>
  <c r="BE27" i="1"/>
  <c r="BC27" i="1"/>
  <c r="AR27" i="1"/>
  <c r="AQ27" i="1"/>
  <c r="AL27" i="1"/>
  <c r="AH27" i="1"/>
  <c r="AG27" i="1"/>
  <c r="Z27" i="1"/>
  <c r="BG26" i="1"/>
  <c r="BF26" i="1"/>
  <c r="BE26" i="1"/>
  <c r="BC26" i="1"/>
  <c r="BB26" i="1"/>
  <c r="AG26" i="1"/>
  <c r="AS26" i="1"/>
  <c r="AR26" i="1"/>
  <c r="AQ26" i="1"/>
  <c r="AL26" i="1"/>
  <c r="AH26" i="1"/>
  <c r="Z26" i="1"/>
  <c r="BG25" i="1"/>
  <c r="BF25" i="1"/>
  <c r="BE25" i="1"/>
  <c r="BC25" i="1"/>
  <c r="AY25" i="1"/>
  <c r="AW25" i="1"/>
  <c r="AR25" i="1"/>
  <c r="AQ25" i="1"/>
  <c r="AL25" i="1"/>
  <c r="AH25" i="1"/>
  <c r="Z25" i="1"/>
  <c r="BG24" i="1"/>
  <c r="BF24" i="1"/>
  <c r="BE24" i="1"/>
  <c r="BC24" i="1"/>
  <c r="AY24" i="1"/>
  <c r="AW24" i="1"/>
  <c r="AR24" i="1"/>
  <c r="AQ24" i="1"/>
  <c r="AL24" i="1"/>
  <c r="AH24" i="1"/>
  <c r="Z24" i="1"/>
  <c r="BG23" i="1"/>
  <c r="BF23" i="1"/>
  <c r="BE23" i="1"/>
  <c r="BC23" i="1"/>
  <c r="AY23" i="1"/>
  <c r="AW23" i="1"/>
  <c r="AR23" i="1"/>
  <c r="AQ23" i="1"/>
  <c r="AL23" i="1"/>
  <c r="AH23" i="1"/>
  <c r="Z23" i="1"/>
  <c r="BG22" i="1"/>
  <c r="BF22" i="1"/>
  <c r="BE22" i="1"/>
  <c r="BC22" i="1"/>
  <c r="AY22" i="1"/>
  <c r="AW22" i="1"/>
  <c r="AR22" i="1"/>
  <c r="AQ22" i="1"/>
  <c r="AL22" i="1"/>
  <c r="AH22" i="1"/>
  <c r="Z22" i="1"/>
  <c r="BG21" i="1"/>
  <c r="BF21" i="1"/>
  <c r="BE21" i="1"/>
  <c r="BC21" i="1"/>
  <c r="AY21" i="1"/>
  <c r="AW21" i="1"/>
  <c r="AR21" i="1"/>
  <c r="AQ21" i="1"/>
  <c r="AL21" i="1"/>
  <c r="AH21" i="1"/>
  <c r="Z21" i="1"/>
  <c r="BG20" i="1"/>
  <c r="BF20" i="1"/>
  <c r="BE20" i="1"/>
  <c r="BC20" i="1"/>
  <c r="AY20" i="1"/>
  <c r="AW20" i="1"/>
  <c r="AR20" i="1"/>
  <c r="AQ20" i="1"/>
  <c r="AL20" i="1"/>
  <c r="AH20" i="1"/>
  <c r="Z20" i="1"/>
  <c r="BG19" i="1"/>
  <c r="BF19" i="1"/>
  <c r="BE19" i="1"/>
  <c r="BC19" i="1"/>
  <c r="AY19" i="1"/>
  <c r="AW19" i="1"/>
  <c r="AR19" i="1"/>
  <c r="AQ19" i="1"/>
  <c r="AL19" i="1"/>
  <c r="AH19" i="1"/>
  <c r="Z19" i="1"/>
  <c r="BG18" i="1"/>
  <c r="BF18" i="1"/>
  <c r="BE18" i="1"/>
  <c r="BC18" i="1"/>
  <c r="AY18" i="1"/>
  <c r="AW18" i="1"/>
  <c r="AR18" i="1"/>
  <c r="AQ18" i="1"/>
  <c r="AL18" i="1"/>
  <c r="AH18" i="1"/>
  <c r="Z18" i="1"/>
  <c r="BG17" i="1"/>
  <c r="BF17" i="1"/>
  <c r="BE17" i="1"/>
  <c r="BC17" i="1"/>
  <c r="AY17" i="1"/>
  <c r="AW17" i="1"/>
  <c r="AR17" i="1"/>
  <c r="AQ17" i="1"/>
  <c r="AL17" i="1"/>
  <c r="AH17" i="1"/>
  <c r="Z17" i="1"/>
  <c r="BG16" i="1"/>
  <c r="BF16" i="1"/>
  <c r="BE16" i="1"/>
  <c r="BC16" i="1"/>
  <c r="AY16" i="1"/>
  <c r="AW16" i="1"/>
  <c r="AR16" i="1"/>
  <c r="AQ16" i="1"/>
  <c r="AL16" i="1"/>
  <c r="AH16" i="1"/>
  <c r="Z16" i="1"/>
  <c r="BG15" i="1"/>
  <c r="BF15" i="1"/>
  <c r="BE15" i="1"/>
  <c r="BC15" i="1"/>
  <c r="AY15" i="1"/>
  <c r="AW15" i="1"/>
  <c r="AR15" i="1"/>
  <c r="AQ15" i="1"/>
  <c r="AL15" i="1"/>
  <c r="AH15" i="1"/>
  <c r="Z15" i="1"/>
  <c r="BG14" i="1"/>
  <c r="BF14" i="1"/>
  <c r="BE14" i="1"/>
  <c r="BC14" i="1"/>
  <c r="AW14" i="1"/>
  <c r="AR14" i="1"/>
  <c r="AQ14" i="1"/>
  <c r="AL14" i="1"/>
  <c r="AH14" i="1"/>
  <c r="Z14" i="1"/>
  <c r="BG13" i="1"/>
  <c r="BF13" i="1"/>
  <c r="BE13" i="1"/>
  <c r="BC13" i="1"/>
  <c r="AR13" i="1"/>
  <c r="AQ13" i="1"/>
  <c r="AL13" i="1"/>
  <c r="BG12" i="1"/>
  <c r="BF12" i="1"/>
  <c r="BE12" i="1"/>
  <c r="BC12" i="1"/>
  <c r="AV12" i="1"/>
  <c r="AR12" i="1"/>
  <c r="AQ12" i="1"/>
  <c r="AL12" i="1"/>
  <c r="BG11" i="1"/>
  <c r="BF11" i="1"/>
  <c r="BE11" i="1"/>
  <c r="BC11" i="1"/>
  <c r="AV11" i="1"/>
  <c r="AR11" i="1"/>
  <c r="AQ11" i="1"/>
  <c r="AL11" i="1"/>
  <c r="BG10" i="1"/>
  <c r="BF10" i="1"/>
  <c r="BE10" i="1"/>
  <c r="BC10" i="1"/>
  <c r="AV10" i="1"/>
  <c r="AR10" i="1"/>
  <c r="AQ10" i="1"/>
  <c r="AL10" i="1"/>
  <c r="BG9" i="1"/>
  <c r="BF9" i="1"/>
  <c r="BE9" i="1"/>
  <c r="BC9" i="1"/>
  <c r="AV9" i="1"/>
  <c r="AR9" i="1"/>
  <c r="AQ9" i="1"/>
  <c r="AL9" i="1"/>
  <c r="BG8" i="1"/>
  <c r="BF8" i="1"/>
  <c r="BE8" i="1"/>
  <c r="BC8" i="1"/>
  <c r="AV8" i="1"/>
  <c r="AR8" i="1"/>
  <c r="AQ8" i="1"/>
  <c r="AL8" i="1"/>
  <c r="AA8" i="1"/>
  <c r="Y8" i="1"/>
  <c r="BG7" i="1"/>
  <c r="BF7" i="1"/>
  <c r="BE7" i="1"/>
  <c r="BC7" i="1"/>
  <c r="AV7" i="1"/>
  <c r="AP7" i="1"/>
  <c r="AR7" i="1"/>
  <c r="AQ7" i="1"/>
  <c r="AL7" i="1"/>
  <c r="AA7" i="1"/>
  <c r="Y7" i="1"/>
  <c r="BG6" i="1"/>
  <c r="BF6" i="1"/>
  <c r="BE6" i="1"/>
  <c r="BC6" i="1"/>
  <c r="AV6" i="1"/>
  <c r="AR6" i="1"/>
  <c r="AQ6" i="1"/>
  <c r="AH6" i="1"/>
  <c r="Y6" i="1"/>
  <c r="BG5" i="1"/>
  <c r="BF5" i="1"/>
  <c r="BE5" i="1"/>
  <c r="BC5" i="1"/>
  <c r="AV5" i="1"/>
  <c r="AP5" i="1"/>
  <c r="AR5" i="1"/>
  <c r="AQ5" i="1"/>
  <c r="AH5" i="1"/>
  <c r="Y5" i="1"/>
  <c r="BG4" i="1"/>
  <c r="BF4" i="1"/>
  <c r="BE4" i="1"/>
  <c r="BC4" i="1"/>
  <c r="AV4" i="1"/>
  <c r="AP4" i="1"/>
  <c r="AR4" i="1"/>
  <c r="AQ4" i="1"/>
  <c r="AH4" i="1"/>
  <c r="Y4" i="1"/>
  <c r="BG3" i="1"/>
  <c r="BF3" i="1"/>
  <c r="BE3" i="1"/>
  <c r="BC3" i="1"/>
  <c r="AH3" i="1"/>
  <c r="Y3" i="1"/>
</calcChain>
</file>

<file path=xl/sharedStrings.xml><?xml version="1.0" encoding="utf-8"?>
<sst xmlns="http://schemas.openxmlformats.org/spreadsheetml/2006/main" count="221" uniqueCount="69">
  <si>
    <t>Año</t>
  </si>
  <si>
    <t>Trimestre</t>
  </si>
  <si>
    <t>Prestaciones seguridad social, harmonizadas (sin pensión universal)</t>
  </si>
  <si>
    <t>Prestaciones seguridad social (sin pensión universal)</t>
  </si>
  <si>
    <t>Pensión universal neta</t>
  </si>
  <si>
    <t>Transferencias PAMI por pensión universal neta</t>
  </si>
  <si>
    <t>Asignaciones familiares</t>
  </si>
  <si>
    <t>Transferencias PAMI desde ANSES</t>
  </si>
  <si>
    <t>Transferencias corrientes al sector privado, harmonizadas</t>
  </si>
  <si>
    <t>Contribuciones a ANSES</t>
  </si>
  <si>
    <t>Contribuciones a ANSES, harmonizadas</t>
  </si>
  <si>
    <t>Impuesto integrado monotributo</t>
  </si>
  <si>
    <t>Impuesto integrado monotributo, harmonizado</t>
  </si>
  <si>
    <t>Déficit simulado, no harmonizado</t>
  </si>
  <si>
    <t>Déficit simulado, harmonizado (sin el impuesto integrado)</t>
  </si>
  <si>
    <t>PIB en pesos corrientes (precio de mercado)</t>
  </si>
  <si>
    <t>IPC 2014 noviembre</t>
  </si>
  <si>
    <t>PIB en pesos constantes noviembre 2014</t>
  </si>
  <si>
    <t>Crecimiento real del PIB</t>
  </si>
  <si>
    <t>Déficit trimestral bismarckiano</t>
  </si>
  <si>
    <t>Deficit annual bismarckiano</t>
  </si>
  <si>
    <t>Costo reparación histórica estimado,miles de pesos de noviembre 2014</t>
  </si>
  <si>
    <t>Crecimiento anual PIB (4to trim a 4to trim)</t>
  </si>
  <si>
    <t>Fondos blanqueo disponibles (Diciembre)</t>
  </si>
  <si>
    <t>Evolución futura del FGS, financiando reparación histórica (valores Diciembre)</t>
  </si>
  <si>
    <t>Evolución futura del FGS, financiando reparación histórica (valores Diciembre) % PIB</t>
  </si>
  <si>
    <t>Crecimiento anual del PIB</t>
  </si>
  <si>
    <t>total_active</t>
  </si>
  <si>
    <t>Crecimiento población activa</t>
  </si>
  <si>
    <t>Crecimiento salarios reales simulados</t>
  </si>
  <si>
    <t>Crecimiento PIB real con salarios aumentando 2% annual</t>
  </si>
  <si>
    <t>Contribuciones a SIPA en porcentaje PIB, simulado</t>
  </si>
  <si>
    <t>Contribuciones anuales en % PIB</t>
  </si>
  <si>
    <t>Asignaciones familiares + transferencias a PAMI en % PIB</t>
  </si>
  <si>
    <t>Prestaciones de seguridad social en % PIB</t>
  </si>
  <si>
    <t>Costo de la pensión universal en % del PIB</t>
  </si>
  <si>
    <t>Déficit incluyendo el costo de la pensión unviersal</t>
  </si>
  <si>
    <t>Medidas EPH</t>
  </si>
  <si>
    <t>Simuladas</t>
  </si>
  <si>
    <t>Simulado</t>
  </si>
  <si>
    <t>A escala</t>
  </si>
  <si>
    <t>Medido EPH</t>
  </si>
  <si>
    <t>Salarios reales</t>
  </si>
  <si>
    <t>Crecimiento</t>
  </si>
  <si>
    <t>Sin financiar</t>
  </si>
  <si>
    <t>Financiando</t>
  </si>
  <si>
    <t>158 vs 160</t>
  </si>
  <si>
    <t>Prestaciones seguridad social, harmonizadas</t>
  </si>
  <si>
    <t>Prestaciones seguridad social</t>
  </si>
  <si>
    <t>Crecimiento PIB real con salarios aumentando 1% annual</t>
  </si>
  <si>
    <t>Crecimiento PIB real con salarios aumentando 3% annual</t>
  </si>
  <si>
    <t>Déficit incluyendo el costo de la pensión universal</t>
  </si>
  <si>
    <t>197 vs 208!</t>
  </si>
  <si>
    <t>CENTRAL</t>
  </si>
  <si>
    <t>LOW</t>
  </si>
  <si>
    <t>HIGH</t>
  </si>
  <si>
    <t>Central scenario, ANSES bismarckian deficit</t>
  </si>
  <si>
    <t>Central scenario, bismarckian deficit including universal pension</t>
  </si>
  <si>
    <t>Low scenario, ANSES bismarckian deficit</t>
  </si>
  <si>
    <t>Low scenario, bismarckian deficit including universal pension</t>
  </si>
  <si>
    <t>High scenario, ANSES bismarckian deficit</t>
  </si>
  <si>
    <t>High scenario, bismarckian deficit including universal pension</t>
  </si>
  <si>
    <t>Historical values</t>
  </si>
  <si>
    <t>Central scenario</t>
  </si>
  <si>
    <t>Central scenario, including universal pension</t>
  </si>
  <si>
    <t>Low scenario</t>
  </si>
  <si>
    <t>Low scenario, including universal pension</t>
  </si>
  <si>
    <t>High scenario</t>
  </si>
  <si>
    <t>High scenario, including universal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</si>
</sst>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\-??\ _€_-;_-@_-"/>
  </numFmts>
  <fonts count="6" x14ac:knownFonts="1">
    <font>
      <sz val="10"/>
      <name val="Arial"/>
      <family val="2"/>
      <charset val="1"/>
    </font>
    <font>
      <sz val="10"/>
      <name val="Arial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CFFFF"/>
      </patternFill>
    </fill>
  </fills>
  <borders count="5">
    <border>
      <left/>
      <right/>
      <top/>
      <bottom/>
      <diagonal/>
    </border>
    <border diagonalUp="1" diagonalDown="1">
      <left/>
      <right/>
      <top/>
      <bottom/>
      <diagonal style="hair">
        <color auto="1"/>
      </diagonal>
    </border>
    <border diagonalUp="1" diagonalDown="1">
      <left/>
      <right/>
      <top/>
      <bottom/>
      <diagonal style="thin">
        <color auto="1"/>
      </diagonal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164" fontId="1" fillId="0" borderId="0" applyBorder="0" applyProtection="0"/>
    <xf numFmtId="9" fontId="1" fillId="0" borderId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2" borderId="0" xfId="0" applyFont="1" applyFill="1" applyAlignment="1">
      <alignment horizontal="justify"/>
    </xf>
    <xf numFmtId="0" fontId="0" fillId="2" borderId="2" xfId="0" applyFont="1" applyFill="1" applyBorder="1" applyAlignment="1">
      <alignment horizontal="justify"/>
    </xf>
    <xf numFmtId="3" fontId="0" fillId="2" borderId="0" xfId="0" applyNumberFormat="1" applyFont="1" applyFill="1" applyAlignment="1">
      <alignment horizontal="justify"/>
    </xf>
    <xf numFmtId="0" fontId="0" fillId="2" borderId="0" xfId="0" applyFill="1" applyAlignment="1">
      <alignment horizontal="justify"/>
    </xf>
    <xf numFmtId="0" fontId="0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justify"/>
    </xf>
    <xf numFmtId="0" fontId="2" fillId="2" borderId="0" xfId="0" applyFont="1" applyFill="1" applyAlignment="1">
      <alignment wrapText="1"/>
    </xf>
    <xf numFmtId="0" fontId="0" fillId="3" borderId="0" xfId="0" applyFill="1"/>
    <xf numFmtId="3" fontId="0" fillId="3" borderId="0" xfId="0" applyNumberFormat="1" applyFont="1" applyFill="1"/>
    <xf numFmtId="3" fontId="0" fillId="3" borderId="2" xfId="0" applyNumberFormat="1" applyFont="1" applyFill="1" applyBorder="1"/>
    <xf numFmtId="0" fontId="0" fillId="3" borderId="2" xfId="0" applyFont="1" applyFill="1" applyBorder="1"/>
    <xf numFmtId="0" fontId="2" fillId="3" borderId="0" xfId="0" applyFont="1" applyFill="1"/>
    <xf numFmtId="3" fontId="0" fillId="3" borderId="2" xfId="0" applyNumberFormat="1" applyFill="1" applyBorder="1"/>
    <xf numFmtId="3" fontId="0" fillId="3" borderId="0" xfId="0" applyNumberFormat="1" applyFill="1"/>
    <xf numFmtId="3" fontId="0" fillId="2" borderId="0" xfId="0" applyNumberFormat="1" applyFill="1"/>
    <xf numFmtId="10" fontId="0" fillId="3" borderId="0" xfId="0" applyNumberFormat="1" applyFill="1"/>
    <xf numFmtId="10" fontId="2" fillId="3" borderId="0" xfId="0" applyNumberFormat="1" applyFont="1" applyFill="1"/>
    <xf numFmtId="10" fontId="0" fillId="0" borderId="0" xfId="0" applyNumberFormat="1"/>
    <xf numFmtId="10" fontId="0" fillId="3" borderId="0" xfId="2" applyNumberFormat="1" applyFont="1" applyFill="1" applyBorder="1" applyAlignment="1" applyProtection="1"/>
    <xf numFmtId="3" fontId="0" fillId="0" borderId="0" xfId="0" applyNumberFormat="1" applyFont="1"/>
    <xf numFmtId="3" fontId="0" fillId="0" borderId="0" xfId="0" applyNumberFormat="1"/>
    <xf numFmtId="3" fontId="0" fillId="0" borderId="2" xfId="0" applyNumberFormat="1" applyBorder="1"/>
    <xf numFmtId="3" fontId="0" fillId="2" borderId="0" xfId="0" applyNumberFormat="1" applyFont="1" applyFill="1"/>
    <xf numFmtId="0" fontId="2" fillId="0" borderId="0" xfId="0" applyFont="1"/>
    <xf numFmtId="10" fontId="2" fillId="0" borderId="0" xfId="0" applyNumberFormat="1" applyFont="1"/>
    <xf numFmtId="10" fontId="0" fillId="0" borderId="0" xfId="2" applyNumberFormat="1" applyFont="1" applyBorder="1" applyAlignment="1" applyProtection="1"/>
    <xf numFmtId="0" fontId="0" fillId="4" borderId="0" xfId="0" applyFill="1"/>
    <xf numFmtId="3" fontId="0" fillId="4" borderId="0" xfId="0" applyNumberFormat="1" applyFill="1"/>
    <xf numFmtId="3" fontId="0" fillId="4" borderId="2" xfId="0" applyNumberFormat="1" applyFont="1" applyFill="1" applyBorder="1"/>
    <xf numFmtId="3" fontId="0" fillId="4" borderId="2" xfId="0" applyNumberFormat="1" applyFill="1" applyBorder="1"/>
    <xf numFmtId="3" fontId="0" fillId="4" borderId="0" xfId="0" applyNumberFormat="1" applyFont="1" applyFill="1"/>
    <xf numFmtId="10" fontId="0" fillId="4" borderId="0" xfId="0" applyNumberFormat="1" applyFill="1"/>
    <xf numFmtId="0" fontId="2" fillId="4" borderId="0" xfId="0" applyFont="1" applyFill="1"/>
    <xf numFmtId="10" fontId="2" fillId="4" borderId="0" xfId="0" applyNumberFormat="1" applyFont="1" applyFill="1"/>
    <xf numFmtId="10" fontId="0" fillId="4" borderId="0" xfId="2" applyNumberFormat="1" applyFont="1" applyFill="1" applyBorder="1" applyAlignment="1" applyProtection="1"/>
    <xf numFmtId="4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3" fontId="0" fillId="5" borderId="2" xfId="0" applyNumberFormat="1" applyFont="1" applyFill="1" applyBorder="1"/>
    <xf numFmtId="3" fontId="0" fillId="5" borderId="2" xfId="0" applyNumberFormat="1" applyFill="1" applyBorder="1"/>
    <xf numFmtId="3" fontId="0" fillId="5" borderId="0" xfId="0" applyNumberFormat="1" applyFont="1" applyFill="1"/>
    <xf numFmtId="10" fontId="0" fillId="5" borderId="0" xfId="0" applyNumberFormat="1" applyFill="1"/>
    <xf numFmtId="0" fontId="2" fillId="5" borderId="0" xfId="0" applyFont="1" applyFill="1"/>
    <xf numFmtId="10" fontId="2" fillId="5" borderId="0" xfId="0" applyNumberFormat="1" applyFont="1" applyFill="1"/>
    <xf numFmtId="10" fontId="0" fillId="5" borderId="0" xfId="2" applyNumberFormat="1" applyFont="1" applyFill="1" applyBorder="1" applyAlignment="1" applyProtection="1"/>
    <xf numFmtId="4" fontId="0" fillId="5" borderId="0" xfId="0" applyNumberFormat="1" applyFill="1"/>
    <xf numFmtId="9" fontId="0" fillId="4" borderId="0" xfId="2" applyFont="1" applyFill="1" applyBorder="1" applyAlignment="1" applyProtection="1"/>
    <xf numFmtId="0" fontId="0" fillId="5" borderId="0" xfId="0" applyFill="1" applyAlignment="1">
      <alignment wrapText="1"/>
    </xf>
    <xf numFmtId="3" fontId="0" fillId="4" borderId="0" xfId="0" applyNumberFormat="1" applyFill="1" applyAlignment="1">
      <alignment horizontal="right" wrapText="1"/>
    </xf>
    <xf numFmtId="0" fontId="0" fillId="4" borderId="2" xfId="0" applyFill="1" applyBorder="1" applyAlignment="1">
      <alignment horizontal="right" wrapText="1"/>
    </xf>
    <xf numFmtId="2" fontId="0" fillId="4" borderId="0" xfId="0" applyNumberFormat="1" applyFill="1"/>
    <xf numFmtId="3" fontId="0" fillId="5" borderId="0" xfId="0" applyNumberFormat="1" applyFill="1" applyAlignment="1">
      <alignment horizontal="right" wrapText="1"/>
    </xf>
    <xf numFmtId="0" fontId="0" fillId="5" borderId="2" xfId="0" applyFill="1" applyBorder="1" applyAlignment="1">
      <alignment horizontal="right" wrapText="1"/>
    </xf>
    <xf numFmtId="2" fontId="0" fillId="5" borderId="0" xfId="0" applyNumberFormat="1" applyFill="1"/>
    <xf numFmtId="3" fontId="0" fillId="5" borderId="2" xfId="0" applyNumberFormat="1" applyFill="1" applyBorder="1" applyAlignment="1">
      <alignment horizontal="right" wrapText="1"/>
    </xf>
    <xf numFmtId="1" fontId="0" fillId="5" borderId="2" xfId="0" applyNumberFormat="1" applyFill="1" applyBorder="1" applyAlignment="1">
      <alignment horizontal="right" wrapText="1"/>
    </xf>
    <xf numFmtId="3" fontId="0" fillId="4" borderId="2" xfId="0" applyNumberFormat="1" applyFill="1" applyBorder="1" applyAlignment="1">
      <alignment horizontal="right" wrapText="1"/>
    </xf>
    <xf numFmtId="164" fontId="1" fillId="0" borderId="0" xfId="1" applyBorder="1" applyAlignment="1" applyProtection="1"/>
    <xf numFmtId="0" fontId="3" fillId="6" borderId="3" xfId="0" applyFont="1" applyFill="1" applyBorder="1"/>
    <xf numFmtId="10" fontId="3" fillId="7" borderId="4" xfId="0" applyNumberFormat="1" applyFont="1" applyFill="1" applyBorder="1" applyAlignment="1">
      <alignment horizontal="right"/>
    </xf>
    <xf numFmtId="10" fontId="3" fillId="5" borderId="4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justify"/>
    </xf>
  </cellXfs>
  <cellStyles count="1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déficit'!$B$5:$B$31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-0.0328222669154849</c:v>
                </c:pt>
                <c:pt idx="2">
                  <c:v>-0.0305682386243164</c:v>
                </c:pt>
                <c:pt idx="3">
                  <c:v>-0.0358136775647022</c:v>
                </c:pt>
                <c:pt idx="4">
                  <c:v>-0.0318646272951224</c:v>
                </c:pt>
                <c:pt idx="5">
                  <c:v>-0.0309664421680725</c:v>
                </c:pt>
                <c:pt idx="6">
                  <c:v>-0.0336178134911153</c:v>
                </c:pt>
                <c:pt idx="7">
                  <c:v>-0.0334503662763847</c:v>
                </c:pt>
                <c:pt idx="8">
                  <c:v>-0.0351596897015166</c:v>
                </c:pt>
                <c:pt idx="9">
                  <c:v>-0.0353694642721632</c:v>
                </c:pt>
                <c:pt idx="10">
                  <c:v>-0.0375473521624033</c:v>
                </c:pt>
                <c:pt idx="11">
                  <c:v>-0.0392065382236899</c:v>
                </c:pt>
                <c:pt idx="12">
                  <c:v>-0.0395508524896689</c:v>
                </c:pt>
                <c:pt idx="13">
                  <c:v>-0.0397740796359185</c:v>
                </c:pt>
                <c:pt idx="14">
                  <c:v>-0.0414332534307847</c:v>
                </c:pt>
                <c:pt idx="15">
                  <c:v>-0.042787092723388</c:v>
                </c:pt>
                <c:pt idx="16">
                  <c:v>-0.0430227729842213</c:v>
                </c:pt>
                <c:pt idx="17">
                  <c:v>-0.0436286389626911</c:v>
                </c:pt>
                <c:pt idx="18">
                  <c:v>-0.0463382212628511</c:v>
                </c:pt>
                <c:pt idx="19">
                  <c:v>-0.0467400578141508</c:v>
                </c:pt>
                <c:pt idx="20">
                  <c:v>-0.0483678356635504</c:v>
                </c:pt>
                <c:pt idx="21">
                  <c:v>-0.0500947053832254</c:v>
                </c:pt>
                <c:pt idx="22">
                  <c:v>-0.0512267564483642</c:v>
                </c:pt>
                <c:pt idx="23">
                  <c:v>-0.0530188143969571</c:v>
                </c:pt>
                <c:pt idx="24">
                  <c:v>-0.0545368404191006</c:v>
                </c:pt>
                <c:pt idx="25">
                  <c:v>-0.0560958585658408</c:v>
                </c:pt>
                <c:pt idx="26">
                  <c:v>-0.0589467000398264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déficit'!$C$5:$C$31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-0.0328222669154849</c:v>
                </c:pt>
                <c:pt idx="2">
                  <c:v>-0.0305918086655034</c:v>
                </c:pt>
                <c:pt idx="3">
                  <c:v>-0.0362776229252141</c:v>
                </c:pt>
                <c:pt idx="4">
                  <c:v>-0.0327714112643394</c:v>
                </c:pt>
                <c:pt idx="5">
                  <c:v>-0.0322858478135585</c:v>
                </c:pt>
                <c:pt idx="6">
                  <c:v>-0.0353908907311049</c:v>
                </c:pt>
                <c:pt idx="7">
                  <c:v>-0.0356580270454744</c:v>
                </c:pt>
                <c:pt idx="8">
                  <c:v>-0.0378778740622235</c:v>
                </c:pt>
                <c:pt idx="9">
                  <c:v>-0.038576446462462</c:v>
                </c:pt>
                <c:pt idx="10">
                  <c:v>-0.0413742406365634</c:v>
                </c:pt>
                <c:pt idx="11">
                  <c:v>-0.0443831043475537</c:v>
                </c:pt>
                <c:pt idx="12">
                  <c:v>-0.0462159650483758</c:v>
                </c:pt>
                <c:pt idx="13">
                  <c:v>-0.0480153856541632</c:v>
                </c:pt>
                <c:pt idx="14">
                  <c:v>-0.0513066707931619</c:v>
                </c:pt>
                <c:pt idx="15">
                  <c:v>-0.054120723510897</c:v>
                </c:pt>
                <c:pt idx="16">
                  <c:v>-0.0555802105233405</c:v>
                </c:pt>
                <c:pt idx="17">
                  <c:v>-0.057383389945638</c:v>
                </c:pt>
                <c:pt idx="18">
                  <c:v>-0.0616794069177683</c:v>
                </c:pt>
                <c:pt idx="19">
                  <c:v>-0.0634199312828399</c:v>
                </c:pt>
                <c:pt idx="20">
                  <c:v>-0.0663831383091604</c:v>
                </c:pt>
                <c:pt idx="21">
                  <c:v>-0.0694088114975482</c:v>
                </c:pt>
                <c:pt idx="22">
                  <c:v>-0.0723304861809882</c:v>
                </c:pt>
                <c:pt idx="23">
                  <c:v>-0.0761602214391713</c:v>
                </c:pt>
                <c:pt idx="24">
                  <c:v>-0.0796106152877007</c:v>
                </c:pt>
                <c:pt idx="25">
                  <c:v>-0.0830247803861925</c:v>
                </c:pt>
                <c:pt idx="26">
                  <c:v>-0.0878506400689157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déficit'!$D$5:$D$31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-0.0328222669154849</c:v>
                </c:pt>
                <c:pt idx="2">
                  <c:v>-0.0305682386243164</c:v>
                </c:pt>
                <c:pt idx="3">
                  <c:v>-0.0358119751367661</c:v>
                </c:pt>
                <c:pt idx="4">
                  <c:v>-0.0316905533474875</c:v>
                </c:pt>
                <c:pt idx="5">
                  <c:v>-0.0306698387288808</c:v>
                </c:pt>
                <c:pt idx="6">
                  <c:v>-0.0343073366037736</c:v>
                </c:pt>
                <c:pt idx="7">
                  <c:v>-0.0356632224307841</c:v>
                </c:pt>
                <c:pt idx="8">
                  <c:v>-0.0371401871709875</c:v>
                </c:pt>
                <c:pt idx="9">
                  <c:v>-0.0387945895674314</c:v>
                </c:pt>
                <c:pt idx="10">
                  <c:v>-0.0401479010956701</c:v>
                </c:pt>
                <c:pt idx="11">
                  <c:v>-0.0428106335044781</c:v>
                </c:pt>
                <c:pt idx="12">
                  <c:v>-0.0449051474555915</c:v>
                </c:pt>
                <c:pt idx="13">
                  <c:v>-0.045750882056283</c:v>
                </c:pt>
                <c:pt idx="14">
                  <c:v>-0.0466204429608657</c:v>
                </c:pt>
                <c:pt idx="15">
                  <c:v>-0.0488287646907429</c:v>
                </c:pt>
                <c:pt idx="16">
                  <c:v>-0.0518349336083122</c:v>
                </c:pt>
                <c:pt idx="17">
                  <c:v>-0.0545476595737012</c:v>
                </c:pt>
                <c:pt idx="18">
                  <c:v>-0.0576769942804293</c:v>
                </c:pt>
                <c:pt idx="19">
                  <c:v>-0.0597600808417148</c:v>
                </c:pt>
                <c:pt idx="20">
                  <c:v>-0.0638717911257566</c:v>
                </c:pt>
                <c:pt idx="21">
                  <c:v>-0.067179025549498</c:v>
                </c:pt>
                <c:pt idx="22">
                  <c:v>-0.0689195434000574</c:v>
                </c:pt>
                <c:pt idx="23">
                  <c:v>-0.0711405816444139</c:v>
                </c:pt>
                <c:pt idx="24">
                  <c:v>-0.0752990138062419</c:v>
                </c:pt>
                <c:pt idx="25">
                  <c:v>-0.0785378026353518</c:v>
                </c:pt>
                <c:pt idx="26">
                  <c:v>-0.0804809196534367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déficit'!$E$5:$E$31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-0.0328222669154849</c:v>
                </c:pt>
                <c:pt idx="2">
                  <c:v>-0.0305918086655035</c:v>
                </c:pt>
                <c:pt idx="3">
                  <c:v>-0.0362759204972781</c:v>
                </c:pt>
                <c:pt idx="4">
                  <c:v>-0.0325958695544584</c:v>
                </c:pt>
                <c:pt idx="5">
                  <c:v>-0.0319956381777891</c:v>
                </c:pt>
                <c:pt idx="6">
                  <c:v>-0.0360902560743616</c:v>
                </c:pt>
                <c:pt idx="7">
                  <c:v>-0.0378780450690799</c:v>
                </c:pt>
                <c:pt idx="8">
                  <c:v>-0.0399142962817926</c:v>
                </c:pt>
                <c:pt idx="9">
                  <c:v>-0.0420083008319345</c:v>
                </c:pt>
                <c:pt idx="10">
                  <c:v>-0.0439079259074257</c:v>
                </c:pt>
                <c:pt idx="11">
                  <c:v>-0.0480153181426304</c:v>
                </c:pt>
                <c:pt idx="12">
                  <c:v>-0.0516668196347993</c:v>
                </c:pt>
                <c:pt idx="13">
                  <c:v>-0.0540263086115875</c:v>
                </c:pt>
                <c:pt idx="14">
                  <c:v>-0.0565211946402145</c:v>
                </c:pt>
                <c:pt idx="15">
                  <c:v>-0.0602165378101866</c:v>
                </c:pt>
                <c:pt idx="16">
                  <c:v>-0.064761934500868</c:v>
                </c:pt>
                <c:pt idx="17">
                  <c:v>-0.0689544304942623</c:v>
                </c:pt>
                <c:pt idx="18">
                  <c:v>-0.0739136879753599</c:v>
                </c:pt>
                <c:pt idx="19">
                  <c:v>-0.0775955257695322</c:v>
                </c:pt>
                <c:pt idx="20">
                  <c:v>-0.0832849006512278</c:v>
                </c:pt>
                <c:pt idx="21">
                  <c:v>-0.0881963202969425</c:v>
                </c:pt>
                <c:pt idx="22">
                  <c:v>-0.0916928311943046</c:v>
                </c:pt>
                <c:pt idx="23">
                  <c:v>-0.0957156695184025</c:v>
                </c:pt>
                <c:pt idx="24">
                  <c:v>-0.102210519250453</c:v>
                </c:pt>
                <c:pt idx="25">
                  <c:v>-0.107754856456561</c:v>
                </c:pt>
                <c:pt idx="26">
                  <c:v>-0.11143584680052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déficit'!$F$5:$F$31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-0.0328222669154846</c:v>
                </c:pt>
                <c:pt idx="2">
                  <c:v>-0.0305682386243163</c:v>
                </c:pt>
                <c:pt idx="3">
                  <c:v>-0.0358136775647022</c:v>
                </c:pt>
                <c:pt idx="4">
                  <c:v>-0.0318194038148599</c:v>
                </c:pt>
                <c:pt idx="5">
                  <c:v>-0.0304738772820753</c:v>
                </c:pt>
                <c:pt idx="6">
                  <c:v>-0.0324589534120629</c:v>
                </c:pt>
                <c:pt idx="7">
                  <c:v>-0.0315805971361845</c:v>
                </c:pt>
                <c:pt idx="8">
                  <c:v>-0.032399596532793</c:v>
                </c:pt>
                <c:pt idx="9">
                  <c:v>-0.0328315217720214</c:v>
                </c:pt>
                <c:pt idx="10">
                  <c:v>-0.0330078507781314</c:v>
                </c:pt>
                <c:pt idx="11">
                  <c:v>-0.0340366409513361</c:v>
                </c:pt>
                <c:pt idx="12">
                  <c:v>-0.0337842252888328</c:v>
                </c:pt>
                <c:pt idx="13">
                  <c:v>-0.033854047722325</c:v>
                </c:pt>
                <c:pt idx="14">
                  <c:v>-0.0339477157672315</c:v>
                </c:pt>
                <c:pt idx="15">
                  <c:v>-0.033948011080015</c:v>
                </c:pt>
                <c:pt idx="16">
                  <c:v>-0.0347722495819601</c:v>
                </c:pt>
                <c:pt idx="17">
                  <c:v>-0.0357454528354508</c:v>
                </c:pt>
                <c:pt idx="18">
                  <c:v>-0.0358665190012015</c:v>
                </c:pt>
                <c:pt idx="19">
                  <c:v>-0.0370866755112796</c:v>
                </c:pt>
                <c:pt idx="20">
                  <c:v>-0.0386303996496797</c:v>
                </c:pt>
                <c:pt idx="21">
                  <c:v>-0.0397063410511369</c:v>
                </c:pt>
                <c:pt idx="22">
                  <c:v>-0.0396561970195966</c:v>
                </c:pt>
                <c:pt idx="23">
                  <c:v>-0.0412816200688183</c:v>
                </c:pt>
                <c:pt idx="24">
                  <c:v>-0.0418893250511745</c:v>
                </c:pt>
                <c:pt idx="25">
                  <c:v>-0.0431242146369365</c:v>
                </c:pt>
                <c:pt idx="26">
                  <c:v>-0.0444308536110923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déficit'!$G$5:$G$31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-0.0328222669154846</c:v>
                </c:pt>
                <c:pt idx="2">
                  <c:v>-0.0305918086655034</c:v>
                </c:pt>
                <c:pt idx="3">
                  <c:v>-0.0362776229252142</c:v>
                </c:pt>
                <c:pt idx="4">
                  <c:v>-0.0327276459958442</c:v>
                </c:pt>
                <c:pt idx="5">
                  <c:v>-0.031802274291256</c:v>
                </c:pt>
                <c:pt idx="6">
                  <c:v>-0.0342626303708373</c:v>
                </c:pt>
                <c:pt idx="7">
                  <c:v>-0.0337765077534844</c:v>
                </c:pt>
                <c:pt idx="8">
                  <c:v>-0.0351191924665232</c:v>
                </c:pt>
                <c:pt idx="9">
                  <c:v>-0.0359771457514711</c:v>
                </c:pt>
                <c:pt idx="10">
                  <c:v>-0.0366203466724725</c:v>
                </c:pt>
                <c:pt idx="11">
                  <c:v>-0.0390052174273022</c:v>
                </c:pt>
                <c:pt idx="12">
                  <c:v>-0.0401746645124605</c:v>
                </c:pt>
                <c:pt idx="13">
                  <c:v>-0.0417088526202829</c:v>
                </c:pt>
                <c:pt idx="14">
                  <c:v>-0.0433379522098567</c:v>
                </c:pt>
                <c:pt idx="15">
                  <c:v>-0.0446632963211944</c:v>
                </c:pt>
                <c:pt idx="16">
                  <c:v>-0.0468660628273527</c:v>
                </c:pt>
                <c:pt idx="17">
                  <c:v>-0.0491943876918216</c:v>
                </c:pt>
                <c:pt idx="18">
                  <c:v>-0.0505643519329143</c:v>
                </c:pt>
                <c:pt idx="19">
                  <c:v>-0.0531795145272755</c:v>
                </c:pt>
                <c:pt idx="20">
                  <c:v>-0.056216823646417</c:v>
                </c:pt>
                <c:pt idx="21">
                  <c:v>-0.0586644454857527</c:v>
                </c:pt>
                <c:pt idx="22">
                  <c:v>-0.0599471346640992</c:v>
                </c:pt>
                <c:pt idx="23">
                  <c:v>-0.063234799722787</c:v>
                </c:pt>
                <c:pt idx="24">
                  <c:v>-0.0655087673230877</c:v>
                </c:pt>
                <c:pt idx="25">
                  <c:v>-0.0684758426799661</c:v>
                </c:pt>
                <c:pt idx="26">
                  <c:v>-0.0716095949240814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103086760"/>
        <c:axId val="2142688264"/>
      </c:lineChart>
      <c:catAx>
        <c:axId val="210308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42688264"/>
        <c:crosses val="autoZero"/>
        <c:auto val="1"/>
        <c:lblAlgn val="ctr"/>
        <c:lblOffset val="100"/>
        <c:noMultiLvlLbl val="1"/>
      </c:catAx>
      <c:valAx>
        <c:axId val="2142688264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0308676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315000</xdr:colOff>
      <xdr:row>0</xdr:row>
      <xdr:rowOff>46080</xdr:rowOff>
    </xdr:from>
    <xdr:to>
      <xdr:col>20</xdr:col>
      <xdr:colOff>580680</xdr:colOff>
      <xdr:row>37</xdr:row>
      <xdr:rowOff>56160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0"/>
  <sheetViews>
    <sheetView topLeftCell="A2" zoomScale="125" zoomScaleNormal="125" zoomScalePageLayoutView="125" workbookViewId="0">
      <pane xSplit="2" topLeftCell="AX1" activePane="topRight" state="frozen"/>
      <selection pane="topRight" activeCell="BH29" sqref="BH29"/>
    </sheetView>
  </sheetViews>
  <sheetFormatPr baseColWidth="10" defaultColWidth="8.83203125" defaultRowHeight="12" x14ac:dyDescent="0"/>
  <cols>
    <col min="7" max="10" width="8.83203125" style="1"/>
  </cols>
  <sheetData>
    <row r="1" spans="1:61" s="6" customFormat="1" ht="50.25" customHeight="1">
      <c r="A1" s="2" t="s">
        <v>0</v>
      </c>
      <c r="B1" s="2" t="s">
        <v>1</v>
      </c>
      <c r="C1" s="2" t="s">
        <v>2</v>
      </c>
      <c r="D1" s="2"/>
      <c r="E1" s="2" t="s">
        <v>3</v>
      </c>
      <c r="F1" s="2"/>
      <c r="G1" s="3" t="s">
        <v>4</v>
      </c>
      <c r="H1" s="3"/>
      <c r="I1" s="3" t="s">
        <v>5</v>
      </c>
      <c r="J1" s="3"/>
      <c r="K1" s="2" t="s">
        <v>6</v>
      </c>
      <c r="L1" s="2"/>
      <c r="M1" s="4" t="s">
        <v>7</v>
      </c>
      <c r="N1" s="2"/>
      <c r="O1" s="2" t="s">
        <v>8</v>
      </c>
      <c r="P1" s="5"/>
      <c r="Q1" s="2" t="s">
        <v>9</v>
      </c>
      <c r="R1" s="2"/>
      <c r="S1" s="2" t="s">
        <v>10</v>
      </c>
      <c r="T1" s="2"/>
      <c r="U1" s="5" t="s">
        <v>11</v>
      </c>
      <c r="V1" s="2"/>
      <c r="W1" s="2" t="s">
        <v>12</v>
      </c>
      <c r="X1" s="2"/>
      <c r="Y1" s="6" t="s">
        <v>13</v>
      </c>
      <c r="AA1" s="6" t="s">
        <v>14</v>
      </c>
      <c r="AD1" s="6" t="s">
        <v>15</v>
      </c>
      <c r="AE1" s="6" t="s">
        <v>16</v>
      </c>
      <c r="AF1" s="6" t="s">
        <v>17</v>
      </c>
      <c r="AG1" s="6" t="s">
        <v>18</v>
      </c>
      <c r="AH1" s="6" t="s">
        <v>19</v>
      </c>
      <c r="AI1" s="7" t="s">
        <v>20</v>
      </c>
      <c r="AJ1" s="7"/>
      <c r="AK1" s="64" t="s">
        <v>21</v>
      </c>
      <c r="AL1" s="64"/>
      <c r="AM1" s="8" t="s">
        <v>22</v>
      </c>
      <c r="AN1" s="9" t="s">
        <v>23</v>
      </c>
      <c r="AO1" s="64" t="s">
        <v>24</v>
      </c>
      <c r="AP1" s="64"/>
      <c r="AQ1" s="64" t="s">
        <v>25</v>
      </c>
      <c r="AR1" s="64"/>
      <c r="AS1" s="6" t="s">
        <v>26</v>
      </c>
      <c r="AT1" s="6" t="s">
        <v>27</v>
      </c>
      <c r="AV1" s="6" t="s">
        <v>28</v>
      </c>
      <c r="AX1" s="6" t="s">
        <v>29</v>
      </c>
      <c r="AZ1" s="6" t="s">
        <v>30</v>
      </c>
      <c r="BC1" s="6" t="s">
        <v>31</v>
      </c>
      <c r="BE1" s="6" t="s">
        <v>32</v>
      </c>
      <c r="BF1" s="6" t="s">
        <v>33</v>
      </c>
      <c r="BG1" s="6" t="s">
        <v>34</v>
      </c>
      <c r="BH1" s="6" t="s">
        <v>35</v>
      </c>
      <c r="BI1" s="7" t="s">
        <v>36</v>
      </c>
    </row>
    <row r="2" spans="1:61" s="10" customFormat="1">
      <c r="C2" s="10" t="s">
        <v>37</v>
      </c>
      <c r="D2" s="10" t="s">
        <v>38</v>
      </c>
      <c r="E2" s="10" t="s">
        <v>37</v>
      </c>
      <c r="F2" s="11" t="s">
        <v>38</v>
      </c>
      <c r="G2" s="12" t="s">
        <v>39</v>
      </c>
      <c r="H2" s="12" t="s">
        <v>40</v>
      </c>
      <c r="I2" s="12" t="s">
        <v>39</v>
      </c>
      <c r="J2" s="13" t="s">
        <v>40</v>
      </c>
      <c r="K2" s="10" t="s">
        <v>37</v>
      </c>
      <c r="L2" s="11" t="s">
        <v>38</v>
      </c>
      <c r="M2" s="11" t="s">
        <v>37</v>
      </c>
      <c r="N2" s="11" t="s">
        <v>38</v>
      </c>
      <c r="O2" s="10" t="s">
        <v>37</v>
      </c>
      <c r="P2" s="10" t="s">
        <v>38</v>
      </c>
      <c r="Q2" s="11" t="s">
        <v>37</v>
      </c>
      <c r="R2" s="11" t="s">
        <v>38</v>
      </c>
      <c r="S2" s="11" t="s">
        <v>37</v>
      </c>
      <c r="T2" s="10" t="s">
        <v>38</v>
      </c>
      <c r="U2" s="10" t="s">
        <v>37</v>
      </c>
      <c r="V2" s="10" t="s">
        <v>38</v>
      </c>
      <c r="W2" s="10" t="s">
        <v>37</v>
      </c>
      <c r="X2" s="11" t="s">
        <v>38</v>
      </c>
      <c r="AC2" s="6"/>
      <c r="AI2" s="14"/>
      <c r="AJ2" s="14"/>
      <c r="AK2" s="14"/>
      <c r="AL2" s="14"/>
      <c r="AM2" s="14"/>
      <c r="AN2" s="14"/>
      <c r="AO2" s="14"/>
      <c r="AP2" s="14"/>
      <c r="AQ2" s="14"/>
      <c r="AR2" s="14"/>
      <c r="AT2" s="10" t="s">
        <v>41</v>
      </c>
      <c r="AU2" s="10" t="s">
        <v>39</v>
      </c>
      <c r="AV2" s="10" t="s">
        <v>41</v>
      </c>
      <c r="AW2" s="10" t="s">
        <v>39</v>
      </c>
      <c r="AX2" s="10" t="s">
        <v>42</v>
      </c>
      <c r="AY2" s="10" t="s">
        <v>43</v>
      </c>
      <c r="BI2" s="14"/>
    </row>
    <row r="3" spans="1:61">
      <c r="A3" s="10">
        <v>2014</v>
      </c>
      <c r="B3" s="10">
        <v>1</v>
      </c>
      <c r="C3" s="11">
        <v>73541829.264479399</v>
      </c>
      <c r="D3" s="11"/>
      <c r="E3" s="11">
        <v>13367097.642000001</v>
      </c>
      <c r="F3" s="11"/>
      <c r="G3" s="12"/>
      <c r="H3" s="12"/>
      <c r="I3" s="12"/>
      <c r="J3" s="15"/>
      <c r="K3" s="16">
        <v>2431521.2590999999</v>
      </c>
      <c r="L3" s="11"/>
      <c r="M3" s="11">
        <v>552644.92299999902</v>
      </c>
      <c r="N3" s="11"/>
      <c r="O3" s="11">
        <v>15657663.7612308</v>
      </c>
      <c r="P3" s="11"/>
      <c r="Q3" s="11">
        <v>16188956.83674</v>
      </c>
      <c r="R3" s="11"/>
      <c r="S3" s="11">
        <v>61899879.651203699</v>
      </c>
      <c r="T3" s="11"/>
      <c r="U3" s="11">
        <v>147745.90426000001</v>
      </c>
      <c r="V3" s="16"/>
      <c r="W3" s="16">
        <v>371095.07358448301</v>
      </c>
      <c r="X3" s="11"/>
      <c r="Y3" s="11">
        <f t="shared" ref="Y3:Y8" si="0">Q3+U3-M3-K3-E3</f>
        <v>-14561.083099998534</v>
      </c>
      <c r="Z3" s="11"/>
      <c r="AA3" s="11">
        <f t="shared" ref="AA3:AA8" si="1">S3-O3-C3</f>
        <v>-27299613.374506503</v>
      </c>
      <c r="AB3" s="11"/>
      <c r="AC3" s="17"/>
      <c r="AD3" s="11">
        <v>3917648861.1710801</v>
      </c>
      <c r="AE3" s="11">
        <v>87.364011981999994</v>
      </c>
      <c r="AF3" s="11">
        <f>AD3*100/AE3</f>
        <v>4484282225.9333181</v>
      </c>
      <c r="AG3" s="11"/>
      <c r="AH3" s="18">
        <f>AA3/AF3</f>
        <v>-6.087844609027615E-3</v>
      </c>
      <c r="AI3" s="14">
        <v>2014</v>
      </c>
      <c r="AJ3" s="19">
        <f>(SUM(AA3:AA6)/AVERAGE(AF3:AF6))</f>
        <v>-2.0764450566254731E-2</v>
      </c>
      <c r="AK3" s="19"/>
      <c r="AL3" s="19"/>
      <c r="AM3" s="19"/>
      <c r="AN3" s="19"/>
      <c r="AO3" s="11" t="s">
        <v>44</v>
      </c>
      <c r="AP3" s="19" t="s">
        <v>45</v>
      </c>
      <c r="AQ3" s="19" t="s">
        <v>44</v>
      </c>
      <c r="AR3" s="19" t="s">
        <v>45</v>
      </c>
      <c r="AS3" s="20"/>
      <c r="AT3" s="10">
        <v>10923418</v>
      </c>
      <c r="BC3" s="18">
        <f>S3/AF3</f>
        <v>1.3803743059084649E-2</v>
      </c>
      <c r="BD3" s="10">
        <v>2014</v>
      </c>
      <c r="BE3" s="18">
        <f>(SUM(S3:S6)/AVERAGE(AF3:AF6))</f>
        <v>5.6918105137217651E-2</v>
      </c>
      <c r="BF3" s="18">
        <f>(SUM(O3:O6)/AVERAGE(AF3:AF6))</f>
        <v>1.3201759021596645E-2</v>
      </c>
      <c r="BG3" s="18">
        <f>(SUM(C3:C6)/AVERAGE(AF3:AF6))</f>
        <v>6.4480796681875729E-2</v>
      </c>
      <c r="BH3" s="18">
        <f>(SUM(H3:H6)+SUM(J3:J6))/AVERAGE(AF3:AF6)</f>
        <v>0</v>
      </c>
      <c r="BI3" s="19">
        <f t="shared" ref="BI3:BI29" si="2">AJ3-BH3</f>
        <v>-2.0764450566254731E-2</v>
      </c>
    </row>
    <row r="4" spans="1:61">
      <c r="A4" s="10">
        <v>2014</v>
      </c>
      <c r="B4" s="10">
        <v>2</v>
      </c>
      <c r="C4" s="11">
        <v>76536005.645554796</v>
      </c>
      <c r="D4" s="11"/>
      <c r="E4" s="11">
        <v>13911324.754000001</v>
      </c>
      <c r="F4" s="11"/>
      <c r="G4" s="12"/>
      <c r="H4" s="12"/>
      <c r="I4" s="12"/>
      <c r="J4" s="15"/>
      <c r="K4" s="16">
        <v>2156056.4542999999</v>
      </c>
      <c r="L4" s="11"/>
      <c r="M4" s="11">
        <v>571465.44299999997</v>
      </c>
      <c r="N4" s="11"/>
      <c r="O4" s="11">
        <v>14331816.6540251</v>
      </c>
      <c r="P4" s="11"/>
      <c r="Q4" s="11">
        <v>18889074.98367</v>
      </c>
      <c r="R4" s="11"/>
      <c r="S4" s="11">
        <v>72224015.420081005</v>
      </c>
      <c r="T4" s="11"/>
      <c r="U4" s="11">
        <v>150093.53833000001</v>
      </c>
      <c r="V4" s="16"/>
      <c r="W4" s="16">
        <v>376991.65286577999</v>
      </c>
      <c r="X4" s="11"/>
      <c r="Y4" s="11">
        <f t="shared" si="0"/>
        <v>2400321.8706999999</v>
      </c>
      <c r="Z4" s="11"/>
      <c r="AA4" s="11">
        <f t="shared" si="1"/>
        <v>-18643806.879498892</v>
      </c>
      <c r="AB4" s="11"/>
      <c r="AC4" s="17"/>
      <c r="AD4" s="11">
        <v>4702629524.92031</v>
      </c>
      <c r="AE4" s="11">
        <v>92.542254682000006</v>
      </c>
      <c r="AF4" s="11">
        <f>AD4*100/AE4</f>
        <v>5081602497.2374029</v>
      </c>
      <c r="AG4" s="11"/>
      <c r="AH4" s="18">
        <f>AA4/AF4</f>
        <v>-3.6688833669368155E-3</v>
      </c>
      <c r="AI4" s="14">
        <v>2015</v>
      </c>
      <c r="AJ4" s="19">
        <f>SUM(AB14:AB17)/AVERAGE(AF14:AF17)</f>
        <v>-3.2822266915484871E-2</v>
      </c>
      <c r="AK4" s="19"/>
      <c r="AL4" s="19"/>
      <c r="AM4" s="19"/>
      <c r="AN4" s="19"/>
      <c r="AO4" s="11">
        <v>545118865</v>
      </c>
      <c r="AP4" s="11">
        <f>AO4</f>
        <v>545118865</v>
      </c>
      <c r="AQ4" s="21">
        <f>AO4/AF17</f>
        <v>9.6335892011156887E-2</v>
      </c>
      <c r="AR4" s="21">
        <f>AP4/AF17</f>
        <v>9.6335892011156887E-2</v>
      </c>
      <c r="AS4" s="20"/>
      <c r="AT4" s="10">
        <v>10933469</v>
      </c>
      <c r="AV4" s="10">
        <f t="shared" ref="AV4:AV12" si="3">(AT4-AT3)/AT3</f>
        <v>9.2013324034656552E-4</v>
      </c>
      <c r="BC4" s="18">
        <f>S4/AF4</f>
        <v>1.4212842397520341E-2</v>
      </c>
      <c r="BD4" s="10">
        <v>2015</v>
      </c>
      <c r="BE4" s="18">
        <f>SUM(T14:T17)/AVERAGE(AF14:AF17)</f>
        <v>5.8016302548056842E-2</v>
      </c>
      <c r="BF4" s="18">
        <f>SUM(P14:P17)/AVERAGE(AF14:AF17)</f>
        <v>1.2830632772659245E-2</v>
      </c>
      <c r="BG4" s="18">
        <f>SUM(D14:D17)/AVERAGE(AF14:AF17)</f>
        <v>7.8007936690882476E-2</v>
      </c>
      <c r="BH4" s="18">
        <f>(SUM(H14:H17)+SUM(J14:J17))/AVERAGE(AF14:AF17)</f>
        <v>0</v>
      </c>
      <c r="BI4" s="19">
        <f t="shared" si="2"/>
        <v>-3.2822266915484871E-2</v>
      </c>
    </row>
    <row r="5" spans="1:61">
      <c r="A5" s="10">
        <v>2014</v>
      </c>
      <c r="B5" s="10">
        <v>3</v>
      </c>
      <c r="C5" s="11">
        <v>79948619.698482305</v>
      </c>
      <c r="D5" s="11"/>
      <c r="E5" s="11">
        <v>14531608.437999999</v>
      </c>
      <c r="F5" s="11"/>
      <c r="G5" s="12"/>
      <c r="H5" s="12"/>
      <c r="I5" s="12"/>
      <c r="J5" s="15"/>
      <c r="K5" s="16">
        <v>2697105.9034000002</v>
      </c>
      <c r="L5" s="11"/>
      <c r="M5" s="11">
        <v>618357.67000000004</v>
      </c>
      <c r="N5" s="11"/>
      <c r="O5" s="11">
        <v>17397319.126396801</v>
      </c>
      <c r="P5" s="11"/>
      <c r="Q5" s="11">
        <v>16666086.76898</v>
      </c>
      <c r="R5" s="11"/>
      <c r="S5" s="11">
        <v>63724227.302598797</v>
      </c>
      <c r="T5" s="11"/>
      <c r="U5" s="11">
        <v>145660.84302</v>
      </c>
      <c r="V5" s="16"/>
      <c r="W5" s="16">
        <v>365858.00147638301</v>
      </c>
      <c r="X5" s="11"/>
      <c r="Y5" s="11">
        <f t="shared" si="0"/>
        <v>-1035324.3993999995</v>
      </c>
      <c r="Z5" s="11"/>
      <c r="AA5" s="11">
        <f t="shared" si="1"/>
        <v>-33621711.522280306</v>
      </c>
      <c r="AB5" s="11"/>
      <c r="AC5" s="17"/>
      <c r="AD5" s="11">
        <v>4685503118.6782703</v>
      </c>
      <c r="AE5" s="11">
        <v>96.348619912999993</v>
      </c>
      <c r="AF5" s="11">
        <f>AD5*100/AE5</f>
        <v>4863072374.995245</v>
      </c>
      <c r="AG5" s="11"/>
      <c r="AH5" s="18">
        <f>AA5/AF5</f>
        <v>-6.9136769781908049E-3</v>
      </c>
      <c r="AI5" s="14">
        <v>2016</v>
      </c>
      <c r="AJ5" s="19">
        <f>SUM(AB18:AB21)/AVERAGE(AF18:AF21)</f>
        <v>-3.056823862431637E-2</v>
      </c>
      <c r="AK5" s="19"/>
      <c r="AL5" s="19"/>
      <c r="AM5" s="19"/>
      <c r="AN5" s="19"/>
      <c r="AO5" s="11">
        <v>527406836</v>
      </c>
      <c r="AP5" s="11">
        <f>AO5</f>
        <v>527406836</v>
      </c>
      <c r="AQ5" s="21">
        <f>AO5/AF21</f>
        <v>9.6733053127945015E-2</v>
      </c>
      <c r="AR5" s="21">
        <f>AP5/AF21</f>
        <v>9.6733053127945015E-2</v>
      </c>
      <c r="AS5" s="20"/>
      <c r="AT5" s="10">
        <v>10927942</v>
      </c>
      <c r="AV5" s="10">
        <f t="shared" si="3"/>
        <v>-5.0551202001853203E-4</v>
      </c>
      <c r="BC5" s="18">
        <f>S5/AF5</f>
        <v>1.3103697084635945E-2</v>
      </c>
      <c r="BD5" s="10">
        <v>2016</v>
      </c>
      <c r="BE5" s="18">
        <f>SUM(T18:T21)/AVERAGE(AF18:AF21)</f>
        <v>5.685357467336042E-2</v>
      </c>
      <c r="BF5" s="18">
        <f>SUM(P18:P21)/AVERAGE(AF18:AF21)</f>
        <v>1.268066569713725E-2</v>
      </c>
      <c r="BG5" s="18">
        <f>SUM(D18:D21)/AVERAGE(AF18:AF21)</f>
        <v>7.4741147600539543E-2</v>
      </c>
      <c r="BH5" s="18">
        <f>(SUM(H18:H21)+SUM(J18:J21))/AVERAGE(AF18:AF21)</f>
        <v>2.3570041187072876E-5</v>
      </c>
      <c r="BI5" s="19">
        <f t="shared" si="2"/>
        <v>-3.0591808665503442E-2</v>
      </c>
    </row>
    <row r="6" spans="1:61">
      <c r="A6" s="10">
        <v>2014</v>
      </c>
      <c r="B6" s="10">
        <v>4</v>
      </c>
      <c r="C6" s="11">
        <v>83342500.446047202</v>
      </c>
      <c r="D6" s="11"/>
      <c r="E6" s="11">
        <v>15148485.804</v>
      </c>
      <c r="F6" s="11"/>
      <c r="G6" s="12"/>
      <c r="H6" s="12"/>
      <c r="I6" s="12"/>
      <c r="J6" s="15"/>
      <c r="K6" s="16">
        <v>2598760.7445</v>
      </c>
      <c r="L6" s="11"/>
      <c r="M6" s="11">
        <v>597485.603</v>
      </c>
      <c r="N6" s="11"/>
      <c r="O6" s="11">
        <v>16772169.366415</v>
      </c>
      <c r="P6" s="11"/>
      <c r="Q6" s="11">
        <v>20600306.344000001</v>
      </c>
      <c r="R6" s="11"/>
      <c r="S6" s="11">
        <v>78767056.8481365</v>
      </c>
      <c r="T6" s="11"/>
      <c r="U6" s="11">
        <v>143630.44399999999</v>
      </c>
      <c r="V6" s="16"/>
      <c r="W6" s="16">
        <v>360758.22508998099</v>
      </c>
      <c r="X6" s="11"/>
      <c r="Y6" s="11">
        <f t="shared" si="0"/>
        <v>2399204.6364999991</v>
      </c>
      <c r="Z6" s="11"/>
      <c r="AA6" s="11">
        <f t="shared" si="1"/>
        <v>-21347612.964325704</v>
      </c>
      <c r="AB6" s="11"/>
      <c r="AC6" s="17"/>
      <c r="AD6" s="11">
        <v>5010564196.8707304</v>
      </c>
      <c r="AE6" s="11">
        <v>100</v>
      </c>
      <c r="AF6" s="11">
        <f>AD6*100/AE6</f>
        <v>5010564196.8707304</v>
      </c>
      <c r="AG6" s="11"/>
      <c r="AH6" s="18">
        <f>AA6/AF6</f>
        <v>-4.260520796771354E-3</v>
      </c>
      <c r="AI6" s="14">
        <v>2017</v>
      </c>
      <c r="AJ6" s="19">
        <f>SUM(AB22:AB25)/AVERAGE(AF22:AF25)</f>
        <v>-3.5813677564702204E-2</v>
      </c>
      <c r="AK6" s="19"/>
      <c r="AL6" s="19"/>
      <c r="AM6" s="19"/>
      <c r="AN6" s="11">
        <v>46349018</v>
      </c>
      <c r="AO6" s="11">
        <v>580675520</v>
      </c>
      <c r="AP6" s="11">
        <f>AO6</f>
        <v>580675520</v>
      </c>
      <c r="AQ6" s="21">
        <f>AO6/AF25</f>
        <v>0.10103933176461725</v>
      </c>
      <c r="AR6" s="21">
        <f>AP6/AF25</f>
        <v>0.10103933176461725</v>
      </c>
      <c r="AS6" s="20"/>
      <c r="AT6" s="10">
        <v>11163575</v>
      </c>
      <c r="AV6" s="10">
        <f t="shared" si="3"/>
        <v>2.1562431425789046E-2</v>
      </c>
      <c r="BC6" s="18">
        <f>S6/AF6</f>
        <v>1.5720197118186657E-2</v>
      </c>
      <c r="BD6" s="10">
        <v>2017</v>
      </c>
      <c r="BE6" s="18">
        <f>SUM(T22:T25)/AVERAGE(AF22:AF25)</f>
        <v>5.6355570082997818E-2</v>
      </c>
      <c r="BF6" s="18">
        <f>SUM(P22:P25)/AVERAGE(AF22:AF25)</f>
        <v>1.5577359269079334E-2</v>
      </c>
      <c r="BG6" s="18">
        <f>SUM(D22:D25)/AVERAGE(AF22:AF25)</f>
        <v>7.6591888378620687E-2</v>
      </c>
      <c r="BH6" s="18">
        <f>(SUM(H22:H25)+SUM(J22:J25))/AVERAGE(AF22:AF25)</f>
        <v>4.6394536051195531E-4</v>
      </c>
      <c r="BI6" s="19">
        <f t="shared" si="2"/>
        <v>-3.6277622925214158E-2</v>
      </c>
    </row>
    <row r="7" spans="1:61">
      <c r="A7" s="10">
        <v>2015</v>
      </c>
      <c r="B7" s="10">
        <v>1</v>
      </c>
      <c r="C7" s="11">
        <v>87220448.7038403</v>
      </c>
      <c r="D7" s="11"/>
      <c r="E7" s="11">
        <v>15853348.733999999</v>
      </c>
      <c r="F7" s="11"/>
      <c r="G7" s="12"/>
      <c r="H7" s="12"/>
      <c r="I7" s="12"/>
      <c r="J7" s="15"/>
      <c r="K7" s="16">
        <v>3002195.4358999999</v>
      </c>
      <c r="L7" s="11"/>
      <c r="M7" s="11">
        <v>654530.51300000004</v>
      </c>
      <c r="N7" s="11"/>
      <c r="O7" s="11">
        <v>19179435.069263499</v>
      </c>
      <c r="P7" s="11"/>
      <c r="Q7" s="11">
        <v>18139908.10636</v>
      </c>
      <c r="R7" s="11"/>
      <c r="S7" s="11">
        <v>69359510.930272505</v>
      </c>
      <c r="T7" s="11"/>
      <c r="U7" s="11">
        <v>167252.22263999999</v>
      </c>
      <c r="V7" s="16"/>
      <c r="W7" s="16">
        <v>420089.31603637501</v>
      </c>
      <c r="X7" s="11"/>
      <c r="Y7" s="11">
        <f t="shared" si="0"/>
        <v>-1202914.3538999986</v>
      </c>
      <c r="Z7" s="11"/>
      <c r="AA7" s="11">
        <f t="shared" si="1"/>
        <v>-37040372.842831299</v>
      </c>
      <c r="AB7" s="11"/>
      <c r="AC7" s="17"/>
      <c r="AD7" s="11"/>
      <c r="AE7" s="11"/>
      <c r="AF7" s="11"/>
      <c r="AG7" s="11"/>
      <c r="AH7" s="18"/>
      <c r="AI7" s="14">
        <f t="shared" ref="AI7:AI29" si="4">AI6+1</f>
        <v>2018</v>
      </c>
      <c r="AJ7" s="19">
        <f>SUM(AB26:AB29)/AVERAGE(AF26:AF29)</f>
        <v>-3.1864627295122377E-2</v>
      </c>
      <c r="AK7" s="11">
        <v>35499882</v>
      </c>
      <c r="AL7" s="19">
        <f>AK7/AVERAGE(AF26:AF29)</f>
        <v>6.1905012552137149E-3</v>
      </c>
      <c r="AM7" s="19">
        <f>(AF29-AF25)/AF25</f>
        <v>6.5485427403526317E-3</v>
      </c>
      <c r="AN7" s="11">
        <f>+ (((((((((((AN6*((1+AM7)^(1/12))-AK7/12)*((1+AM7)^(1/12))-AK7/12)*((1+AM7)^(1/12))-AK7/12)*((1+AM7)^(1/12))-AK7/12)*((1+AM7)^(1/12))-AK7/12)*((1+AM7)^(1/12))-AK7/12)*((1+AM7)^(1/12))-AK7/12)*((1+AM7)^(1/12))-AK7/12)*((1+AM7)^(1/12))-AK7/12)*((1+AM7)^(1/12))-AK7/12)*((1+AM7)^(1/12))-AK7/12)*((1+AM7)^(1/12))-AK7/12</f>
        <v>11046230.203224363</v>
      </c>
      <c r="AO7" s="11">
        <f t="shared" ref="AO7:AO29" si="5">AO6*(1+AM7)</f>
        <v>584478098.46099651</v>
      </c>
      <c r="AP7" s="11">
        <f>AO7</f>
        <v>584478098.46099651</v>
      </c>
      <c r="AQ7" s="21">
        <f>AO7/AF29</f>
        <v>0.10103933176461725</v>
      </c>
      <c r="AR7" s="21">
        <f>AP7/AF29</f>
        <v>0.10103933176461725</v>
      </c>
      <c r="AT7" s="10">
        <v>11012334</v>
      </c>
      <c r="AV7" s="10">
        <f t="shared" si="3"/>
        <v>-1.3547721048140941E-2</v>
      </c>
      <c r="BC7" s="18">
        <f t="shared" ref="BC7:BC38" si="6">T14/AF14</f>
        <v>1.3827254222720372E-2</v>
      </c>
      <c r="BD7" s="10">
        <f t="shared" ref="BD7:BD29" si="7">BD6+1</f>
        <v>2018</v>
      </c>
      <c r="BE7" s="18">
        <f>SUM(T26:T29)/AVERAGE(AF26:AF29)</f>
        <v>5.617986541871E-2</v>
      </c>
      <c r="BF7" s="18">
        <f>SUM(P26:P29)/AVERAGE(AF26:AF29)</f>
        <v>1.3697848219461597E-2</v>
      </c>
      <c r="BG7" s="18">
        <f>SUM(D26:D29)/AVERAGE(AF26:AF29)</f>
        <v>7.4346644494370784E-2</v>
      </c>
      <c r="BH7" s="18">
        <f>(SUM(H26:H29)+SUM(J26:J29))/AVERAGE(AF26:AF29)</f>
        <v>9.0678396921700384E-4</v>
      </c>
      <c r="BI7" s="19">
        <f t="shared" si="2"/>
        <v>-3.2771411264339384E-2</v>
      </c>
    </row>
    <row r="8" spans="1:61">
      <c r="A8" s="10">
        <v>2015</v>
      </c>
      <c r="B8" s="10">
        <v>2</v>
      </c>
      <c r="C8" s="11">
        <v>94524704.7581871</v>
      </c>
      <c r="D8" s="11"/>
      <c r="E8" s="11">
        <v>17180984.028999999</v>
      </c>
      <c r="F8" s="11"/>
      <c r="G8" s="12"/>
      <c r="H8" s="12"/>
      <c r="I8" s="12"/>
      <c r="J8" s="15"/>
      <c r="K8" s="16">
        <v>2371185.1833000001</v>
      </c>
      <c r="L8" s="11"/>
      <c r="M8" s="11">
        <v>696491.069000002</v>
      </c>
      <c r="N8" s="16"/>
      <c r="O8" s="16">
        <v>16135978.221071601</v>
      </c>
      <c r="P8" s="16"/>
      <c r="Q8" s="11">
        <v>21552530.200959999</v>
      </c>
      <c r="R8" s="11"/>
      <c r="S8" s="11">
        <v>82407967.299702004</v>
      </c>
      <c r="T8" s="16"/>
      <c r="U8" s="16">
        <v>188439.08603999999</v>
      </c>
      <c r="V8" s="16"/>
      <c r="W8" s="16">
        <v>473304.60259085899</v>
      </c>
      <c r="X8" s="11"/>
      <c r="Y8" s="11">
        <f t="shared" si="0"/>
        <v>1492309.0056999996</v>
      </c>
      <c r="Z8" s="11"/>
      <c r="AA8" s="11">
        <f t="shared" si="1"/>
        <v>-28252715.679556698</v>
      </c>
      <c r="AB8" s="11"/>
      <c r="AC8" s="17"/>
      <c r="AD8" s="11"/>
      <c r="AE8" s="11"/>
      <c r="AF8" s="11"/>
      <c r="AG8" s="11"/>
      <c r="AH8" s="18"/>
      <c r="AI8" s="14">
        <f t="shared" si="4"/>
        <v>2019</v>
      </c>
      <c r="AJ8" s="19">
        <f>SUM(AB30:AB33)/AVERAGE(AF30:AF33)</f>
        <v>-3.0966442168072466E-2</v>
      </c>
      <c r="AK8" s="11">
        <v>34418736</v>
      </c>
      <c r="AL8" s="19">
        <f>AK8/AVERAGE(AF30:AF33)</f>
        <v>5.8570672592959871E-3</v>
      </c>
      <c r="AM8" s="19">
        <f>(AF33-AF29)/AF29</f>
        <v>2.4814135792549825E-2</v>
      </c>
      <c r="AN8" s="11">
        <f>((((AN7*((1+AM8)^(1/12))-AK8/12)*((1+AM8)^(1/12))-AK8/12)*((1+AM8)^(1/12))-AK8/12)*((1+AM8)^(1/12))-AK8/12)*((1+AM8)^(1/12))-AK8/12</f>
        <v>-3240282.7807326112</v>
      </c>
      <c r="AO8" s="11">
        <f t="shared" si="5"/>
        <v>598981417.36397898</v>
      </c>
      <c r="AP8" s="11">
        <f>((((((((AO7*((1+AM8)^(4/12)))*((1+AM8)^(1/12))+AN8)*((1+AM8)^(1/12))-AK8/12)*((1+AM8)^(1/12))-AK8/12)*((1+AM8)^(1/12))-AK8/12)*((1+AM8)^(1/12))-AK8/12)*((1+AM8)^(1/12))-AK8/12)*((1+AM8)^(1/12))-AK8/12)*((1+AM8)^(1/12))-AK8/12</f>
        <v>575493297.32673371</v>
      </c>
      <c r="AQ8" s="21">
        <f>AO8/AF33</f>
        <v>0.10103933176461725</v>
      </c>
      <c r="AR8" s="21">
        <f>AP8/AF33</f>
        <v>9.7077232300138774E-2</v>
      </c>
      <c r="AS8" s="20"/>
      <c r="AT8" s="10">
        <v>11082939</v>
      </c>
      <c r="AV8" s="10">
        <f t="shared" si="3"/>
        <v>6.4114473825439729E-3</v>
      </c>
      <c r="BC8" s="18">
        <f t="shared" si="6"/>
        <v>1.492750383483619E-2</v>
      </c>
      <c r="BD8" s="10">
        <f t="shared" si="7"/>
        <v>2019</v>
      </c>
      <c r="BE8" s="18">
        <f>SUM(T30:T33)/AVERAGE(AF30:AF33)</f>
        <v>5.6452513654330586E-2</v>
      </c>
      <c r="BF8" s="18">
        <f>SUM(P30:P33)/AVERAGE(AF30:AF33)</f>
        <v>1.2688891753245017E-2</v>
      </c>
      <c r="BG8" s="18">
        <f>SUM(D30:D33)/AVERAGE(AF30:AF33)</f>
        <v>7.4730064069158011E-2</v>
      </c>
      <c r="BH8" s="18">
        <f>(SUM(H30:H33)+SUM(J30:J33))/AVERAGE(AF30:AF33)</f>
        <v>1.3194056454860848E-3</v>
      </c>
      <c r="BI8" s="19">
        <f t="shared" si="2"/>
        <v>-3.2285847813558553E-2</v>
      </c>
    </row>
    <row r="9" spans="1:61">
      <c r="A9" s="10">
        <v>2016</v>
      </c>
      <c r="B9" s="10">
        <v>2</v>
      </c>
      <c r="C9" s="11">
        <v>97915025.902647793</v>
      </c>
      <c r="D9" s="11"/>
      <c r="E9" s="11">
        <v>17797214.875</v>
      </c>
      <c r="F9" s="11"/>
      <c r="G9" s="12"/>
      <c r="H9" s="12"/>
      <c r="I9" s="12"/>
      <c r="J9" s="15"/>
      <c r="K9" s="16"/>
      <c r="L9" s="11"/>
      <c r="M9" s="11">
        <v>732730.52299999795</v>
      </c>
      <c r="N9" s="16"/>
      <c r="O9" s="16"/>
      <c r="P9" s="16"/>
      <c r="Q9" s="11"/>
      <c r="R9" s="11"/>
      <c r="S9" s="11"/>
      <c r="T9" s="16"/>
      <c r="U9" s="16"/>
      <c r="V9" s="16"/>
      <c r="W9" s="16"/>
      <c r="X9" s="11"/>
      <c r="Y9" s="11"/>
      <c r="Z9" s="11"/>
      <c r="AA9" s="11"/>
      <c r="AB9" s="11"/>
      <c r="AC9" s="17"/>
      <c r="AD9" s="11"/>
      <c r="AE9" s="11"/>
      <c r="AF9" s="11"/>
      <c r="AG9" s="11"/>
      <c r="AH9" s="18"/>
      <c r="AI9" s="14">
        <f t="shared" si="4"/>
        <v>2020</v>
      </c>
      <c r="AJ9" s="19">
        <f>SUM(AB34:AB37)/AVERAGE(AF34:AF37)</f>
        <v>-3.3617813491115318E-2</v>
      </c>
      <c r="AK9" s="11">
        <v>32888832</v>
      </c>
      <c r="AL9" s="19">
        <f>AK9/AVERAGE(AF34:AF37)</f>
        <v>5.5261940475216853E-3</v>
      </c>
      <c r="AM9" s="19">
        <f>(AF37-AF33)/AF33</f>
        <v>1.3146697295046222E-2</v>
      </c>
      <c r="AN9" s="19"/>
      <c r="AO9" s="11">
        <f t="shared" si="5"/>
        <v>606856044.74342096</v>
      </c>
      <c r="AP9" s="11">
        <f t="shared" ref="AP9:AP29" si="8">(((((((((((AP8*((1+AM9)^(1/12))-AK9/12)*((1+AM9)^(1/12))-AK9/12)*((1+AM9)^(1/12))-AK9/12)*((1+AM9)^(1/12))-AK9/12)*((1+AM9)^(1/12))-AK9/12)*((1+AM9)^(1/12))-AK9/12)*((1+AM9)^(1/12))-AK9/12)*((1+AM9)^(1/12))-AK9/12)*((1+AM9)^(1/12))-AK9/12)*((1+AM9)^(1/12))-AK9/12)*((1+AM9)^(1/12))-AK9/12)*((1+AM9)^(1/12))-AK9/12</f>
        <v>549972594.89662194</v>
      </c>
      <c r="AQ9" s="21">
        <f>AO9/AF37</f>
        <v>0.10103933176461725</v>
      </c>
      <c r="AR9" s="21">
        <f>AP9/AF37</f>
        <v>9.1568443551883497E-2</v>
      </c>
      <c r="AT9" s="10">
        <v>11339977</v>
      </c>
      <c r="AV9" s="10">
        <f t="shared" si="3"/>
        <v>2.3192223651145243E-2</v>
      </c>
      <c r="BC9" s="18">
        <f t="shared" si="6"/>
        <v>1.3592051892300453E-2</v>
      </c>
      <c r="BD9" s="10">
        <f t="shared" si="7"/>
        <v>2020</v>
      </c>
      <c r="BE9" s="18">
        <f>SUM(T34:T37)/AVERAGE(AF34:AF37)</f>
        <v>5.6327384511490948E-2</v>
      </c>
      <c r="BF9" s="18">
        <f>SUM(P34:P37)/AVERAGE(AF34:AF37)</f>
        <v>1.2663006949145026E-2</v>
      </c>
      <c r="BG9" s="18">
        <f>SUM(D34:D37)/AVERAGE(AF34:AF37)</f>
        <v>7.7282191053461236E-2</v>
      </c>
      <c r="BH9" s="18">
        <f>(SUM(H34:H37)+SUM(J34:J37))/AVERAGE(AF34:AF37)</f>
        <v>1.7730772399895374E-3</v>
      </c>
      <c r="BI9" s="19">
        <f t="shared" si="2"/>
        <v>-3.5390890731104858E-2</v>
      </c>
    </row>
    <row r="10" spans="1:61">
      <c r="A10" s="10">
        <v>2016</v>
      </c>
      <c r="B10" s="10">
        <v>3</v>
      </c>
      <c r="C10" s="11">
        <v>100917465.84456199</v>
      </c>
      <c r="D10" s="11"/>
      <c r="E10" s="11">
        <v>18342943.715</v>
      </c>
      <c r="F10" s="11"/>
      <c r="G10" s="12"/>
      <c r="H10" s="12"/>
      <c r="I10" s="12"/>
      <c r="J10" s="15"/>
      <c r="K10" s="16"/>
      <c r="L10" s="11"/>
      <c r="M10" s="11">
        <v>775294.91</v>
      </c>
      <c r="N10" s="16"/>
      <c r="O10" s="16"/>
      <c r="P10" s="16"/>
      <c r="Q10" s="11"/>
      <c r="R10" s="11"/>
      <c r="S10" s="11"/>
      <c r="T10" s="16"/>
      <c r="U10" s="11"/>
      <c r="V10" s="16"/>
      <c r="W10" s="16"/>
      <c r="X10" s="11"/>
      <c r="Y10" s="11"/>
      <c r="Z10" s="11"/>
      <c r="AA10" s="11"/>
      <c r="AB10" s="11"/>
      <c r="AC10" s="17"/>
      <c r="AD10" s="11"/>
      <c r="AE10" s="11"/>
      <c r="AF10" s="11"/>
      <c r="AG10" s="11"/>
      <c r="AH10" s="18"/>
      <c r="AI10" s="14">
        <f t="shared" si="4"/>
        <v>2021</v>
      </c>
      <c r="AJ10" s="19">
        <f>SUM(AB38:AB41)/AVERAGE(AF38:AF41)</f>
        <v>-3.3450366276384737E-2</v>
      </c>
      <c r="AK10" s="11">
        <v>31097702</v>
      </c>
      <c r="AL10" s="19">
        <f>AK10/AVERAGE(AF38:AF41)</f>
        <v>5.0908017901965842E-3</v>
      </c>
      <c r="AM10" s="19">
        <f>(AF41-AF37)/AF37</f>
        <v>2.3199204732384345E-2</v>
      </c>
      <c r="AN10" s="19"/>
      <c r="AO10" s="11">
        <f t="shared" si="5"/>
        <v>620934622.36850858</v>
      </c>
      <c r="AP10" s="11">
        <f t="shared" si="8"/>
        <v>531304528.04694694</v>
      </c>
      <c r="AQ10" s="21">
        <f>AO10/AF41</f>
        <v>0.10103933176461725</v>
      </c>
      <c r="AR10" s="21">
        <f>AP10/AF41</f>
        <v>8.6454600119752381E-2</v>
      </c>
      <c r="AT10" s="10">
        <v>11479064</v>
      </c>
      <c r="AV10" s="10">
        <f t="shared" si="3"/>
        <v>1.2265192424993455E-2</v>
      </c>
      <c r="BC10" s="18">
        <f t="shared" si="6"/>
        <v>1.5585340256804837E-2</v>
      </c>
      <c r="BD10" s="10">
        <f t="shared" si="7"/>
        <v>2021</v>
      </c>
      <c r="BE10" s="18">
        <f>SUM(T38:T41)/AVERAGE(AF38:AF41)</f>
        <v>5.6237329156746452E-2</v>
      </c>
      <c r="BF10" s="18">
        <f>SUM(P38:P41)/AVERAGE(AF38:AF41)</f>
        <v>1.2246822650678649E-2</v>
      </c>
      <c r="BG10" s="18">
        <f>SUM(D38:D41)/AVERAGE(AF38:AF41)</f>
        <v>7.7440872782452541E-2</v>
      </c>
      <c r="BH10" s="18">
        <f>(SUM(H38:H41)+SUM(J38:J41))/AVERAGE(AF38:AF41)</f>
        <v>2.2076607690896294E-3</v>
      </c>
      <c r="BI10" s="19">
        <f t="shared" si="2"/>
        <v>-3.5658027045474369E-2</v>
      </c>
    </row>
    <row r="11" spans="1:61">
      <c r="A11" s="10">
        <v>2016</v>
      </c>
      <c r="B11" s="10">
        <v>4</v>
      </c>
      <c r="C11" s="11">
        <v>108710229.285033</v>
      </c>
      <c r="D11" s="11"/>
      <c r="E11" s="11">
        <v>19759371.113000002</v>
      </c>
      <c r="F11" s="11"/>
      <c r="G11" s="12"/>
      <c r="H11" s="12"/>
      <c r="I11" s="12"/>
      <c r="J11" s="15"/>
      <c r="K11" s="16"/>
      <c r="L11" s="11"/>
      <c r="M11" s="11">
        <v>832906.25299999898</v>
      </c>
      <c r="N11" s="16"/>
      <c r="O11" s="16"/>
      <c r="P11" s="11"/>
      <c r="Q11" s="11"/>
      <c r="R11" s="11"/>
      <c r="S11" s="11"/>
      <c r="T11" s="16"/>
      <c r="U11" s="16"/>
      <c r="V11" s="16"/>
      <c r="W11" s="16"/>
      <c r="X11" s="11"/>
      <c r="Y11" s="11"/>
      <c r="Z11" s="11"/>
      <c r="AA11" s="11"/>
      <c r="AB11" s="11"/>
      <c r="AC11" s="17"/>
      <c r="AD11" s="11"/>
      <c r="AE11" s="11"/>
      <c r="AF11" s="11"/>
      <c r="AG11" s="11"/>
      <c r="AH11" s="18"/>
      <c r="AI11" s="14">
        <f t="shared" si="4"/>
        <v>2022</v>
      </c>
      <c r="AJ11" s="19">
        <f>SUM(AB42:AB45)/AVERAGE(AF42:AF45)</f>
        <v>-3.5159689701516589E-2</v>
      </c>
      <c r="AK11" s="11">
        <v>29339483</v>
      </c>
      <c r="AL11" s="19">
        <f>AK11/AVERAGE(AF42:AF45)</f>
        <v>4.753439773841182E-3</v>
      </c>
      <c r="AM11" s="19">
        <f>(AF45-AF41)/AF41</f>
        <v>8.0229647843169487E-3</v>
      </c>
      <c r="AN11" s="19"/>
      <c r="AO11" s="11">
        <f t="shared" si="5"/>
        <v>625916358.97713423</v>
      </c>
      <c r="AP11" s="11">
        <f t="shared" si="8"/>
        <v>506119951.30762666</v>
      </c>
      <c r="AQ11" s="21">
        <f>AO11/AF45</f>
        <v>0.10103933176461724</v>
      </c>
      <c r="AR11" s="21">
        <f>AP11/AF45</f>
        <v>8.170104669645066E-2</v>
      </c>
      <c r="AT11" s="10">
        <v>11462881</v>
      </c>
      <c r="AV11" s="10">
        <f t="shared" si="3"/>
        <v>-1.4097839336029488E-3</v>
      </c>
      <c r="BC11" s="18">
        <f t="shared" si="6"/>
        <v>1.3648937813796651E-2</v>
      </c>
      <c r="BD11" s="10">
        <f t="shared" si="7"/>
        <v>2022</v>
      </c>
      <c r="BE11" s="18">
        <f>SUM(T42:T45)/AVERAGE(AF42:AF45)</f>
        <v>5.6233188704085918E-2</v>
      </c>
      <c r="BF11" s="18">
        <f>SUM(P42:P45)/AVERAGE(AF42:AF45)</f>
        <v>1.2222991993672012E-2</v>
      </c>
      <c r="BG11" s="18">
        <f>SUM(D42:D45)/AVERAGE(AF42:AF45)</f>
        <v>7.9169886411930498E-2</v>
      </c>
      <c r="BH11" s="18">
        <f>(SUM(H42:H45)+SUM(J42:J45))/AVERAGE(AF42:AF45)</f>
        <v>2.7181843607069298E-3</v>
      </c>
      <c r="BI11" s="19">
        <f t="shared" si="2"/>
        <v>-3.7877874062223517E-2</v>
      </c>
    </row>
    <row r="12" spans="1:61" ht="11.5" customHeight="1">
      <c r="A12" s="10">
        <v>2017</v>
      </c>
      <c r="B12" s="10">
        <v>1</v>
      </c>
      <c r="C12" s="11">
        <v>106787377.90249901</v>
      </c>
      <c r="D12" s="11"/>
      <c r="E12" s="11">
        <v>19409869.568</v>
      </c>
      <c r="F12" s="11"/>
      <c r="G12" s="12"/>
      <c r="H12" s="12"/>
      <c r="I12" s="12"/>
      <c r="J12" s="15"/>
      <c r="K12" s="16"/>
      <c r="L12" s="11"/>
      <c r="M12" s="11">
        <v>832988.16000000003</v>
      </c>
      <c r="N12" s="16"/>
      <c r="O12" s="16"/>
      <c r="P12" s="16"/>
      <c r="Q12" s="11"/>
      <c r="R12" s="11"/>
      <c r="S12" s="11"/>
      <c r="T12" s="16"/>
      <c r="U12" s="16"/>
      <c r="V12" s="16"/>
      <c r="W12" s="16"/>
      <c r="X12" s="11"/>
      <c r="Y12" s="11"/>
      <c r="Z12" s="11"/>
      <c r="AA12" s="11"/>
      <c r="AB12" s="11"/>
      <c r="AC12" s="17"/>
      <c r="AD12" s="11"/>
      <c r="AE12" s="11"/>
      <c r="AF12" s="11"/>
      <c r="AG12" s="11"/>
      <c r="AH12" s="18"/>
      <c r="AI12" s="14">
        <f t="shared" si="4"/>
        <v>2023</v>
      </c>
      <c r="AJ12" s="19">
        <f>SUM(AB46:AB49)/AVERAGE(AF46:AF49)</f>
        <v>-3.5369464272163226E-2</v>
      </c>
      <c r="AK12" s="11">
        <v>27622963</v>
      </c>
      <c r="AL12" s="19">
        <f>AK12/AVERAGE(AF46:AF49)</f>
        <v>4.3776819917010967E-3</v>
      </c>
      <c r="AM12" s="19">
        <f>(AF49-AF45)/AF45</f>
        <v>2.4271770246664257E-2</v>
      </c>
      <c r="AN12" s="19"/>
      <c r="AO12" s="11">
        <f t="shared" si="5"/>
        <v>641108457.03585577</v>
      </c>
      <c r="AP12" s="11">
        <f t="shared" si="8"/>
        <v>490475452.72306192</v>
      </c>
      <c r="AQ12" s="21">
        <f>AO12/AF49</f>
        <v>0.10103933176461723</v>
      </c>
      <c r="AR12" s="21">
        <f>AP12/AF49</f>
        <v>7.7299420162405777E-2</v>
      </c>
      <c r="AT12" s="10">
        <v>11332510</v>
      </c>
      <c r="AV12" s="10">
        <f t="shared" si="3"/>
        <v>-1.1373318801791626E-2</v>
      </c>
      <c r="BC12" s="18">
        <f t="shared" si="6"/>
        <v>1.4371126013635358E-2</v>
      </c>
      <c r="BD12" s="10">
        <f t="shared" si="7"/>
        <v>2023</v>
      </c>
      <c r="BE12" s="18">
        <f>SUM(T46:T49)/AVERAGE(AF46:AF49)</f>
        <v>5.6482989682652446E-2</v>
      </c>
      <c r="BF12" s="18">
        <f>SUM(P46:P49)/AVERAGE(AF46:AF49)</f>
        <v>1.198381622723148E-2</v>
      </c>
      <c r="BG12" s="18">
        <f>SUM(D46:D49)/AVERAGE(AF46:AF49)</f>
        <v>7.9868637727584194E-2</v>
      </c>
      <c r="BH12" s="18">
        <f>(SUM(H46:H49)+SUM(J46:J49))/AVERAGE(AF46:AF49)</f>
        <v>3.2069821902987461E-3</v>
      </c>
      <c r="BI12" s="19">
        <f t="shared" si="2"/>
        <v>-3.8576446462461972E-2</v>
      </c>
    </row>
    <row r="13" spans="1:61">
      <c r="C13" s="22"/>
      <c r="E13" s="23"/>
      <c r="F13" s="23"/>
      <c r="G13" s="24"/>
      <c r="H13" s="24"/>
      <c r="I13" s="24"/>
      <c r="J13" s="24"/>
      <c r="K13" s="23"/>
      <c r="L13" s="23"/>
      <c r="M13" s="23"/>
      <c r="N13" s="23"/>
      <c r="O13" s="22"/>
      <c r="P13" s="23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5"/>
      <c r="AD13" s="23"/>
      <c r="AE13" s="23"/>
      <c r="AF13" s="23"/>
      <c r="AG13" s="23"/>
      <c r="AH13" s="20"/>
      <c r="AI13" s="26">
        <f t="shared" si="4"/>
        <v>2024</v>
      </c>
      <c r="AJ13" s="27">
        <f>SUM(AB50:AB53)/AVERAGE(AF50:AF53)</f>
        <v>-3.7547352162403333E-2</v>
      </c>
      <c r="AK13" s="23">
        <v>25980237</v>
      </c>
      <c r="AL13" s="27">
        <f>AK13/AVERAGE(AF50:AF53)</f>
        <v>4.0669742097376423E-3</v>
      </c>
      <c r="AM13" s="27">
        <f>(AF53-AF49)/AF49</f>
        <v>1.2541450530141789E-2</v>
      </c>
      <c r="AN13" s="27"/>
      <c r="AO13" s="23">
        <f t="shared" si="5"/>
        <v>649148887.03422654</v>
      </c>
      <c r="AP13" s="23">
        <f t="shared" si="8"/>
        <v>470497486.72805601</v>
      </c>
      <c r="AQ13" s="28">
        <f>AO13/AF53</f>
        <v>0.10103933176461724</v>
      </c>
      <c r="AR13" s="28">
        <f>AP13/AF53</f>
        <v>7.3232431889586155E-2</v>
      </c>
      <c r="BC13" s="20">
        <f t="shared" si="6"/>
        <v>1.3371306482896899E-2</v>
      </c>
      <c r="BD13">
        <f t="shared" si="7"/>
        <v>2024</v>
      </c>
      <c r="BE13" s="20">
        <f>SUM(T50:T53)/AVERAGE(AF50:AF53)</f>
        <v>5.6284614953414178E-2</v>
      </c>
      <c r="BF13" s="20">
        <f>SUM(P50:P53)/AVERAGE(AF50:AF53)</f>
        <v>1.1983860399001024E-2</v>
      </c>
      <c r="BG13" s="20">
        <f>SUM(D50:D53)/AVERAGE(AF50:AF53)</f>
        <v>8.1848106716816471E-2</v>
      </c>
      <c r="BH13" s="20">
        <f>(SUM(H50:H53)+SUM(J50:J53))/AVERAGE(AF50:AF53)</f>
        <v>3.8268884741600633E-3</v>
      </c>
      <c r="BI13" s="27">
        <f t="shared" si="2"/>
        <v>-4.1374240636563399E-2</v>
      </c>
    </row>
    <row r="14" spans="1:61" s="29" customFormat="1">
      <c r="A14" s="29">
        <v>2015</v>
      </c>
      <c r="B14" s="29">
        <v>1</v>
      </c>
      <c r="C14" s="30"/>
      <c r="D14" s="30">
        <v>94935467.946732298</v>
      </c>
      <c r="E14" s="30"/>
      <c r="F14" s="30">
        <v>17255645.071814399</v>
      </c>
      <c r="G14" s="31">
        <v>0</v>
      </c>
      <c r="H14" s="31">
        <v>0</v>
      </c>
      <c r="I14" s="31">
        <v>0</v>
      </c>
      <c r="J14" s="32">
        <v>0</v>
      </c>
      <c r="K14" s="30"/>
      <c r="L14" s="33">
        <v>2539896.5458378801</v>
      </c>
      <c r="M14" s="33"/>
      <c r="N14" s="33">
        <v>705811.99728036299</v>
      </c>
      <c r="O14" s="30"/>
      <c r="P14" s="30">
        <v>17062704.611343101</v>
      </c>
      <c r="Q14" s="33"/>
      <c r="R14" s="33">
        <v>17864532.400856201</v>
      </c>
      <c r="S14" s="33"/>
      <c r="T14" s="30">
        <v>68306587.984066397</v>
      </c>
      <c r="U14" s="30"/>
      <c r="V14" s="33">
        <v>116424.766458671</v>
      </c>
      <c r="W14" s="33"/>
      <c r="X14" s="33">
        <v>292425.44715261197</v>
      </c>
      <c r="Y14" s="30"/>
      <c r="Z14" s="30">
        <f t="shared" ref="Z14:Z45" si="9">R14+V14-N14-L14-F14</f>
        <v>-2520396.4476177692</v>
      </c>
      <c r="AA14" s="30"/>
      <c r="AB14" s="30">
        <f t="shared" ref="AB14:AB45" si="10">T14-P14-D14</f>
        <v>-43691584.574009001</v>
      </c>
      <c r="AC14" s="17"/>
      <c r="AD14" s="30">
        <v>5092693740.32864</v>
      </c>
      <c r="AE14" s="30">
        <v>103.09103866</v>
      </c>
      <c r="AF14" s="30">
        <f t="shared" ref="AF14:AF25" si="11">AD14*100/AE14</f>
        <v>4939996537.5502996</v>
      </c>
      <c r="AG14" s="30"/>
      <c r="AH14" s="34">
        <f t="shared" ref="AH14:AH45" si="12">AB14/AF14</f>
        <v>-8.8444565177115027E-3</v>
      </c>
      <c r="AI14" s="35">
        <f t="shared" si="4"/>
        <v>2025</v>
      </c>
      <c r="AJ14" s="36">
        <f>SUM(AB54:AB57)/AVERAGE(AF54:AF57)</f>
        <v>-3.9206538223689913E-2</v>
      </c>
      <c r="AK14" s="30">
        <v>24317490</v>
      </c>
      <c r="AL14" s="36">
        <f>AK14/AVERAGE(AF54:AF57)</f>
        <v>3.7588697243440437E-3</v>
      </c>
      <c r="AM14" s="36">
        <f>(AF57-AF53)/AF53</f>
        <v>1.3831125317643715E-2</v>
      </c>
      <c r="AN14" s="36"/>
      <c r="AO14" s="30">
        <f t="shared" si="5"/>
        <v>658127346.64060593</v>
      </c>
      <c r="AP14" s="30">
        <f t="shared" si="8"/>
        <v>452533733.72673422</v>
      </c>
      <c r="AQ14" s="37">
        <f>AO14/AF57</f>
        <v>0.10103933176461725</v>
      </c>
      <c r="AR14" s="37">
        <f>AP14/AF57</f>
        <v>6.9475468980421409E-2</v>
      </c>
      <c r="AU14" s="29">
        <v>11004289</v>
      </c>
      <c r="AW14" s="29">
        <f>(AU14-AT6)/AT6</f>
        <v>-1.4268368331829186E-2</v>
      </c>
      <c r="AX14" s="38">
        <v>6368.9065332603705</v>
      </c>
      <c r="BC14" s="34">
        <f t="shared" si="6"/>
        <v>1.5435953799932048E-2</v>
      </c>
      <c r="BD14" s="29">
        <f t="shared" si="7"/>
        <v>2025</v>
      </c>
      <c r="BE14" s="34">
        <f>SUM(T54:T57)/AVERAGE(AF54:AF57)</f>
        <v>5.6252998467087763E-2</v>
      </c>
      <c r="BF14" s="34">
        <f>SUM(P54:P57)/AVERAGE(AF54:AF57)</f>
        <v>1.1917741503211222E-2</v>
      </c>
      <c r="BG14" s="34">
        <f>SUM(D54:D57)/AVERAGE(AF54:AF57)</f>
        <v>8.3541795187566464E-2</v>
      </c>
      <c r="BH14" s="34">
        <f>(SUM(H54:H57)+SUM(J54:J57))/AVERAGE(AF54:AF57)</f>
        <v>5.1765661238637618E-3</v>
      </c>
      <c r="BI14" s="36">
        <f t="shared" si="2"/>
        <v>-4.4383104347553673E-2</v>
      </c>
    </row>
    <row r="15" spans="1:61" s="39" customFormat="1">
      <c r="A15" s="39">
        <v>2015</v>
      </c>
      <c r="B15" s="39">
        <v>2</v>
      </c>
      <c r="C15" s="40"/>
      <c r="D15" s="40">
        <v>109339014.260114</v>
      </c>
      <c r="E15" s="40"/>
      <c r="F15" s="40">
        <v>19873660.112290099</v>
      </c>
      <c r="G15" s="41">
        <v>0</v>
      </c>
      <c r="H15" s="41">
        <v>0</v>
      </c>
      <c r="I15" s="41">
        <v>0</v>
      </c>
      <c r="J15" s="42">
        <v>0</v>
      </c>
      <c r="K15" s="40"/>
      <c r="L15" s="43">
        <v>2236649.19177722</v>
      </c>
      <c r="M15" s="43"/>
      <c r="N15" s="43">
        <v>815524.15203720704</v>
      </c>
      <c r="O15" s="40"/>
      <c r="P15" s="40">
        <v>16092756.5546983</v>
      </c>
      <c r="Q15" s="43"/>
      <c r="R15" s="43">
        <v>21768919.327668201</v>
      </c>
      <c r="S15" s="43"/>
      <c r="T15" s="40">
        <v>83235349.7985847</v>
      </c>
      <c r="U15" s="40"/>
      <c r="V15" s="43">
        <v>117941.839121197</v>
      </c>
      <c r="W15" s="43"/>
      <c r="X15" s="43">
        <v>296235.896296694</v>
      </c>
      <c r="Y15" s="40"/>
      <c r="Z15" s="40">
        <f t="shared" si="9"/>
        <v>-1038972.2893151268</v>
      </c>
      <c r="AA15" s="40"/>
      <c r="AB15" s="40">
        <f t="shared" si="10"/>
        <v>-42196421.016227603</v>
      </c>
      <c r="AC15" s="17"/>
      <c r="AD15" s="40">
        <v>5951478855.3666</v>
      </c>
      <c r="AE15" s="40">
        <v>106.73436665</v>
      </c>
      <c r="AF15" s="40">
        <f t="shared" si="11"/>
        <v>5575972427.7771788</v>
      </c>
      <c r="AG15" s="40"/>
      <c r="AH15" s="44">
        <f t="shared" si="12"/>
        <v>-7.5675447758713011E-3</v>
      </c>
      <c r="AI15" s="45">
        <f t="shared" si="4"/>
        <v>2026</v>
      </c>
      <c r="AJ15" s="46">
        <f>SUM(AB58:AB61)/AVERAGE(AF58:AF61)</f>
        <v>-3.9550852489668928E-2</v>
      </c>
      <c r="AK15" s="40">
        <v>22722415</v>
      </c>
      <c r="AL15" s="46">
        <f>AK15/AVERAGE(AF58:AF61)</f>
        <v>3.4467722524786936E-3</v>
      </c>
      <c r="AM15" s="46">
        <f>(AF61-AF57)/AF57</f>
        <v>1.9248484644976492E-2</v>
      </c>
      <c r="AN15" s="46"/>
      <c r="AO15" s="40">
        <f t="shared" si="5"/>
        <v>670795300.76685679</v>
      </c>
      <c r="AP15" s="40">
        <f t="shared" si="8"/>
        <v>438322135.22524327</v>
      </c>
      <c r="AQ15" s="47">
        <f>AO15/AF61</f>
        <v>0.10103933176461725</v>
      </c>
      <c r="AR15" s="47">
        <f>AP15/AF61</f>
        <v>6.6022787563014773E-2</v>
      </c>
      <c r="AU15" s="39">
        <v>11039157</v>
      </c>
      <c r="AW15" s="39">
        <f t="shared" ref="AW15:AW46" si="13">(AU15-AU14)/AU14</f>
        <v>3.1685827226093388E-3</v>
      </c>
      <c r="AX15" s="48">
        <v>6691.6267211455697</v>
      </c>
      <c r="AY15" s="44">
        <f t="shared" ref="AY15:AY46" si="14">(AX15-AX14)/AX14</f>
        <v>5.0671208032313883E-2</v>
      </c>
      <c r="BC15" s="44">
        <f t="shared" si="6"/>
        <v>1.3822787597134715E-2</v>
      </c>
      <c r="BD15" s="39">
        <f t="shared" si="7"/>
        <v>2026</v>
      </c>
      <c r="BE15" s="44">
        <f>SUM(T58:T61)/AVERAGE(AF58:AF61)</f>
        <v>5.6026259057588221E-2</v>
      </c>
      <c r="BF15" s="44">
        <f>SUM(P58:P61)/AVERAGE(AF58:AF61)</f>
        <v>1.1723945660729318E-2</v>
      </c>
      <c r="BG15" s="44">
        <f>SUM(D58:D61)/AVERAGE(AF58:AF61)</f>
        <v>8.3853165886527817E-2</v>
      </c>
      <c r="BH15" s="44">
        <f>(SUM(H58:H61)+SUM(J58:J61))/AVERAGE(AF58:AF61)</f>
        <v>6.6651125587068654E-3</v>
      </c>
      <c r="BI15" s="46">
        <f t="shared" si="2"/>
        <v>-4.6215965048375794E-2</v>
      </c>
    </row>
    <row r="16" spans="1:61" s="39" customFormat="1">
      <c r="A16" s="39">
        <v>2015</v>
      </c>
      <c r="B16" s="39">
        <v>3</v>
      </c>
      <c r="C16" s="40"/>
      <c r="D16" s="40">
        <v>106210928.692734</v>
      </c>
      <c r="E16" s="40"/>
      <c r="F16" s="40">
        <v>19305093.532566201</v>
      </c>
      <c r="G16" s="41">
        <v>0</v>
      </c>
      <c r="H16" s="41">
        <v>0</v>
      </c>
      <c r="I16" s="41">
        <v>0</v>
      </c>
      <c r="J16" s="42">
        <v>0</v>
      </c>
      <c r="K16" s="40"/>
      <c r="L16" s="43">
        <v>2734803.8185367598</v>
      </c>
      <c r="M16" s="43"/>
      <c r="N16" s="43">
        <v>793894.77475975105</v>
      </c>
      <c r="O16" s="40"/>
      <c r="P16" s="40">
        <v>18558684.828998402</v>
      </c>
      <c r="Q16" s="43"/>
      <c r="R16" s="43">
        <v>20018134.0063628</v>
      </c>
      <c r="S16" s="43"/>
      <c r="T16" s="40">
        <v>76541070.379033193</v>
      </c>
      <c r="U16" s="40"/>
      <c r="V16" s="43">
        <v>123359.29092606</v>
      </c>
      <c r="W16" s="43"/>
      <c r="X16" s="43">
        <v>309842.97333581501</v>
      </c>
      <c r="Y16" s="40"/>
      <c r="Z16" s="40">
        <f t="shared" si="9"/>
        <v>-2692298.8285738509</v>
      </c>
      <c r="AA16" s="40"/>
      <c r="AB16" s="40">
        <f t="shared" si="10"/>
        <v>-48228543.142699212</v>
      </c>
      <c r="AC16" s="17"/>
      <c r="AD16" s="40">
        <v>6221730755.7715998</v>
      </c>
      <c r="AE16" s="40">
        <v>110.48458934999999</v>
      </c>
      <c r="AF16" s="40">
        <f t="shared" si="11"/>
        <v>5631310929.7641611</v>
      </c>
      <c r="AG16" s="40"/>
      <c r="AH16" s="44">
        <f t="shared" si="12"/>
        <v>-8.5643545071873734E-3</v>
      </c>
      <c r="AI16" s="45">
        <f t="shared" si="4"/>
        <v>2027</v>
      </c>
      <c r="AJ16" s="46">
        <f>SUM(AB62:AB65)/AVERAGE(AF62:AF65)</f>
        <v>-3.9774079635918523E-2</v>
      </c>
      <c r="AK16" s="40">
        <v>21166877</v>
      </c>
      <c r="AL16" s="46">
        <f>AK16/AVERAGE(AF62:AF65)</f>
        <v>3.1462885057708711E-3</v>
      </c>
      <c r="AM16" s="46">
        <f>(AF65-AF61)/AF61</f>
        <v>1.719107342893017E-2</v>
      </c>
      <c r="AN16" s="46"/>
      <c r="AO16" s="40">
        <f t="shared" si="5"/>
        <v>682326992.0381211</v>
      </c>
      <c r="AP16" s="40">
        <f t="shared" si="8"/>
        <v>424524220.56205744</v>
      </c>
      <c r="AQ16" s="47">
        <f>AO16/AF65</f>
        <v>0.10103933176461725</v>
      </c>
      <c r="AR16" s="47">
        <f>AP16/AF65</f>
        <v>6.2863764828299265E-2</v>
      </c>
      <c r="AU16" s="39">
        <v>11069835</v>
      </c>
      <c r="AW16" s="39">
        <f t="shared" si="13"/>
        <v>2.7790165499050334E-3</v>
      </c>
      <c r="AX16" s="48">
        <v>6984.1911310188098</v>
      </c>
      <c r="AY16" s="44">
        <f t="shared" si="14"/>
        <v>4.3720969812726586E-2</v>
      </c>
      <c r="BC16" s="44">
        <f t="shared" si="6"/>
        <v>1.4452308760858802E-2</v>
      </c>
      <c r="BD16" s="39">
        <f t="shared" si="7"/>
        <v>2027</v>
      </c>
      <c r="BE16" s="44">
        <f>SUM(T62:T65)/AVERAGE(AF62:AF65)</f>
        <v>5.6039231715110147E-2</v>
      </c>
      <c r="BF16" s="44">
        <f>SUM(P62:P65)/AVERAGE(AF62:AF65)</f>
        <v>1.156970134446662E-2</v>
      </c>
      <c r="BG16" s="44">
        <f>SUM(D62:D65)/AVERAGE(AF62:AF65)</f>
        <v>8.4243610006562053E-2</v>
      </c>
      <c r="BH16" s="44">
        <f>(SUM(H62:H65)+SUM(J62:J65))/AVERAGE(AF62:AF65)</f>
        <v>8.2413060182446873E-3</v>
      </c>
      <c r="BI16" s="46">
        <f t="shared" si="2"/>
        <v>-4.801538565416321E-2</v>
      </c>
    </row>
    <row r="17" spans="1:61" s="39" customFormat="1">
      <c r="A17" s="39">
        <v>2015</v>
      </c>
      <c r="B17" s="39">
        <v>4</v>
      </c>
      <c r="C17" s="40"/>
      <c r="D17" s="40">
        <v>114771012.910385</v>
      </c>
      <c r="E17" s="40"/>
      <c r="F17" s="40">
        <v>20860990.166767199</v>
      </c>
      <c r="G17" s="41">
        <v>0</v>
      </c>
      <c r="H17" s="41">
        <v>0</v>
      </c>
      <c r="I17" s="41">
        <v>0</v>
      </c>
      <c r="J17" s="42">
        <v>0</v>
      </c>
      <c r="K17" s="40"/>
      <c r="L17" s="43">
        <v>2602828.7029223</v>
      </c>
      <c r="M17" s="43"/>
      <c r="N17" s="43">
        <v>858883.92639526003</v>
      </c>
      <c r="O17" s="40"/>
      <c r="P17" s="40">
        <v>18231416.464090601</v>
      </c>
      <c r="Q17" s="43"/>
      <c r="R17" s="43">
        <v>23064733.3455512</v>
      </c>
      <c r="S17" s="43"/>
      <c r="T17" s="40">
        <v>88190007.006364107</v>
      </c>
      <c r="U17" s="40"/>
      <c r="V17" s="43">
        <v>115904.1045511</v>
      </c>
      <c r="W17" s="43"/>
      <c r="X17" s="43">
        <v>291117.69455178798</v>
      </c>
      <c r="Y17" s="40"/>
      <c r="Z17" s="40">
        <f t="shared" si="9"/>
        <v>-1142065.3459824584</v>
      </c>
      <c r="AA17" s="40"/>
      <c r="AB17" s="40">
        <f t="shared" si="10"/>
        <v>-44812422.368111491</v>
      </c>
      <c r="AC17" s="17"/>
      <c r="AD17" s="40">
        <v>6552140231.3025303</v>
      </c>
      <c r="AE17" s="40">
        <v>115.79241048</v>
      </c>
      <c r="AF17" s="40">
        <f t="shared" si="11"/>
        <v>5658523044.9401817</v>
      </c>
      <c r="AG17" s="40"/>
      <c r="AH17" s="44">
        <f t="shared" si="12"/>
        <v>-7.919455662230181E-3</v>
      </c>
      <c r="AI17" s="45">
        <f t="shared" si="4"/>
        <v>2028</v>
      </c>
      <c r="AJ17" s="46">
        <f>SUM(AB66:AB69)/AVERAGE(AF66:AF69)</f>
        <v>-4.1433253430784731E-2</v>
      </c>
      <c r="AK17" s="40">
        <v>19655418</v>
      </c>
      <c r="AL17" s="46">
        <f>AK17/AVERAGE(AF66:AF69)</f>
        <v>2.8980898193299268E-3</v>
      </c>
      <c r="AM17" s="46">
        <f>(AF69-AF65)/AF65</f>
        <v>5.2394740128427295E-3</v>
      </c>
      <c r="AN17" s="46"/>
      <c r="AO17" s="40">
        <f t="shared" si="5"/>
        <v>685902026.58116603</v>
      </c>
      <c r="AP17" s="40">
        <f t="shared" si="8"/>
        <v>407045929.69610089</v>
      </c>
      <c r="AQ17" s="47">
        <f>AO17/AF69</f>
        <v>0.10103933176461725</v>
      </c>
      <c r="AR17" s="47">
        <f>AP17/AF69</f>
        <v>5.9961404311632514E-2</v>
      </c>
      <c r="AU17" s="39">
        <v>11079853</v>
      </c>
      <c r="AW17" s="39">
        <f t="shared" si="13"/>
        <v>9.0498187190685316E-4</v>
      </c>
      <c r="AX17" s="48">
        <v>6967.8308273951197</v>
      </c>
      <c r="AY17" s="44">
        <f t="shared" si="14"/>
        <v>-2.3424765039761273E-3</v>
      </c>
      <c r="BC17" s="44">
        <f t="shared" si="6"/>
        <v>1.3109477068090986E-2</v>
      </c>
      <c r="BD17" s="39">
        <f t="shared" si="7"/>
        <v>2028</v>
      </c>
      <c r="BE17" s="44">
        <f>SUM(T66:T69)/AVERAGE(AF66:AF69)</f>
        <v>5.6263072886729659E-2</v>
      </c>
      <c r="BF17" s="44">
        <f>SUM(P66:P69)/AVERAGE(AF66:AF69)</f>
        <v>1.1701272909990406E-2</v>
      </c>
      <c r="BG17" s="44">
        <f>SUM(D66:D69)/AVERAGE(AF66:AF69)</f>
        <v>8.5995053407523989E-2</v>
      </c>
      <c r="BH17" s="44">
        <f>(SUM(H66:H69)+SUM(J66:J69))/AVERAGE(AF66:AF69)</f>
        <v>9.8734173623771446E-3</v>
      </c>
      <c r="BI17" s="46">
        <f t="shared" si="2"/>
        <v>-5.1306670793161875E-2</v>
      </c>
    </row>
    <row r="18" spans="1:61" s="29" customFormat="1">
      <c r="A18" s="29">
        <f t="shared" ref="A18:A49" si="15">A14+1</f>
        <v>2016</v>
      </c>
      <c r="B18" s="29">
        <f t="shared" ref="B18:B49" si="16">B14</f>
        <v>1</v>
      </c>
      <c r="C18" s="30"/>
      <c r="D18" s="30">
        <v>100240264.60821301</v>
      </c>
      <c r="E18" s="30"/>
      <c r="F18" s="30">
        <v>18219854.6591102</v>
      </c>
      <c r="G18" s="31">
        <v>0</v>
      </c>
      <c r="H18" s="31">
        <v>0</v>
      </c>
      <c r="I18" s="31">
        <v>0</v>
      </c>
      <c r="J18" s="32">
        <v>0</v>
      </c>
      <c r="K18" s="30"/>
      <c r="L18" s="33">
        <v>2640788.5999428201</v>
      </c>
      <c r="M18" s="33"/>
      <c r="N18" s="33">
        <v>746581.10841980204</v>
      </c>
      <c r="O18" s="30"/>
      <c r="P18" s="30">
        <v>17810533.580371</v>
      </c>
      <c r="Q18" s="33"/>
      <c r="R18" s="33">
        <v>18956103.483738702</v>
      </c>
      <c r="S18" s="33"/>
      <c r="T18" s="30">
        <v>72480304.627789095</v>
      </c>
      <c r="U18" s="30"/>
      <c r="V18" s="33">
        <v>109424.910354893</v>
      </c>
      <c r="W18" s="33"/>
      <c r="X18" s="33">
        <v>274843.82673443598</v>
      </c>
      <c r="Y18" s="30"/>
      <c r="Z18" s="30">
        <f t="shared" si="9"/>
        <v>-2541695.9733792264</v>
      </c>
      <c r="AA18" s="30"/>
      <c r="AB18" s="30">
        <f t="shared" si="10"/>
        <v>-45570493.560794912</v>
      </c>
      <c r="AC18" s="17"/>
      <c r="AD18" s="30">
        <v>6962845278.2518702</v>
      </c>
      <c r="AE18" s="30">
        <v>131.11898839</v>
      </c>
      <c r="AF18" s="30">
        <f t="shared" si="11"/>
        <v>5310325654.3908043</v>
      </c>
      <c r="AG18" s="30"/>
      <c r="AH18" s="34">
        <f t="shared" si="12"/>
        <v>-8.5814875634068286E-3</v>
      </c>
      <c r="AI18" s="35">
        <f t="shared" si="4"/>
        <v>2029</v>
      </c>
      <c r="AJ18" s="36">
        <f>SUM(AB70:AB73)/AVERAGE(AF70:AF73)</f>
        <v>-4.2787092723387966E-2</v>
      </c>
      <c r="AK18" s="30">
        <v>18224737</v>
      </c>
      <c r="AL18" s="36">
        <f>AK18/AVERAGE(AF70:AF73)</f>
        <v>2.6540012951191002E-3</v>
      </c>
      <c r="AM18" s="36">
        <f>(AF73-AF69)/AF69</f>
        <v>1.8793519059288805E-2</v>
      </c>
      <c r="AN18" s="36"/>
      <c r="AO18" s="30">
        <f t="shared" si="5"/>
        <v>698792539.39052391</v>
      </c>
      <c r="AP18" s="30">
        <f t="shared" si="8"/>
        <v>396314563.52279335</v>
      </c>
      <c r="AQ18" s="37">
        <f>AO18/AF73</f>
        <v>0.10103933176461724</v>
      </c>
      <c r="AR18" s="37">
        <f>AP18/AF73</f>
        <v>5.7303643656319223E-2</v>
      </c>
      <c r="AU18" s="29">
        <v>11091626</v>
      </c>
      <c r="AW18" s="29">
        <f t="shared" si="13"/>
        <v>1.0625592234842828E-3</v>
      </c>
      <c r="AX18" s="38">
        <v>6546.8359095504502</v>
      </c>
      <c r="AY18" s="34">
        <f t="shared" si="14"/>
        <v>-6.0419796099162169E-2</v>
      </c>
      <c r="BC18" s="34">
        <f t="shared" si="6"/>
        <v>1.4943361760088749E-2</v>
      </c>
      <c r="BD18" s="29">
        <f t="shared" si="7"/>
        <v>2029</v>
      </c>
      <c r="BE18" s="34">
        <f>SUM(T70:T73)/AVERAGE(AF70:AF73)</f>
        <v>5.6252926066627768E-2</v>
      </c>
      <c r="BF18" s="34">
        <f>SUM(P70:P73)/AVERAGE(AF70:AF73)</f>
        <v>1.1805805529218756E-2</v>
      </c>
      <c r="BG18" s="34">
        <f>SUM(D70:D73)/AVERAGE(AF70:AF73)</f>
        <v>8.7234213260796986E-2</v>
      </c>
      <c r="BH18" s="34">
        <f>(SUM(H70:H73)+SUM(J70:J73))/AVERAGE(AF70:AF73)</f>
        <v>1.1333630787509052E-2</v>
      </c>
      <c r="BI18" s="36">
        <f t="shared" si="2"/>
        <v>-5.4120723510897015E-2</v>
      </c>
    </row>
    <row r="19" spans="1:61" s="39" customFormat="1">
      <c r="A19" s="39">
        <f t="shared" si="15"/>
        <v>2016</v>
      </c>
      <c r="B19" s="39">
        <f t="shared" si="16"/>
        <v>2</v>
      </c>
      <c r="C19" s="40"/>
      <c r="D19" s="40">
        <v>103301064.511197</v>
      </c>
      <c r="E19" s="40"/>
      <c r="F19" s="40">
        <v>18776191.272854801</v>
      </c>
      <c r="G19" s="41">
        <v>0</v>
      </c>
      <c r="H19" s="41">
        <v>0</v>
      </c>
      <c r="I19" s="41">
        <v>0</v>
      </c>
      <c r="J19" s="42">
        <v>0</v>
      </c>
      <c r="K19" s="40"/>
      <c r="L19" s="43">
        <v>2248745.6258871201</v>
      </c>
      <c r="M19" s="43"/>
      <c r="N19" s="43">
        <v>770770.993377637</v>
      </c>
      <c r="O19" s="40"/>
      <c r="P19" s="40">
        <v>15909306.3341702</v>
      </c>
      <c r="Q19" s="43"/>
      <c r="R19" s="43">
        <v>21350096.797455899</v>
      </c>
      <c r="S19" s="43"/>
      <c r="T19" s="40">
        <v>81633945.554257199</v>
      </c>
      <c r="U19" s="40"/>
      <c r="V19" s="43">
        <v>106122.576781039</v>
      </c>
      <c r="W19" s="43"/>
      <c r="X19" s="43">
        <v>266549.31688610499</v>
      </c>
      <c r="Y19" s="40"/>
      <c r="Z19" s="40">
        <f t="shared" si="9"/>
        <v>-339488.51788261905</v>
      </c>
      <c r="AA19" s="40"/>
      <c r="AB19" s="40">
        <f t="shared" si="10"/>
        <v>-37576425.291110002</v>
      </c>
      <c r="AC19" s="17"/>
      <c r="AD19" s="40">
        <v>8401125356.75455</v>
      </c>
      <c r="AE19" s="40">
        <v>147.89635652000001</v>
      </c>
      <c r="AF19" s="40">
        <f t="shared" si="11"/>
        <v>5680414010.4820404</v>
      </c>
      <c r="AG19" s="40"/>
      <c r="AH19" s="44">
        <f t="shared" si="12"/>
        <v>-6.6150856648424577E-3</v>
      </c>
      <c r="AI19" s="45">
        <f t="shared" si="4"/>
        <v>2030</v>
      </c>
      <c r="AJ19" s="46">
        <f>SUM(AB74:AB77)/AVERAGE(AF74:AF77)</f>
        <v>-4.3022772984221302E-2</v>
      </c>
      <c r="AK19" s="40">
        <v>16823953</v>
      </c>
      <c r="AL19" s="46">
        <f>AK19/AVERAGE(AF74:AF77)</f>
        <v>2.3992805701265056E-3</v>
      </c>
      <c r="AM19" s="46">
        <f>(AF77-AF73)/AF73</f>
        <v>2.2513170734406406E-2</v>
      </c>
      <c r="AN19" s="46"/>
      <c r="AO19" s="40">
        <f t="shared" si="5"/>
        <v>714524575.13775218</v>
      </c>
      <c r="AP19" s="40">
        <f t="shared" si="8"/>
        <v>388240007.20653522</v>
      </c>
      <c r="AQ19" s="47">
        <f>AO19/AF77</f>
        <v>0.10103933176461724</v>
      </c>
      <c r="AR19" s="47">
        <f>AP19/AF77</f>
        <v>5.4900156352041339E-2</v>
      </c>
      <c r="AU19" s="39">
        <v>11171229</v>
      </c>
      <c r="AW19" s="39">
        <f t="shared" si="13"/>
        <v>7.1768557648806408E-3</v>
      </c>
      <c r="AX19" s="48">
        <v>6356.20465033455</v>
      </c>
      <c r="AY19" s="44">
        <f t="shared" si="14"/>
        <v>-2.9118075028856223E-2</v>
      </c>
      <c r="BC19" s="44">
        <f t="shared" si="6"/>
        <v>1.3122013834968506E-2</v>
      </c>
      <c r="BD19" s="39">
        <f t="shared" si="7"/>
        <v>2030</v>
      </c>
      <c r="BE19" s="44">
        <f>SUM(T74:T77)/AVERAGE(AF74:AF77)</f>
        <v>5.5994721443903953E-2</v>
      </c>
      <c r="BF19" s="44">
        <f>SUM(P74:P77)/AVERAGE(AF74:AF77)</f>
        <v>1.1745089298449536E-2</v>
      </c>
      <c r="BG19" s="44">
        <f>SUM(D74:D77)/AVERAGE(AF74:AF77)</f>
        <v>8.7272405129675726E-2</v>
      </c>
      <c r="BH19" s="44">
        <f>(SUM(H74:H77)+SUM(J74:J77))/AVERAGE(AF74:AF77)</f>
        <v>1.255743753911919E-2</v>
      </c>
      <c r="BI19" s="46">
        <f t="shared" si="2"/>
        <v>-5.5580210523340494E-2</v>
      </c>
    </row>
    <row r="20" spans="1:61" s="39" customFormat="1">
      <c r="A20" s="39">
        <f t="shared" si="15"/>
        <v>2016</v>
      </c>
      <c r="B20" s="39">
        <f t="shared" si="16"/>
        <v>3</v>
      </c>
      <c r="C20" s="40"/>
      <c r="D20" s="40">
        <v>97904122.827609494</v>
      </c>
      <c r="E20" s="40"/>
      <c r="F20" s="40">
        <v>17795233.237049598</v>
      </c>
      <c r="G20" s="41">
        <v>0</v>
      </c>
      <c r="H20" s="41">
        <v>0</v>
      </c>
      <c r="I20" s="41">
        <v>0</v>
      </c>
      <c r="J20" s="42">
        <v>0</v>
      </c>
      <c r="K20" s="40"/>
      <c r="L20" s="43">
        <v>1926072.42011175</v>
      </c>
      <c r="M20" s="43"/>
      <c r="N20" s="43">
        <v>731080.45248197403</v>
      </c>
      <c r="O20" s="40"/>
      <c r="P20" s="40">
        <v>14016587.8900728</v>
      </c>
      <c r="Q20" s="43"/>
      <c r="R20" s="43">
        <v>18954291.2400463</v>
      </c>
      <c r="S20" s="43"/>
      <c r="T20" s="40">
        <v>72473375.356961295</v>
      </c>
      <c r="U20" s="40"/>
      <c r="V20" s="43">
        <v>115976.965700388</v>
      </c>
      <c r="W20" s="43"/>
      <c r="X20" s="43">
        <v>291300.700752348</v>
      </c>
      <c r="Y20" s="40"/>
      <c r="Z20" s="40">
        <f t="shared" si="9"/>
        <v>-1382117.9038966335</v>
      </c>
      <c r="AA20" s="40"/>
      <c r="AB20" s="40">
        <f t="shared" si="10"/>
        <v>-39447335.360721</v>
      </c>
      <c r="AC20" s="17"/>
      <c r="AD20" s="40">
        <v>8448889759.2748203</v>
      </c>
      <c r="AE20" s="40">
        <v>155.88165151000001</v>
      </c>
      <c r="AF20" s="40">
        <f t="shared" si="11"/>
        <v>5420066876.0125456</v>
      </c>
      <c r="AG20" s="40"/>
      <c r="AH20" s="44">
        <f t="shared" si="12"/>
        <v>-7.2780163535070179E-3</v>
      </c>
      <c r="AI20" s="45">
        <f t="shared" si="4"/>
        <v>2031</v>
      </c>
      <c r="AJ20" s="46">
        <f>SUM(AB78:AB81)/AVERAGE(AF78:AF81)</f>
        <v>-4.3628638962691139E-2</v>
      </c>
      <c r="AK20" s="40">
        <v>15471816</v>
      </c>
      <c r="AL20" s="46">
        <f>AK20/AVERAGE(AF78:AF81)</f>
        <v>2.1772813400991625E-3</v>
      </c>
      <c r="AM20" s="46">
        <f>(AF81-AF77)/AF77</f>
        <v>7.8875827457781204E-3</v>
      </c>
      <c r="AN20" s="46"/>
      <c r="AO20" s="40">
        <f t="shared" si="5"/>
        <v>720160446.84804308</v>
      </c>
      <c r="AP20" s="40">
        <f t="shared" si="8"/>
        <v>375774612.91929287</v>
      </c>
      <c r="AQ20" s="47">
        <f>AO20/AF81</f>
        <v>0.10103933176461724</v>
      </c>
      <c r="AR20" s="47">
        <f>AP20/AF81</f>
        <v>5.2721606622037197E-2</v>
      </c>
      <c r="AU20" s="39">
        <v>11262070</v>
      </c>
      <c r="AW20" s="39">
        <f t="shared" si="13"/>
        <v>8.1316925827946054E-3</v>
      </c>
      <c r="AX20" s="48">
        <v>6421.7509021330998</v>
      </c>
      <c r="AY20" s="44">
        <f t="shared" si="14"/>
        <v>1.0312168252024391E-2</v>
      </c>
      <c r="BC20" s="44">
        <f t="shared" si="6"/>
        <v>1.4954098156535367E-2</v>
      </c>
      <c r="BD20" s="39">
        <f t="shared" si="7"/>
        <v>2031</v>
      </c>
      <c r="BE20" s="44">
        <f>SUM(T78:T81)/AVERAGE(AF78:AF81)</f>
        <v>5.6204418433038347E-2</v>
      </c>
      <c r="BF20" s="44">
        <f>SUM(P78:P81)/AVERAGE(AF78:AF81)</f>
        <v>1.163285598510037E-2</v>
      </c>
      <c r="BG20" s="44">
        <f>SUM(D78:D81)/AVERAGE(AF78:AF81)</f>
        <v>8.820020141062912E-2</v>
      </c>
      <c r="BH20" s="44">
        <f>(SUM(H78:H81)+SUM(J78:J81))/AVERAGE(AF78:AF81)</f>
        <v>1.3754750982946845E-2</v>
      </c>
      <c r="BI20" s="46">
        <f t="shared" si="2"/>
        <v>-5.7383389945637985E-2</v>
      </c>
    </row>
    <row r="21" spans="1:61" s="39" customFormat="1">
      <c r="A21" s="39">
        <f t="shared" si="15"/>
        <v>2016</v>
      </c>
      <c r="B21" s="39">
        <f t="shared" si="16"/>
        <v>4</v>
      </c>
      <c r="C21" s="40"/>
      <c r="D21" s="40">
        <v>107070882.147548</v>
      </c>
      <c r="E21" s="40"/>
      <c r="F21" s="40">
        <v>19461400.252441101</v>
      </c>
      <c r="G21" s="41">
        <v>22714</v>
      </c>
      <c r="H21" s="41">
        <v>124965.72628654201</v>
      </c>
      <c r="I21" s="41">
        <v>702</v>
      </c>
      <c r="J21" s="42">
        <v>3862.1968765145998</v>
      </c>
      <c r="K21" s="40"/>
      <c r="L21" s="43">
        <v>3308222.0510012801</v>
      </c>
      <c r="M21" s="43"/>
      <c r="N21" s="43">
        <v>800938.06766757404</v>
      </c>
      <c r="O21" s="40"/>
      <c r="P21" s="40">
        <v>21572904.882643901</v>
      </c>
      <c r="Q21" s="43"/>
      <c r="R21" s="43">
        <v>22010676.469193202</v>
      </c>
      <c r="S21" s="43"/>
      <c r="T21" s="40">
        <v>84159729.182707801</v>
      </c>
      <c r="U21" s="40"/>
      <c r="V21" s="43">
        <v>116561.02930682201</v>
      </c>
      <c r="W21" s="43"/>
      <c r="X21" s="43">
        <v>292767.70014149998</v>
      </c>
      <c r="Y21" s="40"/>
      <c r="Z21" s="40">
        <f t="shared" si="9"/>
        <v>-1443322.872609932</v>
      </c>
      <c r="AA21" s="40"/>
      <c r="AB21" s="40">
        <f t="shared" si="10"/>
        <v>-44484057.847484104</v>
      </c>
      <c r="AC21" s="17"/>
      <c r="AD21" s="40">
        <v>8942134800.3519897</v>
      </c>
      <c r="AE21" s="40">
        <v>164.01000929</v>
      </c>
      <c r="AF21" s="40">
        <f t="shared" si="11"/>
        <v>5452188460.364418</v>
      </c>
      <c r="AG21" s="40"/>
      <c r="AH21" s="44">
        <f t="shared" si="12"/>
        <v>-8.1589362089862245E-3</v>
      </c>
      <c r="AI21" s="45">
        <f t="shared" si="4"/>
        <v>2032</v>
      </c>
      <c r="AJ21" s="46">
        <f>SUM(AB82:AB85)/AVERAGE(AF82:AF85)</f>
        <v>-4.6338221262851122E-2</v>
      </c>
      <c r="AK21" s="40">
        <v>14168357</v>
      </c>
      <c r="AL21" s="46">
        <f>AK21/AVERAGE(AF82:AF85)</f>
        <v>1.986076976047778E-3</v>
      </c>
      <c r="AM21" s="46">
        <f>(AF85-AF81)/AF81</f>
        <v>6.0318894621017895E-3</v>
      </c>
      <c r="AN21" s="46"/>
      <c r="AO21" s="40">
        <f t="shared" si="5"/>
        <v>724504375.05840838</v>
      </c>
      <c r="AP21" s="40">
        <f t="shared" si="8"/>
        <v>363833759.31218344</v>
      </c>
      <c r="AQ21" s="47">
        <f>AO21/AF85</f>
        <v>0.10103933176461724</v>
      </c>
      <c r="AR21" s="47">
        <f>AP21/AF85</f>
        <v>5.0740231777548543E-2</v>
      </c>
      <c r="AU21" s="39">
        <v>11267048</v>
      </c>
      <c r="AW21" s="39">
        <f t="shared" si="13"/>
        <v>4.4201465627544492E-4</v>
      </c>
      <c r="AX21" s="48">
        <v>6485.7556979742603</v>
      </c>
      <c r="AY21" s="44">
        <f t="shared" si="14"/>
        <v>9.9668761396366559E-3</v>
      </c>
      <c r="BC21" s="44">
        <f t="shared" si="6"/>
        <v>1.3135789985320799E-2</v>
      </c>
      <c r="BD21" s="39">
        <f t="shared" si="7"/>
        <v>2032</v>
      </c>
      <c r="BE21" s="44">
        <f>SUM(T82:T85)/AVERAGE(AF82:AF85)</f>
        <v>5.6068496259301846E-2</v>
      </c>
      <c r="BF21" s="44">
        <f>SUM(P82:P85)/AVERAGE(AF82:AF85)</f>
        <v>1.1873086953766461E-2</v>
      </c>
      <c r="BG21" s="44">
        <f>SUM(D82:D85)/AVERAGE(AF82:AF85)</f>
        <v>9.0533630568386508E-2</v>
      </c>
      <c r="BH21" s="44">
        <f>(SUM(H82:H85)+SUM(J82:J85))/AVERAGE(AF82:AF85)</f>
        <v>1.5341185654917197E-2</v>
      </c>
      <c r="BI21" s="46">
        <f t="shared" si="2"/>
        <v>-6.1679406917768319E-2</v>
      </c>
    </row>
    <row r="22" spans="1:61" s="29" customFormat="1">
      <c r="A22" s="29">
        <f t="shared" si="15"/>
        <v>2017</v>
      </c>
      <c r="B22" s="29">
        <f t="shared" si="16"/>
        <v>1</v>
      </c>
      <c r="C22" s="30"/>
      <c r="D22" s="30">
        <v>102493934.180282</v>
      </c>
      <c r="E22" s="30"/>
      <c r="F22" s="30">
        <v>18629485.7810276</v>
      </c>
      <c r="G22" s="31">
        <v>68797</v>
      </c>
      <c r="H22" s="31">
        <v>378500.79560338298</v>
      </c>
      <c r="I22" s="31">
        <v>2128</v>
      </c>
      <c r="J22" s="32">
        <v>11707.6281384944</v>
      </c>
      <c r="K22" s="30"/>
      <c r="L22" s="33">
        <v>3669517.0411676099</v>
      </c>
      <c r="M22" s="33"/>
      <c r="N22" s="33">
        <v>767468.07415965595</v>
      </c>
      <c r="O22" s="30"/>
      <c r="P22" s="30">
        <v>23263524.2751051</v>
      </c>
      <c r="Q22" s="33"/>
      <c r="R22" s="33">
        <v>19236463.486876301</v>
      </c>
      <c r="S22" s="33"/>
      <c r="T22" s="30">
        <v>73552285.3990639</v>
      </c>
      <c r="U22" s="30"/>
      <c r="V22" s="33">
        <v>87135.567113885394</v>
      </c>
      <c r="W22" s="33"/>
      <c r="X22" s="33">
        <v>218859.42270899701</v>
      </c>
      <c r="Y22" s="30"/>
      <c r="Z22" s="30">
        <f t="shared" si="9"/>
        <v>-3742871.84236468</v>
      </c>
      <c r="AA22" s="30"/>
      <c r="AB22" s="30">
        <f t="shared" si="10"/>
        <v>-52205173.0563232</v>
      </c>
      <c r="AC22" s="17"/>
      <c r="AD22" s="30">
        <v>9157377218.4824009</v>
      </c>
      <c r="AE22" s="30">
        <v>172.09591728000001</v>
      </c>
      <c r="AF22" s="30">
        <f t="shared" si="11"/>
        <v>5321089171.2110472</v>
      </c>
      <c r="AG22" s="30"/>
      <c r="AH22" s="34">
        <f t="shared" si="12"/>
        <v>-9.8109938353920928E-3</v>
      </c>
      <c r="AI22" s="35">
        <f t="shared" si="4"/>
        <v>2033</v>
      </c>
      <c r="AJ22" s="36">
        <f>SUM(AB86:AB89)/AVERAGE(AF86:AF89)</f>
        <v>-4.6740057814150839E-2</v>
      </c>
      <c r="AK22" s="30">
        <v>12914321</v>
      </c>
      <c r="AL22" s="36">
        <f>AK22/AVERAGE(AF86:AF89)</f>
        <v>1.7835386805394096E-3</v>
      </c>
      <c r="AM22" s="36">
        <f>(AF89-AF85)/AF85</f>
        <v>1.2195933691388506E-2</v>
      </c>
      <c r="AN22" s="36"/>
      <c r="AO22" s="30">
        <f t="shared" si="5"/>
        <v>733340382.37574172</v>
      </c>
      <c r="AP22" s="30">
        <f t="shared" si="8"/>
        <v>355284700.2062434</v>
      </c>
      <c r="AQ22" s="37">
        <f>AO22/AF89</f>
        <v>0.10103933176461725</v>
      </c>
      <c r="AR22" s="37">
        <f>AP22/AF89</f>
        <v>4.8950977687518486E-2</v>
      </c>
      <c r="AU22" s="29">
        <v>11118502</v>
      </c>
      <c r="AW22" s="29">
        <f t="shared" si="13"/>
        <v>-1.3184109981602989E-2</v>
      </c>
      <c r="AX22" s="38">
        <v>6583.2437564605498</v>
      </c>
      <c r="AY22" s="34">
        <f t="shared" si="14"/>
        <v>1.5031102469175418E-2</v>
      </c>
      <c r="BC22" s="34">
        <f t="shared" si="6"/>
        <v>1.4964113587429405E-2</v>
      </c>
      <c r="BD22" s="29">
        <f t="shared" si="7"/>
        <v>2033</v>
      </c>
      <c r="BE22" s="34">
        <f>SUM(T86:T89)/AVERAGE(AF86:AF89)</f>
        <v>5.6190124973764244E-2</v>
      </c>
      <c r="BF22" s="34">
        <f>SUM(P86:P89)/AVERAGE(AF86:AF89)</f>
        <v>1.163200413530271E-2</v>
      </c>
      <c r="BG22" s="34">
        <f>SUM(D86:D89)/AVERAGE(AF86:AF89)</f>
        <v>9.1298178652612361E-2</v>
      </c>
      <c r="BH22" s="34">
        <f>(SUM(H86:H89)+SUM(J86:J89))/AVERAGE(AF86:AF89)</f>
        <v>1.6679873468689127E-2</v>
      </c>
      <c r="BI22" s="36">
        <f t="shared" si="2"/>
        <v>-6.3419931282839959E-2</v>
      </c>
    </row>
    <row r="23" spans="1:61" s="39" customFormat="1">
      <c r="A23" s="39">
        <f t="shared" si="15"/>
        <v>2017</v>
      </c>
      <c r="B23" s="39">
        <f t="shared" si="16"/>
        <v>2</v>
      </c>
      <c r="C23" s="40"/>
      <c r="D23" s="40">
        <v>109624897.348455</v>
      </c>
      <c r="E23" s="40"/>
      <c r="F23" s="40">
        <v>19925622.747658599</v>
      </c>
      <c r="G23" s="41">
        <v>101425</v>
      </c>
      <c r="H23" s="41">
        <v>558010.42478702799</v>
      </c>
      <c r="I23" s="41">
        <v>3137</v>
      </c>
      <c r="J23" s="42">
        <v>17258.8484353651</v>
      </c>
      <c r="K23" s="40"/>
      <c r="L23" s="43">
        <v>3385199.3744059298</v>
      </c>
      <c r="M23" s="43"/>
      <c r="N23" s="43">
        <v>823073.95504081994</v>
      </c>
      <c r="O23" s="40"/>
      <c r="P23" s="40">
        <v>22094125.700910401</v>
      </c>
      <c r="Q23" s="43"/>
      <c r="R23" s="43">
        <v>21829419.8961474</v>
      </c>
      <c r="S23" s="43"/>
      <c r="T23" s="40">
        <v>83466678.965852201</v>
      </c>
      <c r="U23" s="40"/>
      <c r="V23" s="43">
        <v>96012.055103505103</v>
      </c>
      <c r="W23" s="43"/>
      <c r="X23" s="43">
        <v>241154.60137642201</v>
      </c>
      <c r="Y23" s="40"/>
      <c r="Z23" s="40">
        <f t="shared" si="9"/>
        <v>-2208464.1258544438</v>
      </c>
      <c r="AA23" s="40"/>
      <c r="AB23" s="40">
        <f t="shared" si="10"/>
        <v>-48252344.0835132</v>
      </c>
      <c r="AC23" s="17"/>
      <c r="AD23" s="40">
        <v>10595155405.883801</v>
      </c>
      <c r="AE23" s="40">
        <v>183.45579240999999</v>
      </c>
      <c r="AF23" s="40">
        <f t="shared" si="11"/>
        <v>5775318002.6090412</v>
      </c>
      <c r="AG23" s="40"/>
      <c r="AH23" s="44">
        <f t="shared" si="12"/>
        <v>-8.3549241897528173E-3</v>
      </c>
      <c r="AI23" s="45">
        <f t="shared" si="4"/>
        <v>2034</v>
      </c>
      <c r="AJ23" s="46">
        <f>SUM(AB90:AB93)/AVERAGE(AF90:AF93)</f>
        <v>-4.8367835663550414E-2</v>
      </c>
      <c r="AK23" s="40">
        <v>11749264</v>
      </c>
      <c r="AL23" s="46">
        <f>AK23/AVERAGE(AF90:AF93)</f>
        <v>1.6049234366839556E-3</v>
      </c>
      <c r="AM23" s="46">
        <f>(AF93-AF89)/AF89</f>
        <v>1.7036775172414656E-2</v>
      </c>
      <c r="AN23" s="46"/>
      <c r="AO23" s="40">
        <f t="shared" si="5"/>
        <v>745834137.59512985</v>
      </c>
      <c r="AP23" s="40">
        <f t="shared" si="8"/>
        <v>349496877.21505928</v>
      </c>
      <c r="AQ23" s="47">
        <f>AO23/AF93</f>
        <v>0.10103933176461727</v>
      </c>
      <c r="AR23" s="47">
        <f>AP23/AF93</f>
        <v>4.7346895439102872E-2</v>
      </c>
      <c r="AU23" s="39">
        <v>11135499</v>
      </c>
      <c r="AW23" s="39">
        <f t="shared" si="13"/>
        <v>1.5287131305997876E-3</v>
      </c>
      <c r="AX23" s="48">
        <v>6550.8123021847196</v>
      </c>
      <c r="AY23" s="44">
        <f t="shared" si="14"/>
        <v>-4.9263638831545924E-3</v>
      </c>
      <c r="BC23" s="44">
        <f t="shared" si="6"/>
        <v>1.317019666927236E-2</v>
      </c>
      <c r="BD23" s="39">
        <f t="shared" si="7"/>
        <v>2034</v>
      </c>
      <c r="BE23" s="44">
        <f>SUM(T90:T93)/AVERAGE(AF90:AF93)</f>
        <v>5.6196262514509099E-2</v>
      </c>
      <c r="BF23" s="44">
        <f>SUM(P90:P93)/AVERAGE(AF90:AF93)</f>
        <v>1.1590403373285547E-2</v>
      </c>
      <c r="BG23" s="44">
        <f>SUM(D90:D93)/AVERAGE(AF90:AF93)</f>
        <v>9.2973694804773965E-2</v>
      </c>
      <c r="BH23" s="44">
        <f>(SUM(H90:H93)+SUM(J90:J93))/AVERAGE(AF90:AF93)</f>
        <v>1.8015302645609955E-2</v>
      </c>
      <c r="BI23" s="46">
        <f t="shared" si="2"/>
        <v>-6.6383138309160372E-2</v>
      </c>
    </row>
    <row r="24" spans="1:61" s="39" customFormat="1">
      <c r="A24" s="39">
        <f t="shared" si="15"/>
        <v>2017</v>
      </c>
      <c r="B24" s="39">
        <f t="shared" si="16"/>
        <v>3</v>
      </c>
      <c r="C24" s="40"/>
      <c r="D24" s="40">
        <v>105154028.960752</v>
      </c>
      <c r="E24" s="40"/>
      <c r="F24" s="40">
        <v>19112989.495518502</v>
      </c>
      <c r="G24" s="41">
        <v>122031</v>
      </c>
      <c r="H24" s="41">
        <v>671378.55703412101</v>
      </c>
      <c r="I24" s="41">
        <v>3774</v>
      </c>
      <c r="J24" s="42">
        <v>20763.434489980202</v>
      </c>
      <c r="K24" s="40"/>
      <c r="L24" s="43">
        <v>3008282.7897310699</v>
      </c>
      <c r="M24" s="43"/>
      <c r="N24" s="43">
        <v>789476.62349494896</v>
      </c>
      <c r="O24" s="40"/>
      <c r="P24" s="40">
        <v>19953461.145896502</v>
      </c>
      <c r="Q24" s="43"/>
      <c r="R24" s="43">
        <v>19580943.123712499</v>
      </c>
      <c r="S24" s="43"/>
      <c r="T24" s="40">
        <v>74869433.147142902</v>
      </c>
      <c r="U24" s="40"/>
      <c r="V24" s="43">
        <v>104459.80879528</v>
      </c>
      <c r="W24" s="43"/>
      <c r="X24" s="43">
        <v>262372.92309518799</v>
      </c>
      <c r="Y24" s="40"/>
      <c r="Z24" s="40">
        <f t="shared" si="9"/>
        <v>-3225345.976236742</v>
      </c>
      <c r="AA24" s="40"/>
      <c r="AB24" s="40">
        <f t="shared" si="10"/>
        <v>-50238056.959505595</v>
      </c>
      <c r="AC24" s="17"/>
      <c r="AD24" s="40">
        <v>10937239663.7218</v>
      </c>
      <c r="AE24" s="40">
        <v>191.50871928999999</v>
      </c>
      <c r="AF24" s="40">
        <f t="shared" si="11"/>
        <v>5711092269.986743</v>
      </c>
      <c r="AG24" s="40"/>
      <c r="AH24" s="44">
        <f t="shared" si="12"/>
        <v>-8.7965759585989338E-3</v>
      </c>
      <c r="AI24" s="45">
        <f t="shared" si="4"/>
        <v>2035</v>
      </c>
      <c r="AJ24" s="46">
        <f>SUM(AB94:AB97)/AVERAGE(AF94:AF97)</f>
        <v>-5.0094705383225413E-2</v>
      </c>
      <c r="AK24" s="40">
        <v>10633091</v>
      </c>
      <c r="AL24" s="46">
        <f>AK24/AVERAGE(AF94:AF97)</f>
        <v>1.4380576404574969E-3</v>
      </c>
      <c r="AM24" s="46">
        <f>(AF97-AF93)/AF93</f>
        <v>7.9735098933920463E-3</v>
      </c>
      <c r="AN24" s="46"/>
      <c r="AO24" s="40">
        <f t="shared" si="5"/>
        <v>751781053.47007406</v>
      </c>
      <c r="AP24" s="40">
        <f t="shared" si="8"/>
        <v>341611699.84419525</v>
      </c>
      <c r="AQ24" s="47">
        <f>AO24/AF97</f>
        <v>0.10103933176461725</v>
      </c>
      <c r="AR24" s="47">
        <f>AP24/AF97</f>
        <v>4.5912593455118868E-2</v>
      </c>
      <c r="AU24" s="39">
        <v>11142497</v>
      </c>
      <c r="AW24" s="39">
        <f t="shared" si="13"/>
        <v>6.2844062937817151E-4</v>
      </c>
      <c r="AX24" s="48">
        <v>6730.9197858612497</v>
      </c>
      <c r="AY24" s="44">
        <f t="shared" si="14"/>
        <v>2.7493916077623477E-2</v>
      </c>
      <c r="BC24" s="44">
        <f t="shared" si="6"/>
        <v>1.506532478122569E-2</v>
      </c>
      <c r="BD24" s="39">
        <f t="shared" si="7"/>
        <v>2035</v>
      </c>
      <c r="BE24" s="44">
        <f>SUM(T94:T97)/AVERAGE(AF94:AF97)</f>
        <v>5.6307170639148987E-2</v>
      </c>
      <c r="BF24" s="44">
        <f>SUM(P94:P97)/AVERAGE(AF94:AF97)</f>
        <v>1.1787160028985978E-2</v>
      </c>
      <c r="BG24" s="44">
        <f>SUM(D94:D97)/AVERAGE(AF94:AF97)</f>
        <v>9.4614715993388415E-2</v>
      </c>
      <c r="BH24" s="44">
        <f>(SUM(H94:H97)+SUM(J94:J97))/AVERAGE(AF94:AF97)</f>
        <v>1.9314106114322806E-2</v>
      </c>
      <c r="BI24" s="46">
        <f t="shared" si="2"/>
        <v>-6.9408811497548212E-2</v>
      </c>
    </row>
    <row r="25" spans="1:61">
      <c r="A25" s="39">
        <f t="shared" si="15"/>
        <v>2017</v>
      </c>
      <c r="B25" s="39">
        <f t="shared" si="16"/>
        <v>4</v>
      </c>
      <c r="C25" s="40"/>
      <c r="D25" s="40">
        <v>114600535.52053501</v>
      </c>
      <c r="E25" s="40"/>
      <c r="F25" s="40">
        <v>20830003.883182898</v>
      </c>
      <c r="G25" s="41">
        <v>168974</v>
      </c>
      <c r="H25" s="41">
        <v>929645.09260993998</v>
      </c>
      <c r="I25" s="41">
        <v>5226</v>
      </c>
      <c r="J25" s="42">
        <v>28751.910080719801</v>
      </c>
      <c r="K25" s="40"/>
      <c r="L25" s="43">
        <v>3427329.4687653901</v>
      </c>
      <c r="M25" s="43"/>
      <c r="N25" s="43">
        <v>861449.46977992705</v>
      </c>
      <c r="O25" s="40"/>
      <c r="P25" s="40">
        <v>22523869.720306899</v>
      </c>
      <c r="Q25" s="43"/>
      <c r="R25" s="43">
        <v>22460551.896395698</v>
      </c>
      <c r="S25" s="43"/>
      <c r="T25" s="40">
        <v>85879866.870084703</v>
      </c>
      <c r="U25" s="40"/>
      <c r="V25" s="43">
        <v>108003.11649644699</v>
      </c>
      <c r="W25" s="43"/>
      <c r="X25" s="43">
        <v>271272.69047656399</v>
      </c>
      <c r="Y25" s="40"/>
      <c r="Z25" s="40">
        <f t="shared" si="9"/>
        <v>-2550227.808836069</v>
      </c>
      <c r="AA25" s="40"/>
      <c r="AB25" s="40">
        <f t="shared" si="10"/>
        <v>-51244538.370757207</v>
      </c>
      <c r="AC25" s="17"/>
      <c r="AD25" s="40">
        <v>11544217084.2855</v>
      </c>
      <c r="AE25" s="40">
        <v>200.87293846</v>
      </c>
      <c r="AF25" s="40">
        <f t="shared" si="11"/>
        <v>5747024548.3486614</v>
      </c>
      <c r="AG25" s="40"/>
      <c r="AH25" s="44">
        <f t="shared" si="12"/>
        <v>-8.9167077571439494E-3</v>
      </c>
      <c r="AI25" s="45">
        <f t="shared" si="4"/>
        <v>2036</v>
      </c>
      <c r="AJ25" s="46">
        <f>SUM(AB98:AB101)/AVERAGE(AF98:AF101)</f>
        <v>-5.1226756448364191E-2</v>
      </c>
      <c r="AK25" s="40">
        <v>9577683</v>
      </c>
      <c r="AL25" s="46">
        <f>AK25/AVERAGE(AF98:AF101)</f>
        <v>1.2775718258579646E-3</v>
      </c>
      <c r="AM25" s="46">
        <f>(AF101-AF97)/AF97</f>
        <v>1.089736848017764E-2</v>
      </c>
      <c r="AN25" s="46"/>
      <c r="AO25" s="40">
        <f t="shared" si="5"/>
        <v>759973488.62615359</v>
      </c>
      <c r="AP25" s="40">
        <f t="shared" si="8"/>
        <v>335708942.07204288</v>
      </c>
      <c r="AQ25" s="47">
        <f>AO25/AF101</f>
        <v>0.10103933176461725</v>
      </c>
      <c r="AR25" s="47">
        <f>AP25/AF101</f>
        <v>4.4632882175514491E-2</v>
      </c>
      <c r="AS25" s="39"/>
      <c r="AT25" s="39"/>
      <c r="AU25" s="39">
        <v>11181611</v>
      </c>
      <c r="AV25" s="39"/>
      <c r="AW25" s="39">
        <f t="shared" si="13"/>
        <v>3.5103442253563094E-3</v>
      </c>
      <c r="AX25" s="48">
        <v>6722.1618287808296</v>
      </c>
      <c r="AY25" s="44">
        <f t="shared" si="14"/>
        <v>-1.3011530903720965E-3</v>
      </c>
      <c r="AZ25" s="39">
        <v>100</v>
      </c>
      <c r="BA25">
        <v>100</v>
      </c>
      <c r="BC25" s="44">
        <f t="shared" si="6"/>
        <v>1.311741758494994E-2</v>
      </c>
      <c r="BD25" s="39">
        <f t="shared" si="7"/>
        <v>2036</v>
      </c>
      <c r="BE25" s="44">
        <f>SUM(T98:T101)/AVERAGE(AF98:AF101)</f>
        <v>5.6310927278308241E-2</v>
      </c>
      <c r="BF25" s="44">
        <f>SUM(P98:P101)/AVERAGE(AF98:AF101)</f>
        <v>1.1855686120354075E-2</v>
      </c>
      <c r="BG25" s="44">
        <f>SUM(D98:D101)/AVERAGE(AF98:AF101)</f>
        <v>9.5681997606318361E-2</v>
      </c>
      <c r="BH25" s="44">
        <f>(SUM(H98:H101)+SUM(J98:J101))/AVERAGE(AF98:AF101)</f>
        <v>2.1103729732624046E-2</v>
      </c>
      <c r="BI25" s="46">
        <f t="shared" si="2"/>
        <v>-7.2330486180988238E-2</v>
      </c>
    </row>
    <row r="26" spans="1:61" s="29" customFormat="1">
      <c r="A26" s="29">
        <f t="shared" si="15"/>
        <v>2018</v>
      </c>
      <c r="B26" s="29">
        <f t="shared" si="16"/>
        <v>1</v>
      </c>
      <c r="C26" s="30">
        <f>D26*0.081</f>
        <v>8708565.1420347039</v>
      </c>
      <c r="D26" s="30">
        <v>107513149.90166301</v>
      </c>
      <c r="E26" s="30"/>
      <c r="F26" s="30">
        <v>19541787.651974499</v>
      </c>
      <c r="G26" s="31">
        <v>183168</v>
      </c>
      <c r="H26" s="31">
        <v>1007736.29270289</v>
      </c>
      <c r="I26" s="31">
        <v>5665</v>
      </c>
      <c r="J26" s="32">
        <v>31167.1585547795</v>
      </c>
      <c r="K26" s="30"/>
      <c r="L26" s="33">
        <v>3677262.4433084</v>
      </c>
      <c r="M26" s="33"/>
      <c r="N26" s="33">
        <v>810651.37271382695</v>
      </c>
      <c r="O26" s="30"/>
      <c r="P26" s="30">
        <v>23541296.971145999</v>
      </c>
      <c r="Q26" s="33"/>
      <c r="R26" s="33">
        <v>19522625.706674099</v>
      </c>
      <c r="S26" s="33"/>
      <c r="T26" s="30">
        <v>74646451.448626906</v>
      </c>
      <c r="U26" s="30"/>
      <c r="V26" s="33">
        <v>93458.325591348694</v>
      </c>
      <c r="W26" s="33"/>
      <c r="X26" s="33">
        <v>234740.369102533</v>
      </c>
      <c r="Y26" s="30"/>
      <c r="Z26" s="30">
        <f t="shared" si="9"/>
        <v>-4413617.4357312787</v>
      </c>
      <c r="AA26" s="30"/>
      <c r="AB26" s="30">
        <f t="shared" si="10"/>
        <v>-56407995.424182102</v>
      </c>
      <c r="AC26" s="17"/>
      <c r="AD26" s="30"/>
      <c r="AE26" s="30"/>
      <c r="AF26" s="30">
        <f>BA26/100*AF25</f>
        <v>5688642946.6873112</v>
      </c>
      <c r="AG26" s="34">
        <f t="shared" ref="AG26:AG57" si="17">(AF26-AF25)/AF25</f>
        <v>-1.0158578786326136E-2</v>
      </c>
      <c r="AH26" s="34">
        <f t="shared" si="12"/>
        <v>-9.9158966299740057E-3</v>
      </c>
      <c r="AI26" s="35">
        <f t="shared" si="4"/>
        <v>2037</v>
      </c>
      <c r="AJ26" s="36">
        <f>SUM(AB102:AB105)/AVERAGE(AF102:AF105)</f>
        <v>-5.3018814396957076E-2</v>
      </c>
      <c r="AK26" s="30">
        <v>8579362</v>
      </c>
      <c r="AL26" s="36">
        <f>AK26/AVERAGE(AF102:AF105)</f>
        <v>1.1362296820262442E-3</v>
      </c>
      <c r="AM26" s="36">
        <f>(AF105-AF101)/AF101</f>
        <v>6.8074912026128403E-3</v>
      </c>
      <c r="AN26" s="36"/>
      <c r="AO26" s="30">
        <f t="shared" si="5"/>
        <v>765147001.46419513</v>
      </c>
      <c r="AP26" s="30">
        <f t="shared" si="8"/>
        <v>329388180.06373477</v>
      </c>
      <c r="AQ26" s="37">
        <f>AO26/AF105</f>
        <v>0.10103933176461725</v>
      </c>
      <c r="AR26" s="37">
        <f>AP26/AF105</f>
        <v>4.3496428191074299E-2</v>
      </c>
      <c r="AS26" s="34">
        <f>AVERAGE(AG26:AG29)</f>
        <v>1.6662630957579626E-3</v>
      </c>
      <c r="AU26" s="29">
        <v>11203608</v>
      </c>
      <c r="AW26" s="29">
        <f t="shared" si="13"/>
        <v>1.9672478321773133E-3</v>
      </c>
      <c r="AX26" s="38">
        <v>6640.8100989576496</v>
      </c>
      <c r="AY26" s="34">
        <f t="shared" si="14"/>
        <v>-1.2102018947963117E-2</v>
      </c>
      <c r="AZ26" s="29">
        <f t="shared" ref="AZ26:AZ57" si="18">AZ25*((1+AY26))</f>
        <v>98.789798105203687</v>
      </c>
      <c r="BA26" s="29">
        <f>BA25*(1+AW26)*(1+AY26)</f>
        <v>98.984142121367384</v>
      </c>
      <c r="BB26" s="29">
        <f>AF25*(1+AW26)*(1+AY26)</f>
        <v>5688642946.6873112</v>
      </c>
      <c r="BC26" s="34">
        <f t="shared" si="6"/>
        <v>1.5085762205506498E-2</v>
      </c>
      <c r="BD26" s="29">
        <f t="shared" si="7"/>
        <v>2037</v>
      </c>
      <c r="BE26" s="34">
        <f>SUM(T102:T105)/AVERAGE(AF102:AF105)</f>
        <v>5.6304062217073667E-2</v>
      </c>
      <c r="BF26" s="34">
        <f>SUM(P102:P105)/AVERAGE(AF102:AF105)</f>
        <v>1.1848998534857998E-2</v>
      </c>
      <c r="BG26" s="34">
        <f>SUM(D102:D105)/AVERAGE(AF102:AF105)</f>
        <v>9.7473878079172738E-2</v>
      </c>
      <c r="BH26" s="34">
        <f>(SUM(H102:H105)+SUM(J102:J105))/AVERAGE(AF102:AF105)</f>
        <v>2.3141407042214197E-2</v>
      </c>
      <c r="BI26" s="36">
        <f t="shared" si="2"/>
        <v>-7.6160221439171269E-2</v>
      </c>
    </row>
    <row r="27" spans="1:61" s="39" customFormat="1">
      <c r="A27" s="39">
        <f t="shared" si="15"/>
        <v>2018</v>
      </c>
      <c r="B27" s="39">
        <f t="shared" si="16"/>
        <v>2</v>
      </c>
      <c r="C27" s="40">
        <f>D27*0.081</f>
        <v>8603940.1686724983</v>
      </c>
      <c r="D27" s="40">
        <v>106221483.563858</v>
      </c>
      <c r="E27" s="40"/>
      <c r="F27" s="40">
        <v>19307012.005333401</v>
      </c>
      <c r="G27" s="41">
        <v>219481</v>
      </c>
      <c r="H27" s="41">
        <v>1207519.70463576</v>
      </c>
      <c r="I27" s="41">
        <v>6788</v>
      </c>
      <c r="J27" s="42">
        <v>37345.573216212397</v>
      </c>
      <c r="K27" s="40"/>
      <c r="L27" s="43">
        <v>2747400.8313832702</v>
      </c>
      <c r="M27" s="43"/>
      <c r="N27" s="43">
        <v>801995.89075169002</v>
      </c>
      <c r="O27" s="40"/>
      <c r="P27" s="40">
        <v>18668620.738514699</v>
      </c>
      <c r="Q27" s="43"/>
      <c r="R27" s="43">
        <v>22277150.344264898</v>
      </c>
      <c r="S27" s="43"/>
      <c r="T27" s="40">
        <v>85178615.139788404</v>
      </c>
      <c r="U27" s="40"/>
      <c r="V27" s="43">
        <v>96698.981289949399</v>
      </c>
      <c r="W27" s="43"/>
      <c r="X27" s="43">
        <v>242879.96191045499</v>
      </c>
      <c r="Y27" s="40"/>
      <c r="Z27" s="40">
        <f t="shared" si="9"/>
        <v>-482559.4019135125</v>
      </c>
      <c r="AA27" s="40"/>
      <c r="AB27" s="40">
        <f t="shared" si="10"/>
        <v>-39711489.162584297</v>
      </c>
      <c r="AC27" s="17"/>
      <c r="AD27" s="40"/>
      <c r="AE27" s="40"/>
      <c r="AF27" s="40">
        <f>BA27/100*AF25</f>
        <v>5696004817.419426</v>
      </c>
      <c r="AG27" s="44">
        <f t="shared" si="17"/>
        <v>1.2941347877004406E-3</v>
      </c>
      <c r="AH27" s="44">
        <f t="shared" si="12"/>
        <v>-6.9718145323787806E-3</v>
      </c>
      <c r="AI27" s="45">
        <f t="shared" si="4"/>
        <v>2038</v>
      </c>
      <c r="AJ27" s="46">
        <f>SUM(AB106:AB109)/AVERAGE(AF106:AF109)</f>
        <v>-5.4536840419100577E-2</v>
      </c>
      <c r="AK27" s="40">
        <v>7635639</v>
      </c>
      <c r="AL27" s="46">
        <f>AK27/AVERAGE(AF106:AF109)</f>
        <v>1.0003518021801515E-3</v>
      </c>
      <c r="AM27" s="46">
        <f>(AF109-AF105)/AF105</f>
        <v>1.107427795047697E-2</v>
      </c>
      <c r="AN27" s="46"/>
      <c r="AO27" s="40">
        <f t="shared" si="5"/>
        <v>773620452.03138351</v>
      </c>
      <c r="AP27" s="40">
        <f t="shared" si="8"/>
        <v>325361598.09654981</v>
      </c>
      <c r="AQ27" s="47">
        <f>AO27/AF109</f>
        <v>0.10103933176461724</v>
      </c>
      <c r="AR27" s="47">
        <f>AP27/AF109</f>
        <v>4.24941175833983E-2</v>
      </c>
      <c r="AU27" s="39">
        <v>11276429</v>
      </c>
      <c r="AW27" s="39">
        <f t="shared" si="13"/>
        <v>6.4997811419321349E-3</v>
      </c>
      <c r="AX27" s="48">
        <v>6606.4636345783301</v>
      </c>
      <c r="AY27" s="44">
        <f t="shared" si="14"/>
        <v>-5.1720292957497128E-3</v>
      </c>
      <c r="AZ27" s="39">
        <f t="shared" si="18"/>
        <v>98.278854375282378</v>
      </c>
      <c r="BA27" s="39">
        <f t="shared" ref="BA27:BA90" si="19">BA26*(1+AW27)*(1+AY27)</f>
        <v>99.112240943117328</v>
      </c>
      <c r="BC27" s="44">
        <f t="shared" si="6"/>
        <v>1.3172958225528945E-2</v>
      </c>
      <c r="BD27" s="39">
        <f t="shared" si="7"/>
        <v>2038</v>
      </c>
      <c r="BE27" s="44">
        <f>SUM(T106:T109)/AVERAGE(AF106:AF109)</f>
        <v>5.6242564553514708E-2</v>
      </c>
      <c r="BF27" s="44">
        <f>SUM(P106:P109)/AVERAGE(AF106:AF109)</f>
        <v>1.1796452462109107E-2</v>
      </c>
      <c r="BG27" s="44">
        <f>SUM(D106:D109)/AVERAGE(AF106:AF109)</f>
        <v>9.8982952510506164E-2</v>
      </c>
      <c r="BH27" s="44">
        <f>(SUM(H106:H109)+SUM(J106:J109))/AVERAGE(AF106:AF109)</f>
        <v>2.5073774868600119E-2</v>
      </c>
      <c r="BI27" s="46">
        <f t="shared" si="2"/>
        <v>-7.9610615287700692E-2</v>
      </c>
    </row>
    <row r="28" spans="1:61">
      <c r="A28" s="39">
        <f t="shared" si="15"/>
        <v>2018</v>
      </c>
      <c r="B28" s="39">
        <f t="shared" si="16"/>
        <v>3</v>
      </c>
      <c r="C28" s="40">
        <f>D28*0.081</f>
        <v>8543798.4066677913</v>
      </c>
      <c r="D28" s="40">
        <v>105478992.67491101</v>
      </c>
      <c r="E28" s="40"/>
      <c r="F28" s="40">
        <v>19172055.497235399</v>
      </c>
      <c r="G28" s="41">
        <v>249047</v>
      </c>
      <c r="H28" s="41">
        <v>1370183.11325546</v>
      </c>
      <c r="I28" s="41">
        <v>7702</v>
      </c>
      <c r="J28" s="42">
        <v>42374.131542614603</v>
      </c>
      <c r="K28" s="40"/>
      <c r="L28" s="43">
        <v>2626493.1461475901</v>
      </c>
      <c r="M28" s="43"/>
      <c r="N28" s="43">
        <v>797733.78756802203</v>
      </c>
      <c r="O28" s="40"/>
      <c r="P28" s="40">
        <v>18017781.350862999</v>
      </c>
      <c r="Q28" s="43"/>
      <c r="R28" s="43">
        <v>19819135.291422099</v>
      </c>
      <c r="S28" s="43"/>
      <c r="T28" s="40">
        <v>75780181.5449007</v>
      </c>
      <c r="U28" s="40"/>
      <c r="V28" s="43">
        <v>96428.701769524298</v>
      </c>
      <c r="W28" s="43"/>
      <c r="X28" s="43">
        <v>242201.09767889499</v>
      </c>
      <c r="Y28" s="40"/>
      <c r="Z28" s="40">
        <f t="shared" si="9"/>
        <v>-2680718.4377593882</v>
      </c>
      <c r="AA28" s="40"/>
      <c r="AB28" s="40">
        <f t="shared" si="10"/>
        <v>-47716592.480873302</v>
      </c>
      <c r="AC28" s="17"/>
      <c r="AD28" s="40"/>
      <c r="AE28" s="40"/>
      <c r="AF28" s="40">
        <f>BA28/100*AF25</f>
        <v>5768985468.6764021</v>
      </c>
      <c r="AG28" s="44">
        <f t="shared" si="17"/>
        <v>1.2812603499524426E-2</v>
      </c>
      <c r="AH28" s="44">
        <f t="shared" si="12"/>
        <v>-8.27122771238685E-3</v>
      </c>
      <c r="AI28" s="45">
        <f t="shared" si="4"/>
        <v>2039</v>
      </c>
      <c r="AJ28" s="46">
        <f>SUM(AB110:AB113)/AVERAGE(AF110:AF113)</f>
        <v>-5.6095858565840817E-2</v>
      </c>
      <c r="AK28" s="40">
        <v>6778576</v>
      </c>
      <c r="AL28" s="46">
        <f>AK28/AVERAGE(AF110:AF113)</f>
        <v>8.7965139587723546E-4</v>
      </c>
      <c r="AM28" s="46">
        <f>(AF113-AF109)/AF109</f>
        <v>1.3049308852314704E-2</v>
      </c>
      <c r="AN28" s="46"/>
      <c r="AO28" s="40">
        <f t="shared" si="5"/>
        <v>783715664.24440837</v>
      </c>
      <c r="AP28" s="40">
        <f t="shared" si="8"/>
        <v>322788318.77275884</v>
      </c>
      <c r="AQ28" s="47">
        <f>AO28/AF113</f>
        <v>0.10103933176461724</v>
      </c>
      <c r="AR28" s="47">
        <f>AP28/AF113</f>
        <v>4.1614985533902457E-2</v>
      </c>
      <c r="AS28" s="40"/>
      <c r="AU28" s="39">
        <v>11306949</v>
      </c>
      <c r="AW28" s="39">
        <f t="shared" si="13"/>
        <v>2.7065305869437921E-3</v>
      </c>
      <c r="AX28" s="48">
        <v>6673.0488229148204</v>
      </c>
      <c r="AY28" s="44">
        <f t="shared" si="14"/>
        <v>1.0078794347399786E-2</v>
      </c>
      <c r="AZ28" s="39">
        <f t="shared" si="18"/>
        <v>99.269386737228913</v>
      </c>
      <c r="BA28" s="39">
        <f t="shared" si="19"/>
        <v>100.38212678827082</v>
      </c>
      <c r="BC28" s="44">
        <f t="shared" si="6"/>
        <v>1.4999153089077111E-2</v>
      </c>
      <c r="BD28" s="39">
        <f t="shared" si="7"/>
        <v>2039</v>
      </c>
      <c r="BE28" s="44">
        <f>SUM(T110:T113)/AVERAGE(AF110:AF113)</f>
        <v>5.6359298023360982E-2</v>
      </c>
      <c r="BF28" s="44">
        <f>SUM(P110:P113)/AVERAGE(AF110:AF113)</f>
        <v>1.1707578672483027E-2</v>
      </c>
      <c r="BG28" s="44">
        <f>SUM(D110:D113)/AVERAGE(AF110:AF113)</f>
        <v>0.10074757791671878</v>
      </c>
      <c r="BH28" s="44">
        <f>(SUM(H110:H113)+SUM(J110:J113))/AVERAGE(AF110:AF113)</f>
        <v>2.6928921820351674E-2</v>
      </c>
      <c r="BI28" s="46">
        <f t="shared" si="2"/>
        <v>-8.3024780386192487E-2</v>
      </c>
    </row>
    <row r="29" spans="1:61">
      <c r="A29" s="39">
        <f t="shared" si="15"/>
        <v>2018</v>
      </c>
      <c r="B29" s="39">
        <f t="shared" si="16"/>
        <v>4</v>
      </c>
      <c r="C29" s="40">
        <f>D29*0.081</f>
        <v>8677743.983250929</v>
      </c>
      <c r="D29" s="40">
        <v>107132641.76853</v>
      </c>
      <c r="E29" s="40"/>
      <c r="F29" s="40">
        <v>19472625.794617102</v>
      </c>
      <c r="G29" s="41">
        <v>265115</v>
      </c>
      <c r="H29" s="41">
        <v>1458584.5084290099</v>
      </c>
      <c r="I29" s="41">
        <v>8199</v>
      </c>
      <c r="J29" s="42">
        <v>45108.4789039077</v>
      </c>
      <c r="K29" s="40"/>
      <c r="L29" s="43">
        <v>2666631.24479084</v>
      </c>
      <c r="M29" s="43"/>
      <c r="N29" s="43">
        <v>815465.52532397595</v>
      </c>
      <c r="O29" s="40"/>
      <c r="P29" s="40">
        <v>18323612.924956098</v>
      </c>
      <c r="Q29" s="43"/>
      <c r="R29" s="43">
        <v>22639030.975319501</v>
      </c>
      <c r="S29" s="43"/>
      <c r="T29" s="40">
        <v>86562297.097434998</v>
      </c>
      <c r="U29" s="40"/>
      <c r="V29" s="43">
        <v>104236.646820307</v>
      </c>
      <c r="W29" s="43"/>
      <c r="X29" s="43">
        <v>261812.40455344101</v>
      </c>
      <c r="Y29" s="40"/>
      <c r="Z29" s="40">
        <f t="shared" si="9"/>
        <v>-211454.94259211048</v>
      </c>
      <c r="AA29" s="40"/>
      <c r="AB29" s="40">
        <f t="shared" si="10"/>
        <v>-38893957.596051097</v>
      </c>
      <c r="AC29" s="17"/>
      <c r="AD29" s="40"/>
      <c r="AE29" s="47"/>
      <c r="AF29" s="40">
        <f>BA29/100*AF25</f>
        <v>5784659184.2333784</v>
      </c>
      <c r="AG29" s="44">
        <f t="shared" si="17"/>
        <v>2.7168928821331199E-3</v>
      </c>
      <c r="AH29" s="44">
        <f t="shared" si="12"/>
        <v>-6.7236385683810311E-3</v>
      </c>
      <c r="AI29" s="45">
        <f t="shared" si="4"/>
        <v>2040</v>
      </c>
      <c r="AJ29" s="46">
        <f>SUM(AB114:AB117)/AVERAGE(AF114:AF117)</f>
        <v>-5.894670003982639E-2</v>
      </c>
      <c r="AK29" s="40">
        <v>5976069</v>
      </c>
      <c r="AL29" s="46">
        <f>AK29/AVERAGE(AF114:AF117)</f>
        <v>7.7288465263738732E-4</v>
      </c>
      <c r="AM29" s="46">
        <f>(AF117-AF113)/AF113</f>
        <v>4.0826292898184409E-3</v>
      </c>
      <c r="AN29" s="46"/>
      <c r="AO29" s="40">
        <f t="shared" si="5"/>
        <v>786915284.77014208</v>
      </c>
      <c r="AP29" s="40">
        <f t="shared" si="8"/>
        <v>318118900.59291804</v>
      </c>
      <c r="AQ29" s="47">
        <f>AO29/AF117</f>
        <v>0.10103933176461724</v>
      </c>
      <c r="AR29" s="47">
        <f>AP29/AF117</f>
        <v>4.0846227998979544E-2</v>
      </c>
      <c r="AU29" s="39">
        <v>11331440</v>
      </c>
      <c r="AW29" s="39">
        <f t="shared" si="13"/>
        <v>2.1660131305093885E-3</v>
      </c>
      <c r="AX29" s="48">
        <v>6676.7169252351696</v>
      </c>
      <c r="AY29" s="44">
        <f t="shared" si="14"/>
        <v>5.4968911777673608E-4</v>
      </c>
      <c r="AZ29" s="39">
        <f t="shared" si="18"/>
        <v>99.323954038846736</v>
      </c>
      <c r="BA29" s="39">
        <f t="shared" si="19"/>
        <v>100.65485427403526</v>
      </c>
      <c r="BC29" s="44">
        <f t="shared" si="6"/>
        <v>1.3114856938224497E-2</v>
      </c>
      <c r="BD29" s="39">
        <f t="shared" si="7"/>
        <v>2040</v>
      </c>
      <c r="BE29" s="44">
        <f>SUM(T114:T117)/AVERAGE(AF114:AF117)</f>
        <v>5.6223762446413056E-2</v>
      </c>
      <c r="BF29" s="44">
        <f>SUM(P114:P117)/AVERAGE(AF114:AF117)</f>
        <v>1.1949180342435408E-2</v>
      </c>
      <c r="BG29" s="44">
        <f>SUM(D114:D117)/AVERAGE(AF114:AF117)</f>
        <v>0.10322128214380404</v>
      </c>
      <c r="BH29" s="44">
        <f>(SUM(H114:H117)+SUM(J114:J117))/AVERAGE(AF114:AF117)</f>
        <v>2.8903940029089307E-2</v>
      </c>
      <c r="BI29" s="46">
        <f t="shared" si="2"/>
        <v>-8.78506400689157E-2</v>
      </c>
    </row>
    <row r="30" spans="1:61" s="29" customFormat="1">
      <c r="A30" s="29">
        <f t="shared" si="15"/>
        <v>2019</v>
      </c>
      <c r="B30" s="29">
        <f t="shared" si="16"/>
        <v>1</v>
      </c>
      <c r="C30" s="30"/>
      <c r="D30" s="30">
        <v>108189769.416219</v>
      </c>
      <c r="E30" s="30"/>
      <c r="F30" s="30">
        <v>19664771.258042499</v>
      </c>
      <c r="G30" s="31">
        <v>298728</v>
      </c>
      <c r="H30" s="31">
        <v>1643513.31699067</v>
      </c>
      <c r="I30" s="31">
        <v>9239</v>
      </c>
      <c r="J30" s="32">
        <v>50830.252054299701</v>
      </c>
      <c r="K30" s="30"/>
      <c r="L30" s="33">
        <v>3092189.3823448499</v>
      </c>
      <c r="M30" s="33"/>
      <c r="N30" s="33">
        <v>824498.41331247205</v>
      </c>
      <c r="O30" s="30"/>
      <c r="P30" s="30">
        <v>20581532.408321999</v>
      </c>
      <c r="Q30" s="33"/>
      <c r="R30" s="33">
        <v>20128933.468608402</v>
      </c>
      <c r="S30" s="33"/>
      <c r="T30" s="30">
        <v>76964721.726107106</v>
      </c>
      <c r="U30" s="30"/>
      <c r="V30" s="33">
        <v>102920.400139359</v>
      </c>
      <c r="W30" s="33"/>
      <c r="X30" s="33">
        <v>258506.37237534701</v>
      </c>
      <c r="Y30" s="30"/>
      <c r="Z30" s="30">
        <f t="shared" si="9"/>
        <v>-3349605.1849520616</v>
      </c>
      <c r="AA30" s="30"/>
      <c r="AB30" s="30">
        <f t="shared" si="10"/>
        <v>-51806580.098433889</v>
      </c>
      <c r="AC30" s="17"/>
      <c r="AD30" s="30"/>
      <c r="AE30" s="30"/>
      <c r="AF30" s="30">
        <f>BA30/100*AF25</f>
        <v>5843855157.1272268</v>
      </c>
      <c r="AG30" s="34">
        <f t="shared" si="17"/>
        <v>1.0233268894249206E-2</v>
      </c>
      <c r="AH30" s="34">
        <f t="shared" si="12"/>
        <v>-8.8651376027432931E-3</v>
      </c>
      <c r="AK30" s="30"/>
      <c r="AP30" s="49">
        <f>(AP29-AP6)/AP6</f>
        <v>-0.45215720374621948</v>
      </c>
      <c r="AQ30" s="37"/>
      <c r="AS30" s="34">
        <f>AVERAGE(AG30:AG33)</f>
        <v>6.1562192222795117E-3</v>
      </c>
      <c r="AU30" s="29">
        <v>11393915</v>
      </c>
      <c r="AW30" s="29">
        <f t="shared" si="13"/>
        <v>5.5134210656368476E-3</v>
      </c>
      <c r="AX30" s="38">
        <v>6708.05722087084</v>
      </c>
      <c r="AY30" s="34">
        <f t="shared" si="14"/>
        <v>4.6939680065238793E-3</v>
      </c>
      <c r="AZ30" s="29">
        <f t="shared" si="18"/>
        <v>99.790177501386538</v>
      </c>
      <c r="BA30" s="29">
        <f t="shared" si="19"/>
        <v>101.68488246333294</v>
      </c>
      <c r="BC30" s="34">
        <f t="shared" si="6"/>
        <v>1.5033726507075346E-2</v>
      </c>
    </row>
    <row r="31" spans="1:61" s="39" customFormat="1">
      <c r="A31" s="39">
        <f t="shared" si="15"/>
        <v>2019</v>
      </c>
      <c r="B31" s="39">
        <f t="shared" si="16"/>
        <v>2</v>
      </c>
      <c r="C31" s="40"/>
      <c r="D31" s="40">
        <v>109363878.041959</v>
      </c>
      <c r="E31" s="40"/>
      <c r="F31" s="40">
        <v>19878179.398958702</v>
      </c>
      <c r="G31" s="41">
        <v>322856</v>
      </c>
      <c r="H31" s="41">
        <v>1776258.45407977</v>
      </c>
      <c r="I31" s="41">
        <v>9985</v>
      </c>
      <c r="J31" s="42">
        <v>54934.523948715498</v>
      </c>
      <c r="K31" s="40"/>
      <c r="L31" s="43">
        <v>2565760.4696484799</v>
      </c>
      <c r="M31" s="43"/>
      <c r="N31" s="43">
        <v>833644.76300568494</v>
      </c>
      <c r="O31" s="40"/>
      <c r="P31" s="40">
        <v>17900210.795205399</v>
      </c>
      <c r="Q31" s="43"/>
      <c r="R31" s="43">
        <v>23115399.962251302</v>
      </c>
      <c r="S31" s="43"/>
      <c r="T31" s="40">
        <v>88383735.206678793</v>
      </c>
      <c r="U31" s="40"/>
      <c r="V31" s="43">
        <v>103904.354088244</v>
      </c>
      <c r="W31" s="43"/>
      <c r="X31" s="43">
        <v>260977.78101314901</v>
      </c>
      <c r="Y31" s="40"/>
      <c r="Z31" s="40">
        <f t="shared" si="9"/>
        <v>-58280.315273322165</v>
      </c>
      <c r="AA31" s="40"/>
      <c r="AB31" s="40">
        <f t="shared" si="10"/>
        <v>-38880353.630485609</v>
      </c>
      <c r="AC31" s="17"/>
      <c r="AD31" s="40"/>
      <c r="AE31" s="40"/>
      <c r="AF31" s="40">
        <f>BA31/100*AF25</f>
        <v>5866699622.4881945</v>
      </c>
      <c r="AG31" s="44">
        <f t="shared" si="17"/>
        <v>3.9091429795460085E-3</v>
      </c>
      <c r="AH31" s="44">
        <f t="shared" si="12"/>
        <v>-6.6272957765639972E-3</v>
      </c>
      <c r="AP31" s="39">
        <f>AP28*(1+AM29)-AK29*((1+AM29)^(11/12)+(1+AM29)^(10/12)+(1+AM29)^(9/12)+(1+AM29)^(8/12)+(1+AM29)^(7/12)+(1+AM29)^(6/12)+(1+AM29)^(5/12)+(1+AM29)^(4/12)+(1+AM29)^(3/12)+(1+AM29)^(2/12)+(1+AM29)^(1/12)+1)/12</f>
        <v>318118900.59291792</v>
      </c>
      <c r="AU31" s="39">
        <v>11397406</v>
      </c>
      <c r="AW31" s="39">
        <f t="shared" si="13"/>
        <v>3.0639161341821492E-4</v>
      </c>
      <c r="AX31" s="48">
        <v>6732.21728074767</v>
      </c>
      <c r="AY31" s="44">
        <f t="shared" si="14"/>
        <v>3.6016478514316491E-3</v>
      </c>
      <c r="AZ31" s="39">
        <f t="shared" si="18"/>
        <v>100.14958657977839</v>
      </c>
      <c r="BA31" s="39">
        <f t="shared" si="19"/>
        <v>102.08238320774043</v>
      </c>
      <c r="BC31" s="44">
        <f t="shared" si="6"/>
        <v>1.3106149911133527E-2</v>
      </c>
    </row>
    <row r="32" spans="1:61">
      <c r="A32" s="39">
        <f t="shared" si="15"/>
        <v>2019</v>
      </c>
      <c r="B32" s="39">
        <f t="shared" si="16"/>
        <v>3</v>
      </c>
      <c r="C32" s="40">
        <f>SUM(C26:C29)</f>
        <v>34534047.700625926</v>
      </c>
      <c r="D32" s="40">
        <v>110350469.594638</v>
      </c>
      <c r="E32" s="40"/>
      <c r="F32" s="40">
        <v>20057504.0921643</v>
      </c>
      <c r="G32" s="41">
        <v>355386</v>
      </c>
      <c r="H32" s="41">
        <v>1955228.91617809</v>
      </c>
      <c r="I32" s="41">
        <v>10992</v>
      </c>
      <c r="J32" s="42">
        <v>60474.740835681601</v>
      </c>
      <c r="K32" s="40"/>
      <c r="L32" s="43">
        <v>2526569.2172901798</v>
      </c>
      <c r="M32" s="43"/>
      <c r="N32" s="43">
        <v>842089.48568020004</v>
      </c>
      <c r="O32" s="40"/>
      <c r="P32" s="40">
        <v>17743307.572969999</v>
      </c>
      <c r="Q32" s="43"/>
      <c r="R32" s="43">
        <v>20127759.932218801</v>
      </c>
      <c r="S32" s="43"/>
      <c r="T32" s="40">
        <v>76960234.608008996</v>
      </c>
      <c r="U32" s="40"/>
      <c r="V32" s="43">
        <v>106975.84430569501</v>
      </c>
      <c r="W32" s="43"/>
      <c r="X32" s="43">
        <v>268692.47890418401</v>
      </c>
      <c r="Y32" s="40"/>
      <c r="Z32" s="40">
        <f t="shared" si="9"/>
        <v>-3191427.0186101869</v>
      </c>
      <c r="AA32" s="40"/>
      <c r="AB32" s="40">
        <f t="shared" si="10"/>
        <v>-51133542.559599012</v>
      </c>
      <c r="AC32" s="17"/>
      <c r="AD32" s="40"/>
      <c r="AE32" s="40"/>
      <c r="AF32" s="40">
        <f>BA32/100*AF25</f>
        <v>5867026349.4781237</v>
      </c>
      <c r="AG32" s="44">
        <f t="shared" si="17"/>
        <v>5.5691787709190267E-5</v>
      </c>
      <c r="AH32" s="44">
        <f t="shared" si="12"/>
        <v>-8.7154104164109264E-3</v>
      </c>
      <c r="AI32" s="39"/>
      <c r="AJ32" s="39"/>
      <c r="AK32" s="39"/>
      <c r="AL32" s="39"/>
      <c r="AM32" s="39"/>
      <c r="AN32" s="39"/>
      <c r="AO32" s="39"/>
      <c r="AP32" s="39">
        <f>AP28*(1+AM29)</f>
        <v>324106143.81739175</v>
      </c>
      <c r="AQ32" s="39"/>
      <c r="AR32" s="39"/>
      <c r="AS32" s="40"/>
      <c r="AU32" s="39">
        <v>11403610</v>
      </c>
      <c r="AW32" s="39">
        <f t="shared" si="13"/>
        <v>5.4433438626297944E-4</v>
      </c>
      <c r="AX32" s="48">
        <v>6728.9294222959898</v>
      </c>
      <c r="AY32" s="44">
        <f t="shared" si="14"/>
        <v>-4.8837675829070649E-4</v>
      </c>
      <c r="AZ32" s="39">
        <f t="shared" si="18"/>
        <v>100.1006758493404</v>
      </c>
      <c r="BA32" s="39">
        <f t="shared" si="19"/>
        <v>102.0880683581549</v>
      </c>
      <c r="BC32" s="44">
        <f t="shared" si="6"/>
        <v>1.5028018835087007E-2</v>
      </c>
    </row>
    <row r="33" spans="1:55" ht="48" customHeight="1">
      <c r="A33" s="39">
        <f t="shared" si="15"/>
        <v>2019</v>
      </c>
      <c r="B33" s="39">
        <f t="shared" si="16"/>
        <v>4</v>
      </c>
      <c r="C33" s="40"/>
      <c r="D33" s="40">
        <v>111243024.78290901</v>
      </c>
      <c r="E33" s="40"/>
      <c r="F33" s="40">
        <v>20219736.563009098</v>
      </c>
      <c r="G33" s="41">
        <v>390027</v>
      </c>
      <c r="H33" s="41">
        <v>2145813.4774307101</v>
      </c>
      <c r="I33" s="41">
        <v>12062</v>
      </c>
      <c r="J33" s="42">
        <v>66361.565134642602</v>
      </c>
      <c r="K33" s="40"/>
      <c r="L33" s="43">
        <v>2634370.4290896598</v>
      </c>
      <c r="M33" s="43"/>
      <c r="N33" s="43">
        <v>848967.41276279802</v>
      </c>
      <c r="O33" s="40"/>
      <c r="P33" s="40">
        <v>18340528.898954801</v>
      </c>
      <c r="Q33" s="43"/>
      <c r="R33" s="43">
        <v>23389406.536247399</v>
      </c>
      <c r="S33" s="43"/>
      <c r="T33" s="40">
        <v>89431423.090968594</v>
      </c>
      <c r="U33" s="40"/>
      <c r="V33" s="43">
        <v>105633.10611664101</v>
      </c>
      <c r="W33" s="43"/>
      <c r="X33" s="43">
        <v>265319.90769544302</v>
      </c>
      <c r="Y33" s="40"/>
      <c r="Z33" s="40">
        <f t="shared" si="9"/>
        <v>-208034.76249751449</v>
      </c>
      <c r="AA33" s="40"/>
      <c r="AB33" s="40">
        <f t="shared" si="10"/>
        <v>-40152130.590895206</v>
      </c>
      <c r="AC33" s="17"/>
      <c r="AD33" s="40"/>
      <c r="AE33" s="40"/>
      <c r="AF33" s="40">
        <f>BA33/100*AF25</f>
        <v>5928200502.744566</v>
      </c>
      <c r="AG33" s="44">
        <f t="shared" si="17"/>
        <v>1.0426773227613642E-2</v>
      </c>
      <c r="AH33" s="44">
        <f t="shared" si="12"/>
        <v>-6.773072296105043E-3</v>
      </c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U33" s="39">
        <v>11456781</v>
      </c>
      <c r="AW33" s="39">
        <f t="shared" si="13"/>
        <v>4.6626463023551317E-3</v>
      </c>
      <c r="AX33" s="48">
        <v>6767.5358175909396</v>
      </c>
      <c r="AY33" s="44">
        <f t="shared" si="14"/>
        <v>5.7373755722610739E-3</v>
      </c>
      <c r="AZ33" s="39">
        <f t="shared" si="18"/>
        <v>100.67499102172525</v>
      </c>
      <c r="BA33" s="39">
        <f t="shared" si="19"/>
        <v>103.15251749617049</v>
      </c>
      <c r="BC33" s="44">
        <f t="shared" si="6"/>
        <v>1.3149509482084666E-2</v>
      </c>
    </row>
    <row r="34" spans="1:55" s="29" customFormat="1">
      <c r="A34" s="29">
        <f t="shared" si="15"/>
        <v>2020</v>
      </c>
      <c r="B34" s="29">
        <f t="shared" si="16"/>
        <v>1</v>
      </c>
      <c r="C34" s="30"/>
      <c r="D34" s="30">
        <v>113948574.055678</v>
      </c>
      <c r="E34" s="30"/>
      <c r="F34" s="30">
        <v>20711502.169530399</v>
      </c>
      <c r="G34" s="31">
        <v>436444</v>
      </c>
      <c r="H34" s="31">
        <v>2401186.1162016201</v>
      </c>
      <c r="I34" s="31">
        <v>13498</v>
      </c>
      <c r="J34" s="32">
        <v>74262.0134461454</v>
      </c>
      <c r="K34" s="30"/>
      <c r="L34" s="33">
        <v>3113917.5543648801</v>
      </c>
      <c r="M34" s="33"/>
      <c r="N34" s="33">
        <v>869619.71596931701</v>
      </c>
      <c r="O34" s="30"/>
      <c r="P34" s="30">
        <v>20942524.090506699</v>
      </c>
      <c r="Q34" s="33"/>
      <c r="R34" s="33">
        <v>20413428.029548999</v>
      </c>
      <c r="S34" s="33"/>
      <c r="T34" s="30">
        <v>78052511.337490603</v>
      </c>
      <c r="U34" s="30"/>
      <c r="V34" s="33">
        <v>105654.240134404</v>
      </c>
      <c r="W34" s="33"/>
      <c r="X34" s="33">
        <v>265372.99025495898</v>
      </c>
      <c r="Y34" s="30"/>
      <c r="Z34" s="30">
        <f t="shared" si="9"/>
        <v>-4175957.1701811943</v>
      </c>
      <c r="AA34" s="30"/>
      <c r="AB34" s="30">
        <f t="shared" si="10"/>
        <v>-56838586.808694094</v>
      </c>
      <c r="AC34" s="17"/>
      <c r="AD34" s="30"/>
      <c r="AE34" s="30"/>
      <c r="AF34" s="30">
        <f>BA34/100*AF25</f>
        <v>5925207535.1021996</v>
      </c>
      <c r="AG34" s="34">
        <f t="shared" si="17"/>
        <v>-5.0486950314530723E-4</v>
      </c>
      <c r="AH34" s="34">
        <f t="shared" si="12"/>
        <v>-9.592674429033941E-3</v>
      </c>
      <c r="AS34" s="34">
        <f>AVERAGE(AG34:AG37)</f>
        <v>3.2794598568691895E-3</v>
      </c>
      <c r="AU34" s="29">
        <v>11458730</v>
      </c>
      <c r="AW34" s="29">
        <f t="shared" si="13"/>
        <v>1.7011759236734995E-4</v>
      </c>
      <c r="AX34" s="38">
        <v>6762.9685952105201</v>
      </c>
      <c r="AY34" s="34">
        <f t="shared" si="14"/>
        <v>-6.7487228786404681E-4</v>
      </c>
      <c r="AZ34" s="29">
        <f t="shared" si="18"/>
        <v>100.60704826020373</v>
      </c>
      <c r="BA34" s="29">
        <f t="shared" si="19"/>
        <v>103.100438935914</v>
      </c>
      <c r="BC34" s="34">
        <f t="shared" si="6"/>
        <v>1.4942841497131439E-2</v>
      </c>
    </row>
    <row r="35" spans="1:55" s="39" customFormat="1">
      <c r="A35" s="39">
        <f t="shared" si="15"/>
        <v>2020</v>
      </c>
      <c r="B35" s="39">
        <f t="shared" si="16"/>
        <v>2</v>
      </c>
      <c r="C35" s="40"/>
      <c r="D35" s="40">
        <v>114494003.03851999</v>
      </c>
      <c r="E35" s="40"/>
      <c r="F35" s="40">
        <v>20810640.3435275</v>
      </c>
      <c r="G35" s="41">
        <v>453050</v>
      </c>
      <c r="H35" s="41">
        <v>2492547.4286395102</v>
      </c>
      <c r="I35" s="41">
        <v>14012</v>
      </c>
      <c r="J35" s="42">
        <v>77089.889791627604</v>
      </c>
      <c r="K35" s="40"/>
      <c r="L35" s="43">
        <v>2595751.2273647999</v>
      </c>
      <c r="M35" s="43"/>
      <c r="N35" s="43">
        <v>874323.173126493</v>
      </c>
      <c r="O35" s="40"/>
      <c r="P35" s="40">
        <v>18279633.589978799</v>
      </c>
      <c r="Q35" s="43"/>
      <c r="R35" s="43">
        <v>23213875.156397101</v>
      </c>
      <c r="S35" s="43"/>
      <c r="T35" s="40">
        <v>88760263.646507606</v>
      </c>
      <c r="U35" s="40"/>
      <c r="V35" s="43">
        <v>111048.347093793</v>
      </c>
      <c r="W35" s="43"/>
      <c r="X35" s="43">
        <v>278921.43177275499</v>
      </c>
      <c r="Y35" s="40"/>
      <c r="Z35" s="40">
        <f t="shared" si="9"/>
        <v>-955791.24052789807</v>
      </c>
      <c r="AA35" s="40"/>
      <c r="AB35" s="40">
        <f t="shared" si="10"/>
        <v>-44013372.981991187</v>
      </c>
      <c r="AC35" s="17"/>
      <c r="AD35" s="40"/>
      <c r="AE35" s="40"/>
      <c r="AF35" s="40">
        <f>BA35/100*AF25</f>
        <v>5917685026.5729885</v>
      </c>
      <c r="AG35" s="44">
        <f t="shared" si="17"/>
        <v>-1.269577223185195E-3</v>
      </c>
      <c r="AH35" s="44">
        <f t="shared" si="12"/>
        <v>-7.4375998020090517E-3</v>
      </c>
      <c r="AU35" s="39">
        <v>11467236</v>
      </c>
      <c r="AW35" s="39">
        <f t="shared" si="13"/>
        <v>7.4231612054739046E-4</v>
      </c>
      <c r="AX35" s="48">
        <v>6749.3723164468502</v>
      </c>
      <c r="AY35" s="44">
        <f t="shared" si="14"/>
        <v>-2.0104009906683168E-3</v>
      </c>
      <c r="AZ35" s="39">
        <f t="shared" si="18"/>
        <v>100.4047877507132</v>
      </c>
      <c r="BA35" s="39">
        <f t="shared" si="19"/>
        <v>102.96954496694057</v>
      </c>
      <c r="BC35" s="44">
        <f t="shared" si="6"/>
        <v>1.3117077723655127E-2</v>
      </c>
    </row>
    <row r="36" spans="1:55">
      <c r="A36" s="39">
        <f t="shared" si="15"/>
        <v>2020</v>
      </c>
      <c r="B36" s="39">
        <f t="shared" si="16"/>
        <v>3</v>
      </c>
      <c r="C36" s="40"/>
      <c r="D36" s="40">
        <v>115303740.595173</v>
      </c>
      <c r="E36" s="40"/>
      <c r="F36" s="40">
        <v>20957819.7294949</v>
      </c>
      <c r="G36" s="41">
        <v>477663</v>
      </c>
      <c r="H36" s="41">
        <v>2627960.89263047</v>
      </c>
      <c r="I36" s="41">
        <v>14773</v>
      </c>
      <c r="J36" s="42">
        <v>81276.687260327904</v>
      </c>
      <c r="K36" s="40"/>
      <c r="L36" s="43">
        <v>2513240.18696234</v>
      </c>
      <c r="M36" s="43"/>
      <c r="N36" s="43">
        <v>881614.20935876702</v>
      </c>
      <c r="O36" s="40"/>
      <c r="P36" s="40">
        <v>17891596.539235901</v>
      </c>
      <c r="Q36" s="43"/>
      <c r="R36" s="43">
        <v>20431564.486129701</v>
      </c>
      <c r="S36" s="43"/>
      <c r="T36" s="40">
        <v>78121857.6511444</v>
      </c>
      <c r="U36" s="40"/>
      <c r="V36" s="43">
        <v>111835.97375268899</v>
      </c>
      <c r="W36" s="43"/>
      <c r="X36" s="43">
        <v>280899.72286083299</v>
      </c>
      <c r="Y36" s="40"/>
      <c r="Z36" s="40">
        <f t="shared" si="9"/>
        <v>-3809273.6659336165</v>
      </c>
      <c r="AA36" s="40"/>
      <c r="AB36" s="40">
        <f t="shared" si="10"/>
        <v>-55073479.483264506</v>
      </c>
      <c r="AC36" s="17"/>
      <c r="AD36" s="40"/>
      <c r="AE36" s="40"/>
      <c r="AF36" s="40">
        <f>BA36/100*AF25</f>
        <v>5956744935.8483524</v>
      </c>
      <c r="AG36" s="44">
        <f t="shared" si="17"/>
        <v>6.6005387410732206E-3</v>
      </c>
      <c r="AH36" s="44">
        <f t="shared" si="12"/>
        <v>-9.2455661735365222E-3</v>
      </c>
      <c r="AI36" s="39"/>
      <c r="AJ36" s="44"/>
      <c r="AK36" s="44"/>
      <c r="AL36" s="44"/>
      <c r="AM36" s="44"/>
      <c r="AN36" s="44"/>
      <c r="AO36" s="44"/>
      <c r="AP36" s="44"/>
      <c r="AQ36" s="44"/>
      <c r="AR36" s="44"/>
      <c r="AS36" s="40"/>
      <c r="AU36" s="39">
        <v>11569819</v>
      </c>
      <c r="AW36" s="39">
        <f t="shared" si="13"/>
        <v>8.9457476936900919E-3</v>
      </c>
      <c r="AX36" s="48">
        <v>6733.6839720365997</v>
      </c>
      <c r="AY36" s="44">
        <f t="shared" si="14"/>
        <v>-2.3244153196321908E-3</v>
      </c>
      <c r="AZ36" s="39">
        <f t="shared" si="18"/>
        <v>100.17140532390101</v>
      </c>
      <c r="BA36" s="39">
        <f t="shared" si="19"/>
        <v>103.64919943764554</v>
      </c>
      <c r="BC36" s="44">
        <f t="shared" si="6"/>
        <v>1.5003720668367502E-2</v>
      </c>
    </row>
    <row r="37" spans="1:55">
      <c r="A37" s="39">
        <f t="shared" si="15"/>
        <v>2020</v>
      </c>
      <c r="B37" s="39">
        <f t="shared" si="16"/>
        <v>4</v>
      </c>
      <c r="C37" s="40"/>
      <c r="D37" s="40">
        <v>116194280.901999</v>
      </c>
      <c r="E37" s="40"/>
      <c r="F37" s="40">
        <v>21119685.9717866</v>
      </c>
      <c r="G37" s="41">
        <v>493320</v>
      </c>
      <c r="H37" s="41">
        <v>2714101.0870686402</v>
      </c>
      <c r="I37" s="41">
        <v>15258</v>
      </c>
      <c r="J37" s="42">
        <v>83945.014162193402</v>
      </c>
      <c r="K37" s="40"/>
      <c r="L37" s="43">
        <v>2574206.5100320298</v>
      </c>
      <c r="M37" s="43"/>
      <c r="N37" s="43">
        <v>889151.13022052904</v>
      </c>
      <c r="O37" s="40"/>
      <c r="P37" s="40">
        <v>18249416.994296499</v>
      </c>
      <c r="Q37" s="43"/>
      <c r="R37" s="43">
        <v>23615161.6716647</v>
      </c>
      <c r="S37" s="43"/>
      <c r="T37" s="40">
        <v>90294617.417817697</v>
      </c>
      <c r="U37" s="40"/>
      <c r="V37" s="43">
        <v>109750.221315027</v>
      </c>
      <c r="W37" s="43"/>
      <c r="X37" s="43">
        <v>275660.91407654103</v>
      </c>
      <c r="Y37" s="40"/>
      <c r="Z37" s="40">
        <f t="shared" si="9"/>
        <v>-858131.71905943379</v>
      </c>
      <c r="AA37" s="40"/>
      <c r="AB37" s="40">
        <f t="shared" si="10"/>
        <v>-44149080.478477806</v>
      </c>
      <c r="AC37" s="17"/>
      <c r="AD37" s="40"/>
      <c r="AE37" s="40"/>
      <c r="AF37" s="40">
        <f>BA37/100*AF25</f>
        <v>6006136760.2584896</v>
      </c>
      <c r="AG37" s="44">
        <f t="shared" si="17"/>
        <v>8.29174741273404E-3</v>
      </c>
      <c r="AH37" s="44">
        <f t="shared" si="12"/>
        <v>-7.3506618714718934E-3</v>
      </c>
      <c r="AI37" s="39"/>
      <c r="AU37" s="39">
        <v>11637179</v>
      </c>
      <c r="AW37" s="39">
        <f t="shared" si="13"/>
        <v>5.8220444070905516E-3</v>
      </c>
      <c r="AX37" s="48">
        <v>6750.2179102588398</v>
      </c>
      <c r="AY37" s="44">
        <f t="shared" si="14"/>
        <v>2.4554075140594081E-3</v>
      </c>
      <c r="AZ37" s="39">
        <f t="shared" si="18"/>
        <v>100.41736694522722</v>
      </c>
      <c r="BA37" s="39">
        <f t="shared" si="19"/>
        <v>104.5086324189146</v>
      </c>
      <c r="BC37" s="44">
        <f t="shared" si="6"/>
        <v>1.3093733509889198E-2</v>
      </c>
    </row>
    <row r="38" spans="1:55" s="29" customFormat="1">
      <c r="A38" s="29">
        <f t="shared" si="15"/>
        <v>2021</v>
      </c>
      <c r="B38" s="29">
        <f t="shared" si="16"/>
        <v>1</v>
      </c>
      <c r="C38" s="30"/>
      <c r="D38" s="30">
        <v>116959677.30612101</v>
      </c>
      <c r="E38" s="30"/>
      <c r="F38" s="30">
        <v>21258805.828405298</v>
      </c>
      <c r="G38" s="31">
        <v>534175</v>
      </c>
      <c r="H38" s="31">
        <v>2938873.2428948502</v>
      </c>
      <c r="I38" s="31">
        <v>16521</v>
      </c>
      <c r="J38" s="32">
        <v>90893.667516948306</v>
      </c>
      <c r="K38" s="30"/>
      <c r="L38" s="33">
        <v>3016990.0798726901</v>
      </c>
      <c r="M38" s="33"/>
      <c r="N38" s="33">
        <v>895902.68790207396</v>
      </c>
      <c r="O38" s="30"/>
      <c r="P38" s="30">
        <v>20584168.1214366</v>
      </c>
      <c r="Q38" s="33"/>
      <c r="R38" s="33">
        <v>20802864.192511499</v>
      </c>
      <c r="S38" s="33"/>
      <c r="T38" s="30">
        <v>79541554.259672195</v>
      </c>
      <c r="U38" s="30"/>
      <c r="V38" s="33">
        <v>112270.73884851301</v>
      </c>
      <c r="W38" s="33"/>
      <c r="X38" s="33">
        <v>281991.72743528802</v>
      </c>
      <c r="Y38" s="30"/>
      <c r="Z38" s="30">
        <f t="shared" si="9"/>
        <v>-4256563.664820049</v>
      </c>
      <c r="AA38" s="30"/>
      <c r="AB38" s="30">
        <f t="shared" si="10"/>
        <v>-58002291.167885408</v>
      </c>
      <c r="AC38" s="17"/>
      <c r="AD38" s="30"/>
      <c r="AE38" s="30"/>
      <c r="AF38" s="30">
        <f>BA38/100*AF25</f>
        <v>6069025213.2781219</v>
      </c>
      <c r="AG38" s="34">
        <f t="shared" si="17"/>
        <v>1.0470699474536403E-2</v>
      </c>
      <c r="AH38" s="34">
        <f t="shared" si="12"/>
        <v>-9.5571016974826603E-3</v>
      </c>
      <c r="AS38" s="34">
        <f>AVERAGE(AG38:AG41)</f>
        <v>5.7559442638078859E-3</v>
      </c>
      <c r="AU38" s="29">
        <v>11715512</v>
      </c>
      <c r="AW38" s="29">
        <f t="shared" si="13"/>
        <v>6.7312705252707723E-3</v>
      </c>
      <c r="AX38" s="38">
        <v>6775.2910961292901</v>
      </c>
      <c r="AY38" s="34">
        <f t="shared" si="14"/>
        <v>3.7144261420575158E-3</v>
      </c>
      <c r="AZ38" s="29">
        <f t="shared" si="18"/>
        <v>100.79035983812514</v>
      </c>
      <c r="BA38" s="29">
        <f t="shared" si="19"/>
        <v>105.60291090146785</v>
      </c>
      <c r="BC38" s="34">
        <f t="shared" si="6"/>
        <v>1.5008052581168718E-2</v>
      </c>
    </row>
    <row r="39" spans="1:55" s="39" customFormat="1">
      <c r="A39" s="39">
        <f t="shared" si="15"/>
        <v>2021</v>
      </c>
      <c r="B39" s="39">
        <f t="shared" si="16"/>
        <v>2</v>
      </c>
      <c r="C39" s="40"/>
      <c r="D39" s="40">
        <v>117578398.21256299</v>
      </c>
      <c r="E39" s="40"/>
      <c r="F39" s="40">
        <v>21371265.677089602</v>
      </c>
      <c r="G39" s="41">
        <v>570982</v>
      </c>
      <c r="H39" s="41">
        <v>3141374.4970741598</v>
      </c>
      <c r="I39" s="41">
        <v>17659</v>
      </c>
      <c r="J39" s="42">
        <v>97154.607752665703</v>
      </c>
      <c r="K39" s="40"/>
      <c r="L39" s="43">
        <v>2524940.3200369598</v>
      </c>
      <c r="M39" s="43"/>
      <c r="N39" s="43">
        <v>900933.02763301495</v>
      </c>
      <c r="O39" s="40"/>
      <c r="P39" s="40">
        <v>18058595.023552299</v>
      </c>
      <c r="Q39" s="43"/>
      <c r="R39" s="43">
        <v>24005162.971783299</v>
      </c>
      <c r="S39" s="43"/>
      <c r="T39" s="40">
        <v>91785821.190897107</v>
      </c>
      <c r="U39" s="40"/>
      <c r="V39" s="43">
        <v>111592.51847125799</v>
      </c>
      <c r="W39" s="43"/>
      <c r="X39" s="43">
        <v>280288.233383985</v>
      </c>
      <c r="Y39" s="40"/>
      <c r="Z39" s="40">
        <f t="shared" si="9"/>
        <v>-680383.5345050171</v>
      </c>
      <c r="AA39" s="40"/>
      <c r="AB39" s="40">
        <f t="shared" si="10"/>
        <v>-43851172.045218185</v>
      </c>
      <c r="AC39" s="17"/>
      <c r="AD39" s="40"/>
      <c r="AE39" s="40"/>
      <c r="AF39" s="40">
        <f>BA39/100*AF25</f>
        <v>6107646137.4002333</v>
      </c>
      <c r="AG39" s="44">
        <f t="shared" si="17"/>
        <v>6.3636124031276886E-3</v>
      </c>
      <c r="AH39" s="44">
        <f t="shared" si="12"/>
        <v>-7.1797172034403049E-3</v>
      </c>
      <c r="AU39" s="39">
        <v>11689132</v>
      </c>
      <c r="AW39" s="39">
        <f t="shared" si="13"/>
        <v>-2.2517155033429182E-3</v>
      </c>
      <c r="AX39" s="48">
        <v>6833.7941828916901</v>
      </c>
      <c r="AY39" s="44">
        <f t="shared" si="14"/>
        <v>8.634770954095641E-3</v>
      </c>
      <c r="AZ39" s="39">
        <f t="shared" si="18"/>
        <v>101.66066150970823</v>
      </c>
      <c r="BA39" s="39">
        <f t="shared" si="19"/>
        <v>106.27492689508682</v>
      </c>
      <c r="BC39" s="44">
        <f t="shared" ref="BC39:BC70" si="20">T46/AF46</f>
        <v>1.3150081090251786E-2</v>
      </c>
    </row>
    <row r="40" spans="1:55">
      <c r="A40" s="39">
        <f t="shared" si="15"/>
        <v>2021</v>
      </c>
      <c r="B40" s="39">
        <f t="shared" si="16"/>
        <v>3</v>
      </c>
      <c r="C40" s="40"/>
      <c r="D40" s="40">
        <v>118624640.04359201</v>
      </c>
      <c r="E40" s="40"/>
      <c r="F40" s="40">
        <v>21561432.514479101</v>
      </c>
      <c r="G40" s="41">
        <v>616843</v>
      </c>
      <c r="H40" s="41">
        <v>3393688.1878915899</v>
      </c>
      <c r="I40" s="41">
        <v>19078</v>
      </c>
      <c r="J40" s="42">
        <v>104961.527079979</v>
      </c>
      <c r="K40" s="40"/>
      <c r="L40" s="43">
        <v>2508646.48164172</v>
      </c>
      <c r="M40" s="43"/>
      <c r="N40" s="43">
        <v>910163.54995786399</v>
      </c>
      <c r="O40" s="40"/>
      <c r="P40" s="40">
        <v>18024829.8290486</v>
      </c>
      <c r="Q40" s="43"/>
      <c r="R40" s="43">
        <v>21020435.665372301</v>
      </c>
      <c r="S40" s="43"/>
      <c r="T40" s="40">
        <v>80373457.643444702</v>
      </c>
      <c r="U40" s="40"/>
      <c r="V40" s="43">
        <v>107712.714720534</v>
      </c>
      <c r="W40" s="43"/>
      <c r="X40" s="43">
        <v>270543.28494062502</v>
      </c>
      <c r="Y40" s="40"/>
      <c r="Z40" s="40">
        <f t="shared" si="9"/>
        <v>-3852094.1659858525</v>
      </c>
      <c r="AA40" s="40"/>
      <c r="AB40" s="40">
        <f t="shared" si="10"/>
        <v>-56276012.229195908</v>
      </c>
      <c r="AC40" s="17"/>
      <c r="AD40" s="40"/>
      <c r="AE40" s="40"/>
      <c r="AF40" s="40">
        <f>BA40/100*AF25</f>
        <v>6112278009.5294209</v>
      </c>
      <c r="AG40" s="44">
        <f t="shared" si="17"/>
        <v>7.583727061108318E-4</v>
      </c>
      <c r="AH40" s="44">
        <f t="shared" si="12"/>
        <v>-9.2070439435932259E-3</v>
      </c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40"/>
      <c r="AU40" s="39">
        <v>11715557</v>
      </c>
      <c r="AW40" s="39">
        <f t="shared" si="13"/>
        <v>2.2606468983325709E-3</v>
      </c>
      <c r="AX40" s="48">
        <v>6823.5511062352498</v>
      </c>
      <c r="AY40" s="44">
        <f t="shared" si="14"/>
        <v>-1.4988857408207701E-3</v>
      </c>
      <c r="AZ40" s="39">
        <f t="shared" si="18"/>
        <v>101.50828379376892</v>
      </c>
      <c r="BA40" s="39">
        <f t="shared" si="19"/>
        <v>106.35552289898799</v>
      </c>
      <c r="BC40" s="44">
        <f t="shared" si="20"/>
        <v>1.5100908976626854E-2</v>
      </c>
    </row>
    <row r="41" spans="1:55">
      <c r="A41" s="39">
        <f t="shared" si="15"/>
        <v>2021</v>
      </c>
      <c r="B41" s="39">
        <f t="shared" si="16"/>
        <v>4</v>
      </c>
      <c r="C41" s="40"/>
      <c r="D41" s="40">
        <v>119893059.07938901</v>
      </c>
      <c r="E41" s="40"/>
      <c r="F41" s="40">
        <v>21791982.6887968</v>
      </c>
      <c r="G41" s="41">
        <v>655655</v>
      </c>
      <c r="H41" s="41">
        <v>3607220.3605002598</v>
      </c>
      <c r="I41" s="41">
        <v>20278</v>
      </c>
      <c r="J41" s="42">
        <v>111563.573022739</v>
      </c>
      <c r="K41" s="40"/>
      <c r="L41" s="43">
        <v>2518498.0210538302</v>
      </c>
      <c r="M41" s="43"/>
      <c r="N41" s="43">
        <v>922427.19741066894</v>
      </c>
      <c r="O41" s="40"/>
      <c r="P41" s="40">
        <v>18143420.483814701</v>
      </c>
      <c r="Q41" s="43"/>
      <c r="R41" s="43">
        <v>24016939.360939499</v>
      </c>
      <c r="S41" s="43"/>
      <c r="T41" s="40">
        <v>91830849.235515401</v>
      </c>
      <c r="U41" s="40"/>
      <c r="V41" s="43">
        <v>109686.26487063699</v>
      </c>
      <c r="W41" s="43"/>
      <c r="X41" s="43">
        <v>275500.27392738801</v>
      </c>
      <c r="Y41" s="40"/>
      <c r="Z41" s="40">
        <f t="shared" si="9"/>
        <v>-1106282.281451162</v>
      </c>
      <c r="AA41" s="40"/>
      <c r="AB41" s="40">
        <f t="shared" si="10"/>
        <v>-46205630.327688307</v>
      </c>
      <c r="AC41" s="17"/>
      <c r="AD41" s="40"/>
      <c r="AE41" s="40"/>
      <c r="AF41" s="40">
        <f>BA41/100*AF25</f>
        <v>6145474356.6104259</v>
      </c>
      <c r="AG41" s="44">
        <f t="shared" si="17"/>
        <v>5.4310924714566205E-3</v>
      </c>
      <c r="AH41" s="44">
        <f t="shared" si="12"/>
        <v>-7.5186434189554252E-3</v>
      </c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U41" s="39">
        <v>11791909</v>
      </c>
      <c r="AW41" s="39">
        <f t="shared" si="13"/>
        <v>6.5171463891985672E-3</v>
      </c>
      <c r="AX41" s="48">
        <v>6816.1883460096296</v>
      </c>
      <c r="AY41" s="44">
        <f t="shared" si="14"/>
        <v>-1.0790217748779195E-3</v>
      </c>
      <c r="AZ41" s="39">
        <f t="shared" si="18"/>
        <v>101.39875414522496</v>
      </c>
      <c r="BA41" s="39">
        <f t="shared" si="19"/>
        <v>106.93314957870251</v>
      </c>
      <c r="BC41" s="44">
        <f t="shared" si="20"/>
        <v>1.3193354010421423E-2</v>
      </c>
    </row>
    <row r="42" spans="1:55" s="29" customFormat="1">
      <c r="A42" s="29">
        <f t="shared" si="15"/>
        <v>2022</v>
      </c>
      <c r="B42" s="29">
        <f t="shared" si="16"/>
        <v>1</v>
      </c>
      <c r="C42" s="30"/>
      <c r="D42" s="30">
        <v>120777958.679226</v>
      </c>
      <c r="E42" s="30"/>
      <c r="F42" s="30">
        <v>21952823.6658228</v>
      </c>
      <c r="G42" s="31">
        <v>693229</v>
      </c>
      <c r="H42" s="31">
        <v>3813941.4223779798</v>
      </c>
      <c r="I42" s="31">
        <v>21440</v>
      </c>
      <c r="J42" s="32">
        <v>117956.55417731201</v>
      </c>
      <c r="K42" s="30"/>
      <c r="L42" s="33">
        <v>3069392.68086557</v>
      </c>
      <c r="M42" s="33"/>
      <c r="N42" s="33">
        <v>929145.61150308303</v>
      </c>
      <c r="O42" s="30"/>
      <c r="P42" s="30">
        <v>21038978.224504702</v>
      </c>
      <c r="Q42" s="33"/>
      <c r="R42" s="33">
        <v>21069487.764580999</v>
      </c>
      <c r="S42" s="33"/>
      <c r="T42" s="30">
        <v>80561012.596198201</v>
      </c>
      <c r="U42" s="30"/>
      <c r="V42" s="33">
        <v>112041.914516308</v>
      </c>
      <c r="W42" s="33"/>
      <c r="X42" s="33">
        <v>281416.98668467399</v>
      </c>
      <c r="Y42" s="30"/>
      <c r="Z42" s="30">
        <f t="shared" si="9"/>
        <v>-4769832.2790941484</v>
      </c>
      <c r="AA42" s="30"/>
      <c r="AB42" s="30">
        <f t="shared" si="10"/>
        <v>-61255924.307532497</v>
      </c>
      <c r="AC42" s="17"/>
      <c r="AD42" s="30"/>
      <c r="AE42" s="30"/>
      <c r="AF42" s="30">
        <f>BA42/100*AF25</f>
        <v>6141689047.9283943</v>
      </c>
      <c r="AG42" s="34">
        <f t="shared" si="17"/>
        <v>-6.159506105431773E-4</v>
      </c>
      <c r="AH42" s="34">
        <f t="shared" si="12"/>
        <v>-9.9737912208685102E-3</v>
      </c>
      <c r="AS42" s="34">
        <f>AVERAGE(AG42:AG45)</f>
        <v>2.0069394920195394E-3</v>
      </c>
      <c r="AU42" s="29">
        <v>11775085</v>
      </c>
      <c r="AW42" s="29">
        <f t="shared" si="13"/>
        <v>-1.426740996729198E-3</v>
      </c>
      <c r="AX42" s="38">
        <v>6821.7227421408597</v>
      </c>
      <c r="AY42" s="34">
        <f t="shared" si="14"/>
        <v>8.1194882686451485E-4</v>
      </c>
      <c r="AZ42" s="29">
        <f t="shared" si="18"/>
        <v>101.48108474469869</v>
      </c>
      <c r="BA42" s="29">
        <f t="shared" si="19"/>
        <v>106.8672840399322</v>
      </c>
      <c r="BC42" s="34">
        <f t="shared" si="20"/>
        <v>1.5032446003342395E-2</v>
      </c>
    </row>
    <row r="43" spans="1:55" s="39" customFormat="1">
      <c r="A43" s="39">
        <f t="shared" si="15"/>
        <v>2022</v>
      </c>
      <c r="B43" s="39">
        <f t="shared" si="16"/>
        <v>2</v>
      </c>
      <c r="C43" s="40"/>
      <c r="D43" s="40">
        <v>121574906.05320799</v>
      </c>
      <c r="E43" s="40"/>
      <c r="F43" s="40">
        <v>22097678.2846894</v>
      </c>
      <c r="G43" s="41">
        <v>714924</v>
      </c>
      <c r="H43" s="41">
        <v>3933300.9113181201</v>
      </c>
      <c r="I43" s="41">
        <v>22111</v>
      </c>
      <c r="J43" s="42">
        <v>121648.19820030501</v>
      </c>
      <c r="K43" s="40"/>
      <c r="L43" s="43">
        <v>2485696.3004855802</v>
      </c>
      <c r="M43" s="43"/>
      <c r="N43" s="43">
        <v>936511.732729282</v>
      </c>
      <c r="O43" s="40"/>
      <c r="P43" s="40">
        <v>18050701.157566499</v>
      </c>
      <c r="Q43" s="43"/>
      <c r="R43" s="43">
        <v>24267291.123321</v>
      </c>
      <c r="S43" s="43"/>
      <c r="T43" s="40">
        <v>92788090.897393793</v>
      </c>
      <c r="U43" s="40"/>
      <c r="V43" s="43">
        <v>113144.897002709</v>
      </c>
      <c r="W43" s="43"/>
      <c r="X43" s="43">
        <v>284187.36069183901</v>
      </c>
      <c r="Y43" s="40"/>
      <c r="Z43" s="40">
        <f t="shared" si="9"/>
        <v>-1139450.2975805551</v>
      </c>
      <c r="AA43" s="40"/>
      <c r="AB43" s="40">
        <f t="shared" si="10"/>
        <v>-46837516.313380703</v>
      </c>
      <c r="AC43" s="17"/>
      <c r="AD43" s="40"/>
      <c r="AE43" s="40"/>
      <c r="AF43" s="40">
        <f>BA43/100*AF25</f>
        <v>6184338734.9259224</v>
      </c>
      <c r="AG43" s="44">
        <f t="shared" si="17"/>
        <v>6.9442927938388405E-3</v>
      </c>
      <c r="AH43" s="44">
        <f t="shared" si="12"/>
        <v>-7.5735690299217956E-3</v>
      </c>
      <c r="AU43" s="39">
        <v>11810150</v>
      </c>
      <c r="AW43" s="39">
        <f t="shared" si="13"/>
        <v>2.9778978240921402E-3</v>
      </c>
      <c r="AX43" s="48">
        <v>6848.70005323429</v>
      </c>
      <c r="AY43" s="44">
        <f t="shared" si="14"/>
        <v>3.9546185198614412E-3</v>
      </c>
      <c r="AZ43" s="39">
        <f t="shared" si="18"/>
        <v>101.88240372184569</v>
      </c>
      <c r="BA43" s="39">
        <f t="shared" si="19"/>
        <v>107.60940175038783</v>
      </c>
      <c r="BC43" s="44">
        <f t="shared" si="20"/>
        <v>1.313746450341715E-2</v>
      </c>
    </row>
    <row r="44" spans="1:55">
      <c r="A44" s="39">
        <f t="shared" si="15"/>
        <v>2022</v>
      </c>
      <c r="B44" s="39">
        <f t="shared" si="16"/>
        <v>3</v>
      </c>
      <c r="C44" s="40"/>
      <c r="D44" s="40">
        <v>122630132.223215</v>
      </c>
      <c r="E44" s="40"/>
      <c r="F44" s="40">
        <v>22289478.1320378</v>
      </c>
      <c r="G44" s="41">
        <v>749222</v>
      </c>
      <c r="H44" s="41">
        <v>4121998.3877721098</v>
      </c>
      <c r="I44" s="41">
        <v>23171</v>
      </c>
      <c r="J44" s="42">
        <v>127480.005449743</v>
      </c>
      <c r="K44" s="40"/>
      <c r="L44" s="43">
        <v>2459909.6812877702</v>
      </c>
      <c r="M44" s="43"/>
      <c r="N44" s="43">
        <v>945723.66632706998</v>
      </c>
      <c r="O44" s="40"/>
      <c r="P44" s="40">
        <v>17967575.6086598</v>
      </c>
      <c r="Q44" s="43"/>
      <c r="R44" s="43">
        <v>21122937.852043901</v>
      </c>
      <c r="S44" s="43"/>
      <c r="T44" s="40">
        <v>80765383.638222605</v>
      </c>
      <c r="U44" s="40"/>
      <c r="V44" s="43">
        <v>114226.608982419</v>
      </c>
      <c r="W44" s="43"/>
      <c r="X44" s="43">
        <v>286904.30931865302</v>
      </c>
      <c r="Y44" s="40"/>
      <c r="Z44" s="40">
        <f t="shared" si="9"/>
        <v>-4457947.0186263211</v>
      </c>
      <c r="AA44" s="40"/>
      <c r="AB44" s="40">
        <f t="shared" si="10"/>
        <v>-59832324.193652198</v>
      </c>
      <c r="AC44" s="17"/>
      <c r="AD44" s="40"/>
      <c r="AE44" s="40"/>
      <c r="AF44" s="40">
        <f>BA44/100*AF25</f>
        <v>6168247091.421525</v>
      </c>
      <c r="AG44" s="44">
        <f t="shared" si="17"/>
        <v>-2.6019990485838325E-3</v>
      </c>
      <c r="AH44" s="44">
        <f t="shared" si="12"/>
        <v>-9.7000530794014179E-3</v>
      </c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40"/>
      <c r="AU44" s="39">
        <v>11793338</v>
      </c>
      <c r="AW44" s="39">
        <f t="shared" si="13"/>
        <v>-1.4235212931249814E-3</v>
      </c>
      <c r="AX44" s="48">
        <v>6840.6175068909197</v>
      </c>
      <c r="AY44" s="44">
        <f t="shared" si="14"/>
        <v>-1.1801577351242439E-3</v>
      </c>
      <c r="AZ44" s="39">
        <f t="shared" si="18"/>
        <v>101.7621664150203</v>
      </c>
      <c r="BA44" s="39">
        <f t="shared" si="19"/>
        <v>107.32940218941464</v>
      </c>
      <c r="BC44" s="44">
        <f t="shared" si="20"/>
        <v>1.500601734184737E-2</v>
      </c>
    </row>
    <row r="45" spans="1:55">
      <c r="A45" s="39">
        <f t="shared" si="15"/>
        <v>2022</v>
      </c>
      <c r="B45" s="39">
        <f t="shared" si="16"/>
        <v>4</v>
      </c>
      <c r="C45" s="40"/>
      <c r="D45" s="40">
        <v>123674406.316286</v>
      </c>
      <c r="E45" s="40"/>
      <c r="F45" s="40">
        <v>22479287.309760801</v>
      </c>
      <c r="G45" s="41">
        <v>800623</v>
      </c>
      <c r="H45" s="41">
        <v>4404791.52402528</v>
      </c>
      <c r="I45" s="41">
        <v>24762</v>
      </c>
      <c r="J45" s="42">
        <v>136233.21802885301</v>
      </c>
      <c r="K45" s="40"/>
      <c r="L45" s="43">
        <v>2531379.9664769298</v>
      </c>
      <c r="M45" s="43"/>
      <c r="N45" s="43">
        <v>954418.71070087701</v>
      </c>
      <c r="O45" s="40"/>
      <c r="P45" s="40">
        <v>18386272.826953702</v>
      </c>
      <c r="Q45" s="43"/>
      <c r="R45" s="43">
        <v>24315278.077897701</v>
      </c>
      <c r="S45" s="43"/>
      <c r="T45" s="40">
        <v>92971573.177328706</v>
      </c>
      <c r="U45" s="40"/>
      <c r="V45" s="43">
        <v>118497.780559748</v>
      </c>
      <c r="W45" s="43"/>
      <c r="X45" s="43">
        <v>297632.26090796798</v>
      </c>
      <c r="Y45" s="40"/>
      <c r="Z45" s="40">
        <f t="shared" si="9"/>
        <v>-1531310.1284811571</v>
      </c>
      <c r="AA45" s="40"/>
      <c r="AB45" s="40">
        <f t="shared" si="10"/>
        <v>-49089105.965911001</v>
      </c>
      <c r="AC45" s="17"/>
      <c r="AD45" s="40"/>
      <c r="AE45" s="40"/>
      <c r="AF45" s="40">
        <f>BA45/100*AF25</f>
        <v>6194779280.9564342</v>
      </c>
      <c r="AG45" s="44">
        <f t="shared" si="17"/>
        <v>4.3014148333663264E-3</v>
      </c>
      <c r="AH45" s="44">
        <f t="shared" si="12"/>
        <v>-7.9242703798692825E-3</v>
      </c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U45" s="39">
        <v>11779830</v>
      </c>
      <c r="AW45" s="39">
        <f t="shared" si="13"/>
        <v>-1.1453924240957055E-3</v>
      </c>
      <c r="AX45" s="48">
        <v>6877.9197576884399</v>
      </c>
      <c r="AY45" s="44">
        <f t="shared" si="14"/>
        <v>5.4530531432204219E-3</v>
      </c>
      <c r="AZ45" s="39">
        <f t="shared" si="18"/>
        <v>102.31708091645065</v>
      </c>
      <c r="BA45" s="39">
        <f t="shared" si="19"/>
        <v>107.79107047204852</v>
      </c>
      <c r="BC45" s="44">
        <f t="shared" si="20"/>
        <v>1.3140155559547295E-2</v>
      </c>
    </row>
    <row r="46" spans="1:55" s="29" customFormat="1">
      <c r="A46" s="29">
        <f t="shared" si="15"/>
        <v>2023</v>
      </c>
      <c r="B46" s="29">
        <f t="shared" si="16"/>
        <v>1</v>
      </c>
      <c r="C46" s="30"/>
      <c r="D46" s="30">
        <v>124606118.530596</v>
      </c>
      <c r="E46" s="30"/>
      <c r="F46" s="30">
        <v>22648637.033598799</v>
      </c>
      <c r="G46" s="31">
        <v>839507</v>
      </c>
      <c r="H46" s="31">
        <v>4618719.8193905205</v>
      </c>
      <c r="I46" s="31">
        <v>25964</v>
      </c>
      <c r="J46" s="32">
        <v>142846.26738151701</v>
      </c>
      <c r="K46" s="30"/>
      <c r="L46" s="33">
        <v>3020793.3409749698</v>
      </c>
      <c r="M46" s="33"/>
      <c r="N46" s="33">
        <v>962868.22051736305</v>
      </c>
      <c r="O46" s="30"/>
      <c r="P46" s="30">
        <v>20972327.863799199</v>
      </c>
      <c r="Q46" s="33"/>
      <c r="R46" s="33">
        <v>21592334.199666701</v>
      </c>
      <c r="S46" s="33"/>
      <c r="T46" s="30">
        <v>82560161.256737798</v>
      </c>
      <c r="U46" s="30"/>
      <c r="V46" s="33">
        <v>117983.92620321699</v>
      </c>
      <c r="W46" s="33"/>
      <c r="X46" s="33">
        <v>296341.60691268498</v>
      </c>
      <c r="Y46" s="30"/>
      <c r="Z46" s="30">
        <f t="shared" ref="Z46:Z77" si="21">R46+V46-N46-L46-F46</f>
        <v>-4921980.4692212157</v>
      </c>
      <c r="AA46" s="30"/>
      <c r="AB46" s="30">
        <f t="shared" ref="AB46:AB77" si="22">T46-P46-D46</f>
        <v>-63018285.137657404</v>
      </c>
      <c r="AC46" s="17"/>
      <c r="AD46" s="30"/>
      <c r="AE46" s="30"/>
      <c r="AF46" s="30">
        <f>BA46/100*AF25</f>
        <v>6278300543.556345</v>
      </c>
      <c r="AG46" s="34">
        <f t="shared" si="17"/>
        <v>1.3482524366391241E-2</v>
      </c>
      <c r="AH46" s="34">
        <f t="shared" ref="AH46:AH77" si="23">AB46/AF46</f>
        <v>-1.0037475061995149E-2</v>
      </c>
      <c r="AS46" s="34">
        <f>AVERAGE(AG46:AG49)</f>
        <v>6.0227750533532968E-3</v>
      </c>
      <c r="AU46" s="29">
        <v>11856758</v>
      </c>
      <c r="AW46" s="29">
        <f t="shared" si="13"/>
        <v>6.5304847353484727E-3</v>
      </c>
      <c r="AX46" s="38">
        <v>6925.42509553934</v>
      </c>
      <c r="AY46" s="34">
        <f t="shared" si="14"/>
        <v>6.9069340039619618E-3</v>
      </c>
      <c r="AZ46" s="29">
        <f t="shared" si="18"/>
        <v>103.02377824181862</v>
      </c>
      <c r="BA46" s="29">
        <f t="shared" si="19"/>
        <v>109.24436620616731</v>
      </c>
      <c r="BC46" s="34">
        <f t="shared" si="20"/>
        <v>1.5000491720120166E-2</v>
      </c>
    </row>
    <row r="47" spans="1:55" s="39" customFormat="1">
      <c r="A47" s="39">
        <f t="shared" si="15"/>
        <v>2023</v>
      </c>
      <c r="B47" s="39">
        <f t="shared" si="16"/>
        <v>2</v>
      </c>
      <c r="C47" s="40"/>
      <c r="D47" s="40">
        <v>125479781.08315299</v>
      </c>
      <c r="E47" s="40"/>
      <c r="F47" s="40">
        <v>22807435.544266298</v>
      </c>
      <c r="G47" s="41">
        <v>871757</v>
      </c>
      <c r="H47" s="41">
        <v>4796149.8041021898</v>
      </c>
      <c r="I47" s="41">
        <v>26962</v>
      </c>
      <c r="J47" s="42">
        <v>148336.96892391299</v>
      </c>
      <c r="K47" s="40"/>
      <c r="L47" s="43">
        <v>2503880.4338413798</v>
      </c>
      <c r="M47" s="43"/>
      <c r="N47" s="43">
        <v>970194.41671929904</v>
      </c>
      <c r="O47" s="40"/>
      <c r="P47" s="40">
        <v>18330370.901308101</v>
      </c>
      <c r="Q47" s="43"/>
      <c r="R47" s="43">
        <v>24864765.153770301</v>
      </c>
      <c r="S47" s="43"/>
      <c r="T47" s="40">
        <v>95072584.636906803</v>
      </c>
      <c r="U47" s="40"/>
      <c r="V47" s="43">
        <v>114351.785939286</v>
      </c>
      <c r="W47" s="43"/>
      <c r="X47" s="43">
        <v>287218.717744786</v>
      </c>
      <c r="Y47" s="40"/>
      <c r="Z47" s="40">
        <f t="shared" si="21"/>
        <v>-1302393.4551173896</v>
      </c>
      <c r="AA47" s="40"/>
      <c r="AB47" s="40">
        <f t="shared" si="22"/>
        <v>-48737567.347554296</v>
      </c>
      <c r="AC47" s="17"/>
      <c r="AD47" s="40"/>
      <c r="AE47" s="40"/>
      <c r="AF47" s="40">
        <f>BA47/100*AF25</f>
        <v>6295818667.8735628</v>
      </c>
      <c r="AG47" s="44">
        <f t="shared" si="17"/>
        <v>2.7902653266889772E-3</v>
      </c>
      <c r="AH47" s="44">
        <f t="shared" si="23"/>
        <v>-7.741259702451945E-3</v>
      </c>
      <c r="AU47" s="39">
        <v>11862605</v>
      </c>
      <c r="AW47" s="39">
        <f t="shared" ref="AW47:AW78" si="24">(AU47-AU46)/AU46</f>
        <v>4.9313648806866093E-4</v>
      </c>
      <c r="AX47" s="48">
        <v>6941.3258480047798</v>
      </c>
      <c r="AY47" s="44">
        <f t="shared" ref="AY47:AY78" si="25">(AX47-AX46)/AX46</f>
        <v>2.2959965989209092E-3</v>
      </c>
      <c r="AZ47" s="39">
        <f t="shared" si="18"/>
        <v>103.26032048626982</v>
      </c>
      <c r="BA47" s="39">
        <f t="shared" si="19"/>
        <v>109.54918697332849</v>
      </c>
      <c r="BC47" s="44">
        <f t="shared" si="20"/>
        <v>1.3163138786433345E-2</v>
      </c>
    </row>
    <row r="48" spans="1:55">
      <c r="A48" s="39">
        <f t="shared" si="15"/>
        <v>2023</v>
      </c>
      <c r="B48" s="39">
        <f t="shared" si="16"/>
        <v>3</v>
      </c>
      <c r="C48" s="40"/>
      <c r="D48" s="40">
        <v>126372065.87233099</v>
      </c>
      <c r="E48" s="40"/>
      <c r="F48" s="40">
        <v>22969618.866875298</v>
      </c>
      <c r="G48" s="41">
        <v>902072</v>
      </c>
      <c r="H48" s="41">
        <v>4962933.9897311702</v>
      </c>
      <c r="I48" s="41">
        <v>27899</v>
      </c>
      <c r="J48" s="42">
        <v>153492.06646421799</v>
      </c>
      <c r="K48" s="40"/>
      <c r="L48" s="43">
        <v>2471728.2085504099</v>
      </c>
      <c r="M48" s="43"/>
      <c r="N48" s="43">
        <v>977935.61919974501</v>
      </c>
      <c r="O48" s="40"/>
      <c r="P48" s="40">
        <v>18206122.6634514</v>
      </c>
      <c r="Q48" s="43"/>
      <c r="R48" s="43">
        <v>21809174.0656677</v>
      </c>
      <c r="S48" s="43"/>
      <c r="T48" s="40">
        <v>83389267.278272301</v>
      </c>
      <c r="U48" s="40"/>
      <c r="V48" s="43">
        <v>112143.472852147</v>
      </c>
      <c r="W48" s="43"/>
      <c r="X48" s="43">
        <v>281672.07194422203</v>
      </c>
      <c r="Y48" s="40"/>
      <c r="Z48" s="40">
        <f t="shared" si="21"/>
        <v>-4497965.156105604</v>
      </c>
      <c r="AA48" s="40"/>
      <c r="AB48" s="40">
        <f t="shared" si="22"/>
        <v>-61188921.257510096</v>
      </c>
      <c r="AC48" s="17"/>
      <c r="AD48" s="40"/>
      <c r="AE48" s="40"/>
      <c r="AF48" s="40">
        <f>BA48/100*AF25</f>
        <v>6320551029.889986</v>
      </c>
      <c r="AG48" s="44">
        <f t="shared" si="17"/>
        <v>3.9283790275962118E-3</v>
      </c>
      <c r="AH48" s="44">
        <f t="shared" si="23"/>
        <v>-9.6809472731327877E-3</v>
      </c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40"/>
      <c r="AU48" s="39">
        <v>11911378</v>
      </c>
      <c r="AW48" s="39">
        <f t="shared" si="24"/>
        <v>4.1114915315818065E-3</v>
      </c>
      <c r="AX48" s="48">
        <v>6940.0600089343898</v>
      </c>
      <c r="AY48" s="44">
        <f t="shared" si="25"/>
        <v>-1.8236272120172593E-4</v>
      </c>
      <c r="AZ48" s="39">
        <f t="shared" si="18"/>
        <v>103.24148965323377</v>
      </c>
      <c r="BA48" s="39">
        <f t="shared" si="19"/>
        <v>109.97953770192474</v>
      </c>
      <c r="BC48" s="44">
        <f t="shared" si="20"/>
        <v>1.5010097390059254E-2</v>
      </c>
    </row>
    <row r="49" spans="1:55">
      <c r="A49" s="39">
        <f t="shared" si="15"/>
        <v>2023</v>
      </c>
      <c r="B49" s="39">
        <f t="shared" si="16"/>
        <v>4</v>
      </c>
      <c r="C49" s="40"/>
      <c r="D49" s="40">
        <v>127509300.52178399</v>
      </c>
      <c r="E49" s="40"/>
      <c r="F49" s="40">
        <v>23176324.7261157</v>
      </c>
      <c r="G49" s="41">
        <v>954435</v>
      </c>
      <c r="H49" s="41">
        <v>5251019.7661484499</v>
      </c>
      <c r="I49" s="41">
        <v>29519</v>
      </c>
      <c r="J49" s="42">
        <v>162404.828486944</v>
      </c>
      <c r="K49" s="40"/>
      <c r="L49" s="43">
        <v>2441611.6019280599</v>
      </c>
      <c r="M49" s="43"/>
      <c r="N49" s="43">
        <v>988593.340779208</v>
      </c>
      <c r="O49" s="40"/>
      <c r="P49" s="40">
        <v>18108483.088113699</v>
      </c>
      <c r="Q49" s="43"/>
      <c r="R49" s="43">
        <v>24945933.1380409</v>
      </c>
      <c r="S49" s="43"/>
      <c r="T49" s="40">
        <v>95382937.459732607</v>
      </c>
      <c r="U49" s="40"/>
      <c r="V49" s="43">
        <v>115082.69043228601</v>
      </c>
      <c r="W49" s="43"/>
      <c r="X49" s="43">
        <v>289054.53910559003</v>
      </c>
      <c r="Y49" s="40"/>
      <c r="Z49" s="40">
        <f t="shared" si="21"/>
        <v>-1545513.8403497785</v>
      </c>
      <c r="AA49" s="40"/>
      <c r="AB49" s="40">
        <f t="shared" si="22"/>
        <v>-50234846.150165081</v>
      </c>
      <c r="AC49" s="17"/>
      <c r="AD49" s="40"/>
      <c r="AE49" s="40"/>
      <c r="AF49" s="40">
        <f>BA49/100*AF25</f>
        <v>6345137540.3926048</v>
      </c>
      <c r="AG49" s="44">
        <f t="shared" si="17"/>
        <v>3.8899314927367552E-3</v>
      </c>
      <c r="AH49" s="44">
        <f t="shared" si="23"/>
        <v>-7.9170618178683021E-3</v>
      </c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U49" s="39">
        <v>11947901</v>
      </c>
      <c r="AW49" s="39">
        <f t="shared" si="24"/>
        <v>3.0662279376911725E-3</v>
      </c>
      <c r="AX49" s="48">
        <v>6945.7590863655396</v>
      </c>
      <c r="AY49" s="44">
        <f t="shared" si="25"/>
        <v>8.2118561277755883E-4</v>
      </c>
      <c r="AZ49" s="39">
        <f t="shared" si="18"/>
        <v>103.32627007917873</v>
      </c>
      <c r="BA49" s="39">
        <f t="shared" si="19"/>
        <v>110.40735056918808</v>
      </c>
      <c r="BC49" s="44">
        <f t="shared" si="20"/>
        <v>1.3140071139050098E-2</v>
      </c>
    </row>
    <row r="50" spans="1:55" s="29" customFormat="1">
      <c r="A50" s="29">
        <f t="shared" ref="A50:A81" si="26">A46+1</f>
        <v>2024</v>
      </c>
      <c r="B50" s="29">
        <f t="shared" ref="B50:B81" si="27">B46</f>
        <v>1</v>
      </c>
      <c r="C50" s="30"/>
      <c r="D50" s="30">
        <v>128843290.819822</v>
      </c>
      <c r="E50" s="30"/>
      <c r="F50" s="30">
        <v>23418793.2535276</v>
      </c>
      <c r="G50" s="31">
        <v>989754</v>
      </c>
      <c r="H50" s="31">
        <v>5445334.4833587296</v>
      </c>
      <c r="I50" s="31">
        <v>30611</v>
      </c>
      <c r="J50" s="32">
        <v>168412.69029485501</v>
      </c>
      <c r="K50" s="30"/>
      <c r="L50" s="33">
        <v>3010673.5665230802</v>
      </c>
      <c r="M50" s="33"/>
      <c r="N50" s="33">
        <v>1000387.06877082</v>
      </c>
      <c r="O50" s="30"/>
      <c r="P50" s="30">
        <v>21126233.939301498</v>
      </c>
      <c r="Q50" s="33"/>
      <c r="R50" s="33">
        <v>21863080.609214999</v>
      </c>
      <c r="S50" s="33"/>
      <c r="T50" s="30">
        <v>83595383.619697407</v>
      </c>
      <c r="U50" s="30"/>
      <c r="V50" s="33">
        <v>112936.101037078</v>
      </c>
      <c r="W50" s="33"/>
      <c r="X50" s="33">
        <v>283662.92542372103</v>
      </c>
      <c r="Y50" s="30"/>
      <c r="Z50" s="30">
        <f t="shared" si="21"/>
        <v>-5453837.1785694212</v>
      </c>
      <c r="AA50" s="30"/>
      <c r="AB50" s="30">
        <f t="shared" si="22"/>
        <v>-66374141.13942609</v>
      </c>
      <c r="AC50" s="17"/>
      <c r="AD50" s="30"/>
      <c r="AE50" s="30"/>
      <c r="AF50" s="30">
        <f>BA50/100*AF25</f>
        <v>6363129171.3826246</v>
      </c>
      <c r="AG50" s="34">
        <f t="shared" si="17"/>
        <v>2.8354989746851994E-3</v>
      </c>
      <c r="AH50" s="34">
        <f t="shared" si="23"/>
        <v>-1.0431053551126302E-2</v>
      </c>
      <c r="AS50" s="34">
        <f>AVERAGE(AG50:AG53)</f>
        <v>3.1281102327112599E-3</v>
      </c>
      <c r="AU50" s="29">
        <v>11960375</v>
      </c>
      <c r="AW50" s="29">
        <f t="shared" si="24"/>
        <v>1.0440327552094714E-3</v>
      </c>
      <c r="AX50" s="38">
        <v>6958.18920168983</v>
      </c>
      <c r="AY50" s="34">
        <f t="shared" si="25"/>
        <v>1.7895978207321725E-3</v>
      </c>
      <c r="AZ50" s="29">
        <f t="shared" si="18"/>
        <v>103.51118254693679</v>
      </c>
      <c r="BA50" s="29">
        <f t="shared" si="19"/>
        <v>110.72041049852471</v>
      </c>
      <c r="BC50" s="34">
        <f t="shared" si="20"/>
        <v>1.4934310075516086E-2</v>
      </c>
    </row>
    <row r="51" spans="1:55" s="39" customFormat="1">
      <c r="A51" s="39">
        <f t="shared" si="26"/>
        <v>2024</v>
      </c>
      <c r="B51" s="39">
        <f t="shared" si="27"/>
        <v>2</v>
      </c>
      <c r="C51" s="40"/>
      <c r="D51" s="40">
        <v>130250063.84442</v>
      </c>
      <c r="E51" s="40"/>
      <c r="F51" s="40">
        <v>23674490.9030369</v>
      </c>
      <c r="G51" s="41">
        <v>1044821</v>
      </c>
      <c r="H51" s="41">
        <v>5748296.8699670397</v>
      </c>
      <c r="I51" s="41">
        <v>32314</v>
      </c>
      <c r="J51" s="42">
        <v>177782.09382862199</v>
      </c>
      <c r="K51" s="40"/>
      <c r="L51" s="43">
        <v>2494663.6014799601</v>
      </c>
      <c r="M51" s="43"/>
      <c r="N51" s="43">
        <v>1012825.86782272</v>
      </c>
      <c r="O51" s="40"/>
      <c r="P51" s="40">
        <v>18517090.380029101</v>
      </c>
      <c r="Q51" s="43"/>
      <c r="R51" s="43">
        <v>24933797.8172861</v>
      </c>
      <c r="S51" s="43"/>
      <c r="T51" s="40">
        <v>95336537.009037599</v>
      </c>
      <c r="U51" s="40"/>
      <c r="V51" s="43">
        <v>113206.650510237</v>
      </c>
      <c r="W51" s="43"/>
      <c r="X51" s="43">
        <v>284342.467698719</v>
      </c>
      <c r="Y51" s="40"/>
      <c r="Z51" s="40">
        <f t="shared" si="21"/>
        <v>-2134975.9045432433</v>
      </c>
      <c r="AA51" s="40"/>
      <c r="AB51" s="40">
        <f t="shared" si="22"/>
        <v>-53430617.215411499</v>
      </c>
      <c r="AC51" s="17"/>
      <c r="AD51" s="40"/>
      <c r="AE51" s="40"/>
      <c r="AF51" s="40">
        <f>BA51/100*AF25</f>
        <v>6353220500.6302395</v>
      </c>
      <c r="AG51" s="44">
        <f t="shared" si="17"/>
        <v>-1.5572009439865128E-3</v>
      </c>
      <c r="AH51" s="44">
        <f t="shared" si="23"/>
        <v>-8.4100051635404727E-3</v>
      </c>
      <c r="AU51" s="39">
        <v>11969358</v>
      </c>
      <c r="AW51" s="39">
        <f t="shared" si="24"/>
        <v>7.5106340729283157E-4</v>
      </c>
      <c r="AX51" s="48">
        <v>6942.1399156375801</v>
      </c>
      <c r="AY51" s="44">
        <f t="shared" si="25"/>
        <v>-2.3065319994966947E-3</v>
      </c>
      <c r="AZ51" s="39">
        <f t="shared" si="18"/>
        <v>103.27243069208654</v>
      </c>
      <c r="BA51" s="39">
        <f t="shared" si="19"/>
        <v>110.54799657077785</v>
      </c>
      <c r="BC51" s="44">
        <f t="shared" si="20"/>
        <v>1.3102266180548553E-2</v>
      </c>
    </row>
    <row r="52" spans="1:55">
      <c r="A52" s="39">
        <f t="shared" si="26"/>
        <v>2024</v>
      </c>
      <c r="B52" s="39">
        <f t="shared" si="27"/>
        <v>3</v>
      </c>
      <c r="C52" s="40"/>
      <c r="D52" s="40">
        <v>131337908.397247</v>
      </c>
      <c r="E52" s="40"/>
      <c r="F52" s="40">
        <v>23872219.5275741</v>
      </c>
      <c r="G52" s="41">
        <v>1081958</v>
      </c>
      <c r="H52" s="41">
        <v>5952613.6867805999</v>
      </c>
      <c r="I52" s="41">
        <v>33463</v>
      </c>
      <c r="J52" s="42">
        <v>184103.55281881499</v>
      </c>
      <c r="K52" s="40"/>
      <c r="L52" s="43">
        <v>2448232.7820685999</v>
      </c>
      <c r="M52" s="43"/>
      <c r="N52" s="43">
        <v>1022510.57955264</v>
      </c>
      <c r="O52" s="40"/>
      <c r="P52" s="40">
        <v>18329443.063866898</v>
      </c>
      <c r="Q52" s="43"/>
      <c r="R52" s="43">
        <v>22033222.091189999</v>
      </c>
      <c r="S52" s="43"/>
      <c r="T52" s="40">
        <v>84245934.322480306</v>
      </c>
      <c r="U52" s="40"/>
      <c r="V52" s="43">
        <v>114823.62244422099</v>
      </c>
      <c r="W52" s="43"/>
      <c r="X52" s="43">
        <v>288403.83501094201</v>
      </c>
      <c r="Y52" s="40"/>
      <c r="Z52" s="40">
        <f t="shared" si="21"/>
        <v>-5194917.1755611189</v>
      </c>
      <c r="AA52" s="40"/>
      <c r="AB52" s="40">
        <f t="shared" si="22"/>
        <v>-65421417.138633594</v>
      </c>
      <c r="AC52" s="17"/>
      <c r="AD52" s="40"/>
      <c r="AE52" s="40"/>
      <c r="AF52" s="40">
        <f>BA52/100*AF25</f>
        <v>6411334625.4313869</v>
      </c>
      <c r="AG52" s="44">
        <f t="shared" si="17"/>
        <v>9.1471915378007959E-3</v>
      </c>
      <c r="AH52" s="44">
        <f t="shared" si="23"/>
        <v>-1.0204024740672729E-2</v>
      </c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40"/>
      <c r="AU52" s="39">
        <v>12039191</v>
      </c>
      <c r="AW52" s="39">
        <f t="shared" si="24"/>
        <v>5.8343145889696007E-3</v>
      </c>
      <c r="AX52" s="48">
        <v>6965.0049690250999</v>
      </c>
      <c r="AY52" s="44">
        <f t="shared" si="25"/>
        <v>3.2936606961802774E-3</v>
      </c>
      <c r="AZ52" s="39">
        <f t="shared" si="18"/>
        <v>103.61257503805606</v>
      </c>
      <c r="BA52" s="39">
        <f t="shared" si="19"/>
        <v>111.5592002695309</v>
      </c>
      <c r="BC52" s="44">
        <f t="shared" si="20"/>
        <v>1.4940847598187803E-2</v>
      </c>
    </row>
    <row r="53" spans="1:55">
      <c r="A53" s="39">
        <f t="shared" si="26"/>
        <v>2024</v>
      </c>
      <c r="B53" s="39">
        <f t="shared" si="27"/>
        <v>4</v>
      </c>
      <c r="C53" s="40"/>
      <c r="D53" s="40">
        <v>132422608.35299399</v>
      </c>
      <c r="E53" s="40"/>
      <c r="F53" s="40">
        <v>24069376.584368501</v>
      </c>
      <c r="G53" s="41">
        <v>1193613</v>
      </c>
      <c r="H53" s="41">
        <v>6566906.5532296598</v>
      </c>
      <c r="I53" s="41">
        <v>36915</v>
      </c>
      <c r="J53" s="42">
        <v>203095.43831415399</v>
      </c>
      <c r="K53" s="40"/>
      <c r="L53" s="43">
        <v>2486598.4099305901</v>
      </c>
      <c r="M53" s="43"/>
      <c r="N53" s="43">
        <v>1032108.68520905</v>
      </c>
      <c r="O53" s="40"/>
      <c r="P53" s="40">
        <v>18581328.434647799</v>
      </c>
      <c r="Q53" s="43"/>
      <c r="R53" s="43">
        <v>25205099.026330002</v>
      </c>
      <c r="S53" s="43"/>
      <c r="T53" s="40">
        <v>96373880.695953995</v>
      </c>
      <c r="U53" s="40"/>
      <c r="V53" s="43">
        <v>115113.95330398899</v>
      </c>
      <c r="W53" s="43"/>
      <c r="X53" s="43">
        <v>289133.06242596998</v>
      </c>
      <c r="Y53" s="40"/>
      <c r="Z53" s="40">
        <f t="shared" si="21"/>
        <v>-2267870.6998741515</v>
      </c>
      <c r="AA53" s="40"/>
      <c r="AB53" s="40">
        <f t="shared" si="22"/>
        <v>-54630056.091687799</v>
      </c>
      <c r="AC53" s="17"/>
      <c r="AD53" s="40"/>
      <c r="AE53" s="40"/>
      <c r="AF53" s="40">
        <f>BA53/100*AF25</f>
        <v>6424714768.9623842</v>
      </c>
      <c r="AG53" s="44">
        <f t="shared" si="17"/>
        <v>2.0869513623455573E-3</v>
      </c>
      <c r="AH53" s="44">
        <f t="shared" si="23"/>
        <v>-8.5031099521497913E-3</v>
      </c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U53" s="39">
        <v>12045186</v>
      </c>
      <c r="AW53" s="39">
        <f t="shared" si="24"/>
        <v>4.9795704711388001E-4</v>
      </c>
      <c r="AX53" s="48">
        <v>6976.0668140027801</v>
      </c>
      <c r="AY53" s="44">
        <f t="shared" si="25"/>
        <v>1.5882034581274113E-3</v>
      </c>
      <c r="AZ53" s="39">
        <f t="shared" si="18"/>
        <v>103.77713288803699</v>
      </c>
      <c r="BA53" s="39">
        <f t="shared" si="19"/>
        <v>111.79201889451558</v>
      </c>
      <c r="BC53" s="44">
        <f t="shared" si="20"/>
        <v>1.3055438464527426E-2</v>
      </c>
    </row>
    <row r="54" spans="1:55" s="29" customFormat="1">
      <c r="A54" s="29">
        <f t="shared" si="26"/>
        <v>2025</v>
      </c>
      <c r="B54" s="29">
        <f t="shared" si="27"/>
        <v>1</v>
      </c>
      <c r="C54" s="30"/>
      <c r="D54" s="30">
        <v>133612270.83074801</v>
      </c>
      <c r="E54" s="30"/>
      <c r="F54" s="30">
        <v>24285611.822002701</v>
      </c>
      <c r="G54" s="31">
        <v>1308787</v>
      </c>
      <c r="H54" s="31">
        <v>7200559.9194058599</v>
      </c>
      <c r="I54" s="31">
        <v>40478</v>
      </c>
      <c r="J54" s="32">
        <v>222698.013059199</v>
      </c>
      <c r="K54" s="30"/>
      <c r="L54" s="33">
        <v>2997613.4135086299</v>
      </c>
      <c r="M54" s="33"/>
      <c r="N54" s="33">
        <v>1042051.92005594</v>
      </c>
      <c r="O54" s="30"/>
      <c r="P54" s="30">
        <v>21287692.4618764</v>
      </c>
      <c r="Q54" s="33"/>
      <c r="R54" s="33">
        <v>22151158.436744001</v>
      </c>
      <c r="S54" s="33"/>
      <c r="T54" s="30">
        <v>84696874.161449507</v>
      </c>
      <c r="U54" s="30"/>
      <c r="V54" s="33">
        <v>111304.542330011</v>
      </c>
      <c r="W54" s="33"/>
      <c r="X54" s="33">
        <v>279564.920342998</v>
      </c>
      <c r="Y54" s="30"/>
      <c r="Z54" s="30">
        <f t="shared" si="21"/>
        <v>-6062814.176493261</v>
      </c>
      <c r="AA54" s="30"/>
      <c r="AB54" s="30">
        <f t="shared" si="22"/>
        <v>-70203089.131174892</v>
      </c>
      <c r="AC54" s="17"/>
      <c r="AD54" s="30"/>
      <c r="AE54" s="30"/>
      <c r="AF54" s="30">
        <f>BA54/100*AF25</f>
        <v>6434398021.2943411</v>
      </c>
      <c r="AG54" s="34">
        <f t="shared" si="17"/>
        <v>1.507187895521274E-3</v>
      </c>
      <c r="AH54" s="34">
        <f t="shared" si="23"/>
        <v>-1.0910591620046045E-2</v>
      </c>
      <c r="AS54" s="34">
        <f>AVERAGE(AG54:AG57)</f>
        <v>3.4416736881309777E-3</v>
      </c>
      <c r="AU54" s="29">
        <v>12070580</v>
      </c>
      <c r="AW54" s="29">
        <f t="shared" si="24"/>
        <v>2.1082281336294848E-3</v>
      </c>
      <c r="AX54" s="38">
        <v>6971.8827381302999</v>
      </c>
      <c r="AY54" s="34">
        <f t="shared" si="25"/>
        <v>-5.9977577394781814E-4</v>
      </c>
      <c r="AZ54" s="29">
        <f t="shared" si="18"/>
        <v>103.71488987784099</v>
      </c>
      <c r="BA54" s="29">
        <f t="shared" si="19"/>
        <v>111.96051047220928</v>
      </c>
      <c r="BC54" s="34">
        <f t="shared" si="20"/>
        <v>1.4916524329588621E-2</v>
      </c>
    </row>
    <row r="55" spans="1:55" s="39" customFormat="1">
      <c r="A55" s="39">
        <f t="shared" si="26"/>
        <v>2025</v>
      </c>
      <c r="B55" s="39">
        <f t="shared" si="27"/>
        <v>2</v>
      </c>
      <c r="C55" s="40"/>
      <c r="D55" s="40">
        <v>134636461.308763</v>
      </c>
      <c r="E55" s="40"/>
      <c r="F55" s="40">
        <v>24471770.5649551</v>
      </c>
      <c r="G55" s="41">
        <v>1418796</v>
      </c>
      <c r="H55" s="41">
        <v>7805796.9795034304</v>
      </c>
      <c r="I55" s="41">
        <v>43880</v>
      </c>
      <c r="J55" s="42">
        <v>241414.81330692401</v>
      </c>
      <c r="K55" s="40"/>
      <c r="L55" s="43">
        <v>2438875.2641866398</v>
      </c>
      <c r="M55" s="43"/>
      <c r="N55" s="43">
        <v>1051470.1373172901</v>
      </c>
      <c r="O55" s="40"/>
      <c r="P55" s="40">
        <v>18440213.801463801</v>
      </c>
      <c r="Q55" s="43"/>
      <c r="R55" s="43">
        <v>25304749.803178601</v>
      </c>
      <c r="S55" s="43"/>
      <c r="T55" s="40">
        <v>96754904.078136906</v>
      </c>
      <c r="U55" s="40"/>
      <c r="V55" s="43">
        <v>118536.39321226699</v>
      </c>
      <c r="W55" s="43"/>
      <c r="X55" s="43">
        <v>297729.24475875997</v>
      </c>
      <c r="Y55" s="40"/>
      <c r="Z55" s="40">
        <f t="shared" si="21"/>
        <v>-2538829.7700681612</v>
      </c>
      <c r="AA55" s="40"/>
      <c r="AB55" s="40">
        <f t="shared" si="22"/>
        <v>-56321771.032089889</v>
      </c>
      <c r="AC55" s="17"/>
      <c r="AD55" s="40"/>
      <c r="AE55" s="40"/>
      <c r="AF55" s="40">
        <f>BA55/100*AF25</f>
        <v>6445987761.6926613</v>
      </c>
      <c r="AG55" s="44">
        <f t="shared" si="17"/>
        <v>1.8012159583483166E-3</v>
      </c>
      <c r="AH55" s="44">
        <f t="shared" si="23"/>
        <v>-8.7374927031043988E-3</v>
      </c>
      <c r="AU55" s="39">
        <v>12069976</v>
      </c>
      <c r="AW55" s="39">
        <f t="shared" si="24"/>
        <v>-5.0039020494458425E-5</v>
      </c>
      <c r="AX55" s="48">
        <v>6984.7901166337497</v>
      </c>
      <c r="AY55" s="44">
        <f t="shared" si="25"/>
        <v>1.8513476184642812E-3</v>
      </c>
      <c r="AZ55" s="39">
        <f t="shared" si="18"/>
        <v>103.90690219221561</v>
      </c>
      <c r="BA55" s="39">
        <f t="shared" si="19"/>
        <v>112.16217553037664</v>
      </c>
      <c r="BC55" s="44">
        <f t="shared" si="20"/>
        <v>1.2992123968719621E-2</v>
      </c>
    </row>
    <row r="56" spans="1:55">
      <c r="A56" s="39">
        <f t="shared" si="26"/>
        <v>2025</v>
      </c>
      <c r="B56" s="39">
        <f t="shared" si="27"/>
        <v>3</v>
      </c>
      <c r="C56" s="40"/>
      <c r="D56" s="40">
        <v>135746555.79640099</v>
      </c>
      <c r="E56" s="40"/>
      <c r="F56" s="40">
        <v>24673543.378521498</v>
      </c>
      <c r="G56" s="41">
        <v>1538285</v>
      </c>
      <c r="H56" s="41">
        <v>8463190.2025488093</v>
      </c>
      <c r="I56" s="41">
        <v>47576</v>
      </c>
      <c r="J56" s="42">
        <v>261749.114810625</v>
      </c>
      <c r="K56" s="40"/>
      <c r="L56" s="43">
        <v>2474847.3520032899</v>
      </c>
      <c r="M56" s="43"/>
      <c r="N56" s="43">
        <v>1061174.0923993201</v>
      </c>
      <c r="O56" s="40"/>
      <c r="P56" s="40">
        <v>18680261.433880199</v>
      </c>
      <c r="Q56" s="43"/>
      <c r="R56" s="43">
        <v>22281039.920284901</v>
      </c>
      <c r="S56" s="43"/>
      <c r="T56" s="40">
        <v>85193487.270817101</v>
      </c>
      <c r="U56" s="40"/>
      <c r="V56" s="43">
        <v>117960.210324983</v>
      </c>
      <c r="W56" s="43"/>
      <c r="X56" s="43">
        <v>296282.03946403897</v>
      </c>
      <c r="Y56" s="40"/>
      <c r="Z56" s="40">
        <f t="shared" si="21"/>
        <v>-5810564.6923142262</v>
      </c>
      <c r="AA56" s="40"/>
      <c r="AB56" s="40">
        <f t="shared" si="22"/>
        <v>-69233329.959464088</v>
      </c>
      <c r="AC56" s="17"/>
      <c r="AD56" s="40"/>
      <c r="AE56" s="40"/>
      <c r="AF56" s="40">
        <f>BA56/100*AF25</f>
        <v>6483487522.1973705</v>
      </c>
      <c r="AG56" s="44">
        <f t="shared" si="17"/>
        <v>5.8175351693286687E-3</v>
      </c>
      <c r="AH56" s="44">
        <f t="shared" si="23"/>
        <v>-1.0678408761092158E-2</v>
      </c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40"/>
      <c r="AU56" s="39">
        <v>12139184</v>
      </c>
      <c r="AW56" s="39">
        <f t="shared" si="24"/>
        <v>5.7338970682294646E-3</v>
      </c>
      <c r="AX56" s="48">
        <v>6985.3709806014804</v>
      </c>
      <c r="AY56" s="44">
        <f t="shared" si="25"/>
        <v>8.3161262977309686E-5</v>
      </c>
      <c r="AZ56" s="39">
        <f t="shared" si="18"/>
        <v>103.91554322143396</v>
      </c>
      <c r="BA56" s="39">
        <f t="shared" si="19"/>
        <v>112.81468293119303</v>
      </c>
      <c r="BC56" s="44">
        <f t="shared" si="20"/>
        <v>1.4934412425513126E-2</v>
      </c>
    </row>
    <row r="57" spans="1:55">
      <c r="A57" s="39">
        <f t="shared" si="26"/>
        <v>2025</v>
      </c>
      <c r="B57" s="39">
        <f t="shared" si="27"/>
        <v>4</v>
      </c>
      <c r="C57" s="40"/>
      <c r="D57" s="40">
        <v>136466850.42942199</v>
      </c>
      <c r="E57" s="40"/>
      <c r="F57" s="40">
        <v>24804465.454362798</v>
      </c>
      <c r="G57" s="41">
        <v>1638558</v>
      </c>
      <c r="H57" s="41">
        <v>9014862.6632307805</v>
      </c>
      <c r="I57" s="41">
        <v>50677</v>
      </c>
      <c r="J57" s="42">
        <v>278809.90186770703</v>
      </c>
      <c r="K57" s="40"/>
      <c r="L57" s="43">
        <v>2470538.9577180599</v>
      </c>
      <c r="M57" s="43"/>
      <c r="N57" s="43">
        <v>1067374.7991344</v>
      </c>
      <c r="O57" s="40"/>
      <c r="P57" s="40">
        <v>18692019.614405099</v>
      </c>
      <c r="Q57" s="43"/>
      <c r="R57" s="43">
        <v>25440971.8179584</v>
      </c>
      <c r="S57" s="43"/>
      <c r="T57" s="40">
        <v>97275760.758241206</v>
      </c>
      <c r="U57" s="40"/>
      <c r="V57" s="43">
        <v>121614.13032031299</v>
      </c>
      <c r="W57" s="43"/>
      <c r="X57" s="43">
        <v>305459.633037942</v>
      </c>
      <c r="Y57" s="40"/>
      <c r="Z57" s="40">
        <f t="shared" si="21"/>
        <v>-2779793.2629365437</v>
      </c>
      <c r="AA57" s="40"/>
      <c r="AB57" s="40">
        <f t="shared" si="22"/>
        <v>-57883109.28558588</v>
      </c>
      <c r="AC57" s="17"/>
      <c r="AD57" s="40"/>
      <c r="AE57" s="40"/>
      <c r="AF57" s="40">
        <f>BA57/100*AF25</f>
        <v>6513575804.0620193</v>
      </c>
      <c r="AG57" s="44">
        <f t="shared" si="17"/>
        <v>4.6407557293256518E-3</v>
      </c>
      <c r="AH57" s="44">
        <f t="shared" si="23"/>
        <v>-8.8865334536351922E-3</v>
      </c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U57" s="39">
        <v>12172499</v>
      </c>
      <c r="AW57" s="39">
        <f t="shared" si="24"/>
        <v>2.7444184057182097E-3</v>
      </c>
      <c r="AX57" s="48">
        <v>6998.5813455425496</v>
      </c>
      <c r="AY57" s="44">
        <f t="shared" si="25"/>
        <v>1.8911472243571112E-3</v>
      </c>
      <c r="AZ57" s="39">
        <f t="shared" si="18"/>
        <v>104.11206281256473</v>
      </c>
      <c r="BA57" s="39">
        <f t="shared" si="19"/>
        <v>113.33822831735802</v>
      </c>
      <c r="BC57" s="44">
        <f t="shared" si="20"/>
        <v>1.310361179751262E-2</v>
      </c>
    </row>
    <row r="58" spans="1:55" s="29" customFormat="1">
      <c r="A58" s="29">
        <f t="shared" si="26"/>
        <v>2026</v>
      </c>
      <c r="B58" s="29">
        <f t="shared" si="27"/>
        <v>1</v>
      </c>
      <c r="C58" s="30"/>
      <c r="D58" s="30">
        <v>136863193.11144099</v>
      </c>
      <c r="E58" s="30"/>
      <c r="F58" s="30">
        <v>24876505.428417299</v>
      </c>
      <c r="G58" s="31">
        <v>1750809</v>
      </c>
      <c r="H58" s="31">
        <v>9632434.5458314102</v>
      </c>
      <c r="I58" s="31">
        <v>54149</v>
      </c>
      <c r="J58" s="32">
        <v>297911.82146209298</v>
      </c>
      <c r="K58" s="30"/>
      <c r="L58" s="33">
        <v>2969000.9271501298</v>
      </c>
      <c r="M58" s="33"/>
      <c r="N58" s="33">
        <v>1070280.2938016199</v>
      </c>
      <c r="O58" s="30"/>
      <c r="P58" s="30">
        <v>21294526.317776099</v>
      </c>
      <c r="Q58" s="33"/>
      <c r="R58" s="33">
        <v>22476251.6284247</v>
      </c>
      <c r="S58" s="33"/>
      <c r="T58" s="30">
        <v>85939896.156220093</v>
      </c>
      <c r="U58" s="30"/>
      <c r="V58" s="33">
        <v>122500.527686937</v>
      </c>
      <c r="W58" s="33"/>
      <c r="X58" s="33">
        <v>307686.00766745099</v>
      </c>
      <c r="Y58" s="30"/>
      <c r="Z58" s="30">
        <f t="shared" si="21"/>
        <v>-6317034.4932574108</v>
      </c>
      <c r="AA58" s="30"/>
      <c r="AB58" s="30">
        <f t="shared" si="22"/>
        <v>-72217823.272996992</v>
      </c>
      <c r="AC58" s="17"/>
      <c r="AD58" s="30"/>
      <c r="AE58" s="30"/>
      <c r="AF58" s="30">
        <f>BA58/100*AF25</f>
        <v>6559162741.1604033</v>
      </c>
      <c r="AG58" s="34">
        <f t="shared" ref="AG58:AG89" si="28">(AF58-AF57)/AF57</f>
        <v>6.9987574367300397E-3</v>
      </c>
      <c r="AH58" s="34">
        <f t="shared" si="23"/>
        <v>-1.1010219767808459E-2</v>
      </c>
      <c r="AS58" s="34">
        <f>AVERAGE(AG58:AG61)</f>
        <v>4.7829568020533895E-3</v>
      </c>
      <c r="AU58" s="29">
        <v>12211813</v>
      </c>
      <c r="AW58" s="29">
        <f t="shared" si="24"/>
        <v>3.2297394314840361E-3</v>
      </c>
      <c r="AX58" s="38">
        <v>7024.8742055583198</v>
      </c>
      <c r="AY58" s="34">
        <f t="shared" si="25"/>
        <v>3.7568842480506892E-3</v>
      </c>
      <c r="AZ58" s="29">
        <f t="shared" ref="AZ58:AZ89" si="29">AZ57*((1+AY58))</f>
        <v>104.50319978137732</v>
      </c>
      <c r="BA58" s="29">
        <f t="shared" si="19"/>
        <v>114.13145508565994</v>
      </c>
      <c r="BC58" s="34">
        <f t="shared" si="20"/>
        <v>1.5005919861548504E-2</v>
      </c>
    </row>
    <row r="59" spans="1:55" s="39" customFormat="1">
      <c r="A59" s="39">
        <f t="shared" si="26"/>
        <v>2026</v>
      </c>
      <c r="B59" s="39">
        <f t="shared" si="27"/>
        <v>2</v>
      </c>
      <c r="C59" s="40"/>
      <c r="D59" s="40">
        <v>137805089.88837701</v>
      </c>
      <c r="E59" s="40"/>
      <c r="F59" s="40">
        <v>25047706.3170694</v>
      </c>
      <c r="G59" s="41">
        <v>1860876</v>
      </c>
      <c r="H59" s="41">
        <v>10237990.7048162</v>
      </c>
      <c r="I59" s="41">
        <v>57553</v>
      </c>
      <c r="J59" s="42">
        <v>316639.62511972198</v>
      </c>
      <c r="K59" s="40"/>
      <c r="L59" s="43">
        <v>2487310.6501744101</v>
      </c>
      <c r="M59" s="43"/>
      <c r="N59" s="43">
        <v>1078199.3348926201</v>
      </c>
      <c r="O59" s="40"/>
      <c r="P59" s="40">
        <v>18838601.408277702</v>
      </c>
      <c r="Q59" s="43"/>
      <c r="R59" s="43">
        <v>25736372.493134599</v>
      </c>
      <c r="S59" s="43"/>
      <c r="T59" s="40">
        <v>98405250.842656106</v>
      </c>
      <c r="U59" s="40"/>
      <c r="V59" s="43">
        <v>126306.92653652</v>
      </c>
      <c r="W59" s="43"/>
      <c r="X59" s="43">
        <v>317246.58416236198</v>
      </c>
      <c r="Y59" s="40"/>
      <c r="Z59" s="40">
        <f t="shared" si="21"/>
        <v>-2750536.8824653104</v>
      </c>
      <c r="AA59" s="40"/>
      <c r="AB59" s="40">
        <f t="shared" si="22"/>
        <v>-58238440.45399861</v>
      </c>
      <c r="AC59" s="17"/>
      <c r="AD59" s="40"/>
      <c r="AE59" s="40"/>
      <c r="AF59" s="40">
        <f>BA59/100*AF25</f>
        <v>6586323178.5184546</v>
      </c>
      <c r="AG59" s="44">
        <f t="shared" si="28"/>
        <v>4.1408390719767773E-3</v>
      </c>
      <c r="AH59" s="44">
        <f t="shared" si="23"/>
        <v>-8.8423296087178829E-3</v>
      </c>
      <c r="AU59" s="39">
        <v>12246974</v>
      </c>
      <c r="AW59" s="39">
        <f t="shared" si="24"/>
        <v>2.8792612530178772E-3</v>
      </c>
      <c r="AX59" s="48">
        <v>7033.7111870586004</v>
      </c>
      <c r="AY59" s="44">
        <f t="shared" si="25"/>
        <v>1.2579558354637228E-3</v>
      </c>
      <c r="AZ59" s="39">
        <f t="shared" si="29"/>
        <v>104.63466019136693</v>
      </c>
      <c r="BA59" s="39">
        <f t="shared" si="19"/>
        <v>114.6040550742202</v>
      </c>
      <c r="BC59" s="44">
        <f t="shared" si="20"/>
        <v>1.3117536984573484E-2</v>
      </c>
    </row>
    <row r="60" spans="1:55">
      <c r="A60" s="39">
        <f t="shared" si="26"/>
        <v>2026</v>
      </c>
      <c r="B60" s="39">
        <f t="shared" si="27"/>
        <v>3</v>
      </c>
      <c r="C60" s="40"/>
      <c r="D60" s="40">
        <v>138682791.66284201</v>
      </c>
      <c r="E60" s="40"/>
      <c r="F60" s="40">
        <v>25207239.004131898</v>
      </c>
      <c r="G60" s="41">
        <v>2014938</v>
      </c>
      <c r="H60" s="41">
        <v>11085594.3731775</v>
      </c>
      <c r="I60" s="41">
        <v>62317</v>
      </c>
      <c r="J60" s="42">
        <v>342849.74751247902</v>
      </c>
      <c r="K60" s="40"/>
      <c r="L60" s="43">
        <v>2435713.2241533701</v>
      </c>
      <c r="M60" s="43"/>
      <c r="N60" s="43">
        <v>1085551.56098392</v>
      </c>
      <c r="O60" s="40"/>
      <c r="P60" s="40">
        <v>18611311.898067601</v>
      </c>
      <c r="Q60" s="43"/>
      <c r="R60" s="43">
        <v>22484351.2662948</v>
      </c>
      <c r="S60" s="43"/>
      <c r="T60" s="40">
        <v>85970865.823625803</v>
      </c>
      <c r="U60" s="40"/>
      <c r="V60" s="43">
        <v>126198.16182484799</v>
      </c>
      <c r="W60" s="43"/>
      <c r="X60" s="43">
        <v>316973.39856437902</v>
      </c>
      <c r="Y60" s="40"/>
      <c r="Z60" s="40">
        <f t="shared" si="21"/>
        <v>-6117954.3611495383</v>
      </c>
      <c r="AA60" s="40"/>
      <c r="AB60" s="40">
        <f t="shared" si="22"/>
        <v>-71323237.737283796</v>
      </c>
      <c r="AC60" s="17"/>
      <c r="AD60" s="40"/>
      <c r="AE60" s="40"/>
      <c r="AF60" s="40">
        <f>BA60/100*AF25</f>
        <v>6585061547.8916998</v>
      </c>
      <c r="AG60" s="44">
        <f t="shared" si="28"/>
        <v>-1.9155310065403674E-4</v>
      </c>
      <c r="AH60" s="44">
        <f t="shared" si="23"/>
        <v>-1.0831066227485593E-2</v>
      </c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40"/>
      <c r="AU60" s="39">
        <v>12267428</v>
      </c>
      <c r="AW60" s="39">
        <f t="shared" si="24"/>
        <v>1.6701268411282656E-3</v>
      </c>
      <c r="AX60" s="48">
        <v>7020.6385010691201</v>
      </c>
      <c r="AY60" s="44">
        <f t="shared" si="25"/>
        <v>-1.8585758843116674E-3</v>
      </c>
      <c r="AZ60" s="39">
        <f t="shared" si="29"/>
        <v>104.4401887352721</v>
      </c>
      <c r="BA60" s="39">
        <f t="shared" si="19"/>
        <v>114.58210231212321</v>
      </c>
      <c r="BC60" s="44">
        <f t="shared" si="20"/>
        <v>1.4984948969642609E-2</v>
      </c>
    </row>
    <row r="61" spans="1:55">
      <c r="A61" s="39">
        <f t="shared" si="26"/>
        <v>2026</v>
      </c>
      <c r="B61" s="39">
        <f t="shared" si="27"/>
        <v>4</v>
      </c>
      <c r="C61" s="40"/>
      <c r="D61" s="40">
        <v>139440434.25334901</v>
      </c>
      <c r="E61" s="40"/>
      <c r="F61" s="40">
        <v>25344949.513342399</v>
      </c>
      <c r="G61" s="41">
        <v>2120204</v>
      </c>
      <c r="H61" s="41">
        <v>11664736.8466863</v>
      </c>
      <c r="I61" s="41">
        <v>65573</v>
      </c>
      <c r="J61" s="42">
        <v>360763.29883716803</v>
      </c>
      <c r="K61" s="40"/>
      <c r="L61" s="43">
        <v>2415987.2401365698</v>
      </c>
      <c r="M61" s="43"/>
      <c r="N61" s="43">
        <v>1091959.0660758801</v>
      </c>
      <c r="O61" s="40"/>
      <c r="P61" s="40">
        <v>18544205.8757273</v>
      </c>
      <c r="Q61" s="43"/>
      <c r="R61" s="43">
        <v>25899790.309508901</v>
      </c>
      <c r="S61" s="43"/>
      <c r="T61" s="40">
        <v>99030093.027263001</v>
      </c>
      <c r="U61" s="40"/>
      <c r="V61" s="43">
        <v>129190.349572308</v>
      </c>
      <c r="W61" s="43"/>
      <c r="X61" s="43">
        <v>324488.91151433397</v>
      </c>
      <c r="Y61" s="40"/>
      <c r="Z61" s="40">
        <f t="shared" si="21"/>
        <v>-2823915.160473641</v>
      </c>
      <c r="AA61" s="40"/>
      <c r="AB61" s="40">
        <f t="shared" si="22"/>
        <v>-58954547.101813301</v>
      </c>
      <c r="AC61" s="17"/>
      <c r="AD61" s="40"/>
      <c r="AE61" s="40"/>
      <c r="AF61" s="40">
        <f>BA61/100*AF25</f>
        <v>6638952267.9103975</v>
      </c>
      <c r="AG61" s="44">
        <f t="shared" si="28"/>
        <v>8.1837838001607762E-3</v>
      </c>
      <c r="AH61" s="44">
        <f t="shared" si="23"/>
        <v>-8.8800980520333181E-3</v>
      </c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U61" s="39">
        <v>12342815</v>
      </c>
      <c r="AW61" s="39">
        <f t="shared" si="24"/>
        <v>6.1452979385735948E-3</v>
      </c>
      <c r="AX61" s="48">
        <v>7034.8625622987101</v>
      </c>
      <c r="AY61" s="44">
        <f t="shared" si="25"/>
        <v>2.0260352712112911E-3</v>
      </c>
      <c r="AZ61" s="39">
        <f t="shared" si="29"/>
        <v>104.65178824138174</v>
      </c>
      <c r="BA61" s="39">
        <f t="shared" si="19"/>
        <v>115.51981746481351</v>
      </c>
      <c r="BC61" s="44">
        <f t="shared" si="20"/>
        <v>1.3147728169128341E-2</v>
      </c>
    </row>
    <row r="62" spans="1:55" s="29" customFormat="1">
      <c r="A62" s="29">
        <f t="shared" si="26"/>
        <v>2027</v>
      </c>
      <c r="B62" s="29">
        <f t="shared" si="27"/>
        <v>1</v>
      </c>
      <c r="C62" s="30"/>
      <c r="D62" s="30">
        <v>140348290.73680201</v>
      </c>
      <c r="E62" s="30"/>
      <c r="F62" s="30">
        <v>25509963.175711401</v>
      </c>
      <c r="G62" s="31">
        <v>2261029</v>
      </c>
      <c r="H62" s="31">
        <v>12439514.446593899</v>
      </c>
      <c r="I62" s="31">
        <v>69929</v>
      </c>
      <c r="J62" s="32">
        <v>384728.72560938698</v>
      </c>
      <c r="K62" s="30"/>
      <c r="L62" s="33">
        <v>2934953.3348991498</v>
      </c>
      <c r="M62" s="33"/>
      <c r="N62" s="33">
        <v>1098250.33487227</v>
      </c>
      <c r="O62" s="30"/>
      <c r="P62" s="30">
        <v>21271736.113204699</v>
      </c>
      <c r="Q62" s="33"/>
      <c r="R62" s="33">
        <v>22776232.208282799</v>
      </c>
      <c r="S62" s="33"/>
      <c r="T62" s="30">
        <v>87086897.903134197</v>
      </c>
      <c r="U62" s="30"/>
      <c r="V62" s="33">
        <v>133245.722735519</v>
      </c>
      <c r="W62" s="33"/>
      <c r="X62" s="33">
        <v>334674.839703793</v>
      </c>
      <c r="Y62" s="30"/>
      <c r="Z62" s="30">
        <f t="shared" si="21"/>
        <v>-6633688.9144645035</v>
      </c>
      <c r="AA62" s="30"/>
      <c r="AB62" s="30">
        <f t="shared" si="22"/>
        <v>-74533128.946872517</v>
      </c>
      <c r="AC62" s="17"/>
      <c r="AD62" s="30"/>
      <c r="AE62" s="30"/>
      <c r="AF62" s="30">
        <f>BA62/100*AF25</f>
        <v>6703053181.5127563</v>
      </c>
      <c r="AG62" s="34">
        <f t="shared" si="28"/>
        <v>9.6552755639158269E-3</v>
      </c>
      <c r="AH62" s="34">
        <f t="shared" si="23"/>
        <v>-1.1119280561944125E-2</v>
      </c>
      <c r="AS62" s="34">
        <f>AVERAGE(AG62:AG65)</f>
        <v>4.2760797030915168E-3</v>
      </c>
      <c r="AU62" s="29">
        <v>12406978</v>
      </c>
      <c r="AW62" s="29">
        <f t="shared" si="24"/>
        <v>5.1984089529009386E-3</v>
      </c>
      <c r="AX62" s="38">
        <v>7066.0538612380396</v>
      </c>
      <c r="AY62" s="34">
        <f t="shared" si="25"/>
        <v>4.4338178128013684E-3</v>
      </c>
      <c r="AZ62" s="29">
        <f t="shared" si="29"/>
        <v>105.11579520422789</v>
      </c>
      <c r="BA62" s="29">
        <f t="shared" si="19"/>
        <v>116.63519313552955</v>
      </c>
      <c r="BC62" s="34">
        <f t="shared" si="20"/>
        <v>1.5003715050830277E-2</v>
      </c>
    </row>
    <row r="63" spans="1:55" s="39" customFormat="1">
      <c r="A63" s="39">
        <f t="shared" si="26"/>
        <v>2027</v>
      </c>
      <c r="B63" s="39">
        <f t="shared" si="27"/>
        <v>2</v>
      </c>
      <c r="C63" s="40"/>
      <c r="D63" s="40">
        <v>141301969.02103901</v>
      </c>
      <c r="E63" s="40"/>
      <c r="F63" s="40">
        <v>25683305.492775898</v>
      </c>
      <c r="G63" s="41">
        <v>2367621</v>
      </c>
      <c r="H63" s="41">
        <v>13025952.180869499</v>
      </c>
      <c r="I63" s="41">
        <v>73226</v>
      </c>
      <c r="J63" s="42">
        <v>402867.84683712001</v>
      </c>
      <c r="K63" s="40"/>
      <c r="L63" s="43">
        <v>2421426.6616370501</v>
      </c>
      <c r="M63" s="43"/>
      <c r="N63" s="43">
        <v>1106096.4720058299</v>
      </c>
      <c r="O63" s="40"/>
      <c r="P63" s="40">
        <v>18650210.895968799</v>
      </c>
      <c r="Q63" s="43"/>
      <c r="R63" s="43">
        <v>26213014.0515953</v>
      </c>
      <c r="S63" s="43"/>
      <c r="T63" s="40">
        <v>100227731.15276401</v>
      </c>
      <c r="U63" s="40"/>
      <c r="V63" s="43">
        <v>130117.33394378</v>
      </c>
      <c r="W63" s="43"/>
      <c r="X63" s="43">
        <v>326817.22899845999</v>
      </c>
      <c r="Y63" s="40"/>
      <c r="Z63" s="40">
        <f t="shared" si="21"/>
        <v>-2867697.2408796959</v>
      </c>
      <c r="AA63" s="40"/>
      <c r="AB63" s="40">
        <f t="shared" si="22"/>
        <v>-59724448.764243796</v>
      </c>
      <c r="AC63" s="17"/>
      <c r="AD63" s="40"/>
      <c r="AE63" s="40"/>
      <c r="AF63" s="40">
        <f>BA63/100*AF25</f>
        <v>6711193470.2928438</v>
      </c>
      <c r="AG63" s="44">
        <f t="shared" si="28"/>
        <v>1.2144150672321471E-3</v>
      </c>
      <c r="AH63" s="44">
        <f t="shared" si="23"/>
        <v>-8.8992291801174538E-3</v>
      </c>
      <c r="AU63" s="39">
        <v>12409046</v>
      </c>
      <c r="AW63" s="39">
        <f t="shared" si="24"/>
        <v>1.666803955000162E-4</v>
      </c>
      <c r="AX63" s="48">
        <v>7073.4559770731903</v>
      </c>
      <c r="AY63" s="44">
        <f t="shared" si="25"/>
        <v>1.0475600640063238E-3</v>
      </c>
      <c r="AZ63" s="39">
        <f t="shared" si="29"/>
        <v>105.22591031338011</v>
      </c>
      <c r="BA63" s="39">
        <f t="shared" si="19"/>
        <v>116.77683667144287</v>
      </c>
      <c r="BC63" s="44">
        <f t="shared" si="20"/>
        <v>1.3093941330897099E-2</v>
      </c>
    </row>
    <row r="64" spans="1:55">
      <c r="A64" s="39">
        <f t="shared" si="26"/>
        <v>2027</v>
      </c>
      <c r="B64" s="39">
        <f t="shared" si="27"/>
        <v>3</v>
      </c>
      <c r="C64" s="40"/>
      <c r="D64" s="40">
        <v>142097517.01414499</v>
      </c>
      <c r="E64" s="40"/>
      <c r="F64" s="40">
        <v>25827905.7576035</v>
      </c>
      <c r="G64" s="41">
        <v>2504763</v>
      </c>
      <c r="H64" s="41">
        <v>13780467.0014378</v>
      </c>
      <c r="I64" s="41">
        <v>77467</v>
      </c>
      <c r="J64" s="42">
        <v>426200.57753982401</v>
      </c>
      <c r="K64" s="40"/>
      <c r="L64" s="43">
        <v>2483037.6554939901</v>
      </c>
      <c r="M64" s="43"/>
      <c r="N64" s="43">
        <v>1111852.2367708399</v>
      </c>
      <c r="O64" s="40"/>
      <c r="P64" s="40">
        <v>19001577.1554907</v>
      </c>
      <c r="Q64" s="43"/>
      <c r="R64" s="43">
        <v>23108412.461503901</v>
      </c>
      <c r="S64" s="43"/>
      <c r="T64" s="40">
        <v>88357017.891952604</v>
      </c>
      <c r="U64" s="40"/>
      <c r="V64" s="43">
        <v>127669.335564847</v>
      </c>
      <c r="W64" s="43"/>
      <c r="X64" s="43">
        <v>320668.56284809898</v>
      </c>
      <c r="Y64" s="40"/>
      <c r="Z64" s="40">
        <f t="shared" si="21"/>
        <v>-6186713.8527995795</v>
      </c>
      <c r="AA64" s="40"/>
      <c r="AB64" s="40">
        <f t="shared" si="22"/>
        <v>-72742076.277683079</v>
      </c>
      <c r="AC64" s="17"/>
      <c r="AD64" s="40"/>
      <c r="AE64" s="40"/>
      <c r="AF64" s="40">
        <f>BA64/100*AF25</f>
        <v>6742951428.7598848</v>
      </c>
      <c r="AG64" s="44">
        <f t="shared" si="28"/>
        <v>4.7320880567097183E-3</v>
      </c>
      <c r="AH64" s="44">
        <f t="shared" si="23"/>
        <v>-1.0787868939323099E-2</v>
      </c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40"/>
      <c r="AU64" s="39">
        <v>12459334</v>
      </c>
      <c r="AW64" s="39">
        <f t="shared" si="24"/>
        <v>4.0525274868027728E-3</v>
      </c>
      <c r="AX64" s="48">
        <v>7078.2434176138004</v>
      </c>
      <c r="AY64" s="44">
        <f t="shared" si="25"/>
        <v>6.7681774738223425E-4</v>
      </c>
      <c r="AZ64" s="39">
        <f t="shared" si="29"/>
        <v>105.29712907696465</v>
      </c>
      <c r="BA64" s="39">
        <f t="shared" si="19"/>
        <v>117.32943494555614</v>
      </c>
      <c r="BC64" s="44">
        <f t="shared" si="20"/>
        <v>1.5005507195639357E-2</v>
      </c>
    </row>
    <row r="65" spans="1:55">
      <c r="A65" s="39">
        <f t="shared" si="26"/>
        <v>2027</v>
      </c>
      <c r="B65" s="39">
        <f t="shared" si="27"/>
        <v>4</v>
      </c>
      <c r="C65" s="40"/>
      <c r="D65" s="40">
        <v>143007029.01718399</v>
      </c>
      <c r="E65" s="40"/>
      <c r="F65" s="40">
        <v>25993220.3302541</v>
      </c>
      <c r="G65" s="41">
        <v>2641855</v>
      </c>
      <c r="H65" s="41">
        <v>14534706.7367585</v>
      </c>
      <c r="I65" s="41">
        <v>81707</v>
      </c>
      <c r="J65" s="42">
        <v>449527.80653757602</v>
      </c>
      <c r="K65" s="40"/>
      <c r="L65" s="43">
        <v>2458039.53141985</v>
      </c>
      <c r="M65" s="43"/>
      <c r="N65" s="43">
        <v>1119230.46180439</v>
      </c>
      <c r="O65" s="40"/>
      <c r="P65" s="40">
        <v>18912454.588040199</v>
      </c>
      <c r="Q65" s="43"/>
      <c r="R65" s="43">
        <v>26502922.720154598</v>
      </c>
      <c r="S65" s="43"/>
      <c r="T65" s="40">
        <v>101336222.07387801</v>
      </c>
      <c r="U65" s="40"/>
      <c r="V65" s="43">
        <v>122613.79715471</v>
      </c>
      <c r="W65" s="43"/>
      <c r="X65" s="43">
        <v>307970.50791400101</v>
      </c>
      <c r="Y65" s="40"/>
      <c r="Z65" s="40">
        <f t="shared" si="21"/>
        <v>-2944953.8061690331</v>
      </c>
      <c r="AA65" s="40"/>
      <c r="AB65" s="40">
        <f t="shared" si="22"/>
        <v>-60583261.531346187</v>
      </c>
      <c r="AC65" s="17"/>
      <c r="AD65" s="40"/>
      <c r="AE65" s="40"/>
      <c r="AF65" s="40">
        <f>BA65/100*AF25</f>
        <v>6753082983.8392076</v>
      </c>
      <c r="AG65" s="44">
        <f t="shared" si="28"/>
        <v>1.5025401245083768E-3</v>
      </c>
      <c r="AH65" s="44">
        <f t="shared" si="23"/>
        <v>-8.9712005133548486E-3</v>
      </c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U65" s="39">
        <v>12402561</v>
      </c>
      <c r="AW65" s="39">
        <f t="shared" si="24"/>
        <v>-4.5566641041969013E-3</v>
      </c>
      <c r="AX65" s="48">
        <v>7121.3282632310702</v>
      </c>
      <c r="AY65" s="44">
        <f t="shared" si="25"/>
        <v>6.0869403714000096E-3</v>
      </c>
      <c r="AZ65" s="39">
        <f t="shared" si="29"/>
        <v>105.93806642293576</v>
      </c>
      <c r="BA65" s="39">
        <f t="shared" si="19"/>
        <v>117.50572712934775</v>
      </c>
      <c r="BC65" s="44">
        <f t="shared" si="20"/>
        <v>1.3137505757456945E-2</v>
      </c>
    </row>
    <row r="66" spans="1:55" s="29" customFormat="1">
      <c r="A66" s="29">
        <f t="shared" si="26"/>
        <v>2028</v>
      </c>
      <c r="B66" s="29">
        <f t="shared" si="27"/>
        <v>1</v>
      </c>
      <c r="C66" s="30"/>
      <c r="D66" s="30">
        <v>144126332.55073601</v>
      </c>
      <c r="E66" s="30"/>
      <c r="F66" s="30">
        <v>26196666.9969249</v>
      </c>
      <c r="G66" s="31">
        <v>2755357</v>
      </c>
      <c r="H66" s="31">
        <v>15159161.252254499</v>
      </c>
      <c r="I66" s="31">
        <v>85217</v>
      </c>
      <c r="J66" s="32">
        <v>468838.79092014901</v>
      </c>
      <c r="K66" s="30"/>
      <c r="L66" s="33">
        <v>2968223.7041969099</v>
      </c>
      <c r="M66" s="33"/>
      <c r="N66" s="33">
        <v>1129380.2590182801</v>
      </c>
      <c r="O66" s="30"/>
      <c r="P66" s="30">
        <v>21615643.875490401</v>
      </c>
      <c r="Q66" s="33"/>
      <c r="R66" s="33">
        <v>23172368.245235201</v>
      </c>
      <c r="S66" s="33"/>
      <c r="T66" s="30">
        <v>88601558.374205694</v>
      </c>
      <c r="U66" s="30"/>
      <c r="V66" s="33">
        <v>119889.485786722</v>
      </c>
      <c r="W66" s="33"/>
      <c r="X66" s="33">
        <v>301127.82319837599</v>
      </c>
      <c r="Y66" s="30"/>
      <c r="Z66" s="30">
        <f t="shared" si="21"/>
        <v>-7002013.2291181684</v>
      </c>
      <c r="AA66" s="30"/>
      <c r="AB66" s="30">
        <f t="shared" si="22"/>
        <v>-77140418.052020714</v>
      </c>
      <c r="AC66" s="17"/>
      <c r="AD66" s="30"/>
      <c r="AE66" s="30"/>
      <c r="AF66" s="30">
        <f>BA66/100*AF25</f>
        <v>6754435568.0798235</v>
      </c>
      <c r="AG66" s="34">
        <f t="shared" si="28"/>
        <v>2.0029136971257602E-4</v>
      </c>
      <c r="AH66" s="34">
        <f t="shared" si="23"/>
        <v>-1.1420705294247182E-2</v>
      </c>
      <c r="AS66" s="34">
        <f>AVERAGE(AG66:AG69)</f>
        <v>1.3178370473124399E-3</v>
      </c>
      <c r="AU66" s="29">
        <v>12419463</v>
      </c>
      <c r="AW66" s="29">
        <f t="shared" si="24"/>
        <v>1.3627830574669216E-3</v>
      </c>
      <c r="AX66" s="38">
        <v>7113.0610447445797</v>
      </c>
      <c r="AY66" s="34">
        <f t="shared" si="25"/>
        <v>-1.1609096197932479E-3</v>
      </c>
      <c r="AZ66" s="29">
        <f t="shared" si="29"/>
        <v>105.81508190252309</v>
      </c>
      <c r="BA66" s="29">
        <f t="shared" si="19"/>
        <v>117.52926251238357</v>
      </c>
      <c r="BC66" s="34">
        <f t="shared" si="20"/>
        <v>1.5003466739521184E-2</v>
      </c>
    </row>
    <row r="67" spans="1:55" s="39" customFormat="1">
      <c r="A67" s="39">
        <f t="shared" si="26"/>
        <v>2028</v>
      </c>
      <c r="B67" s="39">
        <f t="shared" si="27"/>
        <v>2</v>
      </c>
      <c r="C67" s="40"/>
      <c r="D67" s="40">
        <v>145150785.601778</v>
      </c>
      <c r="E67" s="40"/>
      <c r="F67" s="40">
        <v>26382873.465633199</v>
      </c>
      <c r="G67" s="41">
        <v>2902204</v>
      </c>
      <c r="H67" s="41">
        <v>15967070.1193849</v>
      </c>
      <c r="I67" s="41">
        <v>89759</v>
      </c>
      <c r="J67" s="42">
        <v>493827.53481349599</v>
      </c>
      <c r="K67" s="40"/>
      <c r="L67" s="43">
        <v>2500255.6489445702</v>
      </c>
      <c r="M67" s="43"/>
      <c r="N67" s="43">
        <v>1138487.29678596</v>
      </c>
      <c r="O67" s="40"/>
      <c r="P67" s="40">
        <v>19237459.646946602</v>
      </c>
      <c r="Q67" s="43"/>
      <c r="R67" s="43">
        <v>26685670.758049902</v>
      </c>
      <c r="S67" s="43"/>
      <c r="T67" s="40">
        <v>102034975.035854</v>
      </c>
      <c r="U67" s="40"/>
      <c r="V67" s="43">
        <v>123088.482690105</v>
      </c>
      <c r="W67" s="43"/>
      <c r="X67" s="43">
        <v>309162.78112327697</v>
      </c>
      <c r="Y67" s="40"/>
      <c r="Z67" s="40">
        <f t="shared" si="21"/>
        <v>-3212857.1706237271</v>
      </c>
      <c r="AA67" s="40"/>
      <c r="AB67" s="40">
        <f t="shared" si="22"/>
        <v>-62353270.212870598</v>
      </c>
      <c r="AC67" s="17"/>
      <c r="AD67" s="40"/>
      <c r="AE67" s="40"/>
      <c r="AF67" s="40">
        <f>BA67/100*AF25</f>
        <v>6809163997.993083</v>
      </c>
      <c r="AG67" s="44">
        <f t="shared" si="28"/>
        <v>8.1025911583042769E-3</v>
      </c>
      <c r="AH67" s="44">
        <f t="shared" si="23"/>
        <v>-9.1572578118618454E-3</v>
      </c>
      <c r="AU67" s="39">
        <v>12491402</v>
      </c>
      <c r="AW67" s="39">
        <f t="shared" si="24"/>
        <v>5.7924404622003382E-3</v>
      </c>
      <c r="AX67" s="48">
        <v>7129.3986530451502</v>
      </c>
      <c r="AY67" s="44">
        <f t="shared" si="25"/>
        <v>2.2968463503685844E-3</v>
      </c>
      <c r="AZ67" s="39">
        <f t="shared" si="29"/>
        <v>106.05812288720485</v>
      </c>
      <c r="BA67" s="39">
        <f t="shared" si="19"/>
        <v>118.48155407565841</v>
      </c>
      <c r="BC67" s="44">
        <f t="shared" si="20"/>
        <v>1.3050015964872534E-2</v>
      </c>
    </row>
    <row r="68" spans="1:55">
      <c r="A68" s="39">
        <f t="shared" si="26"/>
        <v>2028</v>
      </c>
      <c r="B68" s="39">
        <f t="shared" si="27"/>
        <v>3</v>
      </c>
      <c r="C68" s="40"/>
      <c r="D68" s="40">
        <v>146428255.60515299</v>
      </c>
      <c r="E68" s="40"/>
      <c r="F68" s="40">
        <v>26615068.760446399</v>
      </c>
      <c r="G68" s="41">
        <v>3018006</v>
      </c>
      <c r="H68" s="41">
        <v>16604178.5562711</v>
      </c>
      <c r="I68" s="41">
        <v>93341</v>
      </c>
      <c r="J68" s="42">
        <v>513534.64195263397</v>
      </c>
      <c r="K68" s="40"/>
      <c r="L68" s="43">
        <v>2446895.4971795301</v>
      </c>
      <c r="M68" s="43"/>
      <c r="N68" s="43">
        <v>1148591.3180726799</v>
      </c>
      <c r="O68" s="40"/>
      <c r="P68" s="40">
        <v>19016162.9097257</v>
      </c>
      <c r="Q68" s="43"/>
      <c r="R68" s="43">
        <v>23302347.349438</v>
      </c>
      <c r="S68" s="43"/>
      <c r="T68" s="40">
        <v>89098544.744635001</v>
      </c>
      <c r="U68" s="40"/>
      <c r="V68" s="43">
        <v>119600.109713461</v>
      </c>
      <c r="W68" s="43"/>
      <c r="X68" s="43">
        <v>300400.99393178301</v>
      </c>
      <c r="Y68" s="40"/>
      <c r="Z68" s="40">
        <f t="shared" si="21"/>
        <v>-6788608.1165471487</v>
      </c>
      <c r="AA68" s="40"/>
      <c r="AB68" s="40">
        <f t="shared" si="22"/>
        <v>-76345873.770243689</v>
      </c>
      <c r="AC68" s="17"/>
      <c r="AD68" s="40"/>
      <c r="AE68" s="40"/>
      <c r="AF68" s="40">
        <f>BA68/100*AF25</f>
        <v>6776725499.5310717</v>
      </c>
      <c r="AG68" s="44">
        <f t="shared" si="28"/>
        <v>-4.7639473027191277E-3</v>
      </c>
      <c r="AH68" s="44">
        <f t="shared" si="23"/>
        <v>-1.1265894387418611E-2</v>
      </c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40"/>
      <c r="AU68" s="39">
        <v>12425530</v>
      </c>
      <c r="AW68" s="39">
        <f t="shared" si="24"/>
        <v>-5.2733872466837585E-3</v>
      </c>
      <c r="AX68" s="48">
        <v>7133.0499079766496</v>
      </c>
      <c r="AY68" s="44">
        <f t="shared" si="25"/>
        <v>5.1214065998957808E-4</v>
      </c>
      <c r="AZ68" s="39">
        <f t="shared" si="29"/>
        <v>106.11243956425754</v>
      </c>
      <c r="BA68" s="39">
        <f t="shared" si="19"/>
        <v>117.91711419569769</v>
      </c>
      <c r="BC68" s="44">
        <f t="shared" si="20"/>
        <v>1.4915803289301704E-2</v>
      </c>
    </row>
    <row r="69" spans="1:55">
      <c r="A69" s="39">
        <f t="shared" si="26"/>
        <v>2028</v>
      </c>
      <c r="B69" s="39">
        <f t="shared" si="27"/>
        <v>4</v>
      </c>
      <c r="C69" s="40"/>
      <c r="D69" s="40">
        <v>147530076.497639</v>
      </c>
      <c r="E69" s="40"/>
      <c r="F69" s="40">
        <v>26815337.750157598</v>
      </c>
      <c r="G69" s="41">
        <v>3130694</v>
      </c>
      <c r="H69" s="41">
        <v>17224154.683935899</v>
      </c>
      <c r="I69" s="41">
        <v>96825</v>
      </c>
      <c r="J69" s="42">
        <v>532702.58200644795</v>
      </c>
      <c r="K69" s="40"/>
      <c r="L69" s="43">
        <v>2529037.4653364201</v>
      </c>
      <c r="M69" s="43"/>
      <c r="N69" s="43">
        <v>1157439.7351099199</v>
      </c>
      <c r="O69" s="40"/>
      <c r="P69" s="40">
        <v>19491079.352812</v>
      </c>
      <c r="Q69" s="43"/>
      <c r="R69" s="43">
        <v>26637869.633807302</v>
      </c>
      <c r="S69" s="43"/>
      <c r="T69" s="40">
        <v>101852203.29430801</v>
      </c>
      <c r="U69" s="40"/>
      <c r="V69" s="43">
        <v>121385.131659876</v>
      </c>
      <c r="W69" s="43"/>
      <c r="X69" s="43">
        <v>304884.45442507003</v>
      </c>
      <c r="Y69" s="40"/>
      <c r="Z69" s="40">
        <f t="shared" si="21"/>
        <v>-3742560.1851367615</v>
      </c>
      <c r="AA69" s="40"/>
      <c r="AB69" s="40">
        <f t="shared" si="22"/>
        <v>-65168952.556142986</v>
      </c>
      <c r="AC69" s="17"/>
      <c r="AD69" s="40"/>
      <c r="AE69" s="40"/>
      <c r="AF69" s="40">
        <f>BA69/100*AF25</f>
        <v>6788465586.6396036</v>
      </c>
      <c r="AG69" s="44">
        <f t="shared" si="28"/>
        <v>1.7324129639520339E-3</v>
      </c>
      <c r="AH69" s="44">
        <f t="shared" si="23"/>
        <v>-9.5999532920078689E-3</v>
      </c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U69" s="39">
        <v>12427723</v>
      </c>
      <c r="AW69" s="39">
        <f t="shared" si="24"/>
        <v>1.7649146555519162E-4</v>
      </c>
      <c r="AX69" s="48">
        <v>7144.1464152387798</v>
      </c>
      <c r="AY69" s="44">
        <f t="shared" si="25"/>
        <v>1.5556469399886528E-3</v>
      </c>
      <c r="AZ69" s="39">
        <f t="shared" si="29"/>
        <v>106.27751305616042</v>
      </c>
      <c r="BA69" s="39">
        <f t="shared" si="19"/>
        <v>118.12139533300214</v>
      </c>
      <c r="BC69" s="44">
        <f t="shared" si="20"/>
        <v>1.3044620373047303E-2</v>
      </c>
    </row>
    <row r="70" spans="1:55" s="29" customFormat="1">
      <c r="A70" s="29">
        <f t="shared" si="26"/>
        <v>2029</v>
      </c>
      <c r="B70" s="29">
        <f t="shared" si="27"/>
        <v>1</v>
      </c>
      <c r="C70" s="30"/>
      <c r="D70" s="30">
        <v>148772918.095864</v>
      </c>
      <c r="E70" s="30"/>
      <c r="F70" s="30">
        <v>27041238.922430601</v>
      </c>
      <c r="G70" s="31">
        <v>3273546</v>
      </c>
      <c r="H70" s="31">
        <v>18010084.239781901</v>
      </c>
      <c r="I70" s="31">
        <v>101244</v>
      </c>
      <c r="J70" s="32">
        <v>557014.61619066098</v>
      </c>
      <c r="K70" s="30"/>
      <c r="L70" s="33">
        <v>3073419.0080660302</v>
      </c>
      <c r="M70" s="33"/>
      <c r="N70" s="33">
        <v>1168017.7697906999</v>
      </c>
      <c r="O70" s="30"/>
      <c r="P70" s="30">
        <v>22374074.991705801</v>
      </c>
      <c r="Q70" s="33"/>
      <c r="R70" s="33">
        <v>23369450.618338302</v>
      </c>
      <c r="S70" s="33"/>
      <c r="T70" s="30">
        <v>89355119.9092298</v>
      </c>
      <c r="U70" s="30"/>
      <c r="V70" s="33">
        <v>123862.91603723999</v>
      </c>
      <c r="W70" s="33"/>
      <c r="X70" s="33">
        <v>311107.93441594898</v>
      </c>
      <c r="Y70" s="30"/>
      <c r="Z70" s="30">
        <f t="shared" si="21"/>
        <v>-7789362.16591179</v>
      </c>
      <c r="AA70" s="30"/>
      <c r="AB70" s="30">
        <f t="shared" si="22"/>
        <v>-81791873.178340003</v>
      </c>
      <c r="AC70" s="17"/>
      <c r="AD70" s="30"/>
      <c r="AE70" s="30"/>
      <c r="AF70" s="30">
        <f>BA70/100*AF25</f>
        <v>6824157650.5603495</v>
      </c>
      <c r="AG70" s="34">
        <f t="shared" si="28"/>
        <v>5.2577513232138192E-3</v>
      </c>
      <c r="AH70" s="34">
        <f t="shared" si="23"/>
        <v>-1.1985636523450459E-2</v>
      </c>
      <c r="AS70" s="34">
        <f>AVERAGE(AG70:AG73)</f>
        <v>4.6691997057277633E-3</v>
      </c>
      <c r="AU70" s="29">
        <v>12508241</v>
      </c>
      <c r="AW70" s="29">
        <f t="shared" si="24"/>
        <v>6.47890204826741E-3</v>
      </c>
      <c r="AX70" s="38">
        <v>7135.4784942748101</v>
      </c>
      <c r="AY70" s="34">
        <f t="shared" si="25"/>
        <v>-1.2132899383865657E-3</v>
      </c>
      <c r="AZ70" s="29">
        <f t="shared" si="29"/>
        <v>106.14856761889263</v>
      </c>
      <c r="BA70" s="29">
        <f t="shared" si="19"/>
        <v>118.74244825561411</v>
      </c>
      <c r="BC70" s="34">
        <f t="shared" si="20"/>
        <v>1.4974177134502286E-2</v>
      </c>
    </row>
    <row r="71" spans="1:55" s="39" customFormat="1">
      <c r="A71" s="39">
        <f t="shared" si="26"/>
        <v>2029</v>
      </c>
      <c r="B71" s="39">
        <f t="shared" si="27"/>
        <v>2</v>
      </c>
      <c r="C71" s="40"/>
      <c r="D71" s="40">
        <v>149435497.45472601</v>
      </c>
      <c r="E71" s="40"/>
      <c r="F71" s="40">
        <v>27161670.564004701</v>
      </c>
      <c r="G71" s="41">
        <v>3392083</v>
      </c>
      <c r="H71" s="41">
        <v>18662239.839712601</v>
      </c>
      <c r="I71" s="41">
        <v>104910</v>
      </c>
      <c r="J71" s="42">
        <v>577183.86654579302</v>
      </c>
      <c r="K71" s="40"/>
      <c r="L71" s="43">
        <v>2492704.5853240602</v>
      </c>
      <c r="M71" s="43"/>
      <c r="N71" s="43">
        <v>1174134.05397162</v>
      </c>
      <c r="O71" s="40"/>
      <c r="P71" s="40">
        <v>19394395.082465399</v>
      </c>
      <c r="Q71" s="43"/>
      <c r="R71" s="43">
        <v>26932629.412814301</v>
      </c>
      <c r="S71" s="43"/>
      <c r="T71" s="40">
        <v>102979242.856672</v>
      </c>
      <c r="U71" s="40"/>
      <c r="V71" s="43">
        <v>120604.506212211</v>
      </c>
      <c r="W71" s="43"/>
      <c r="X71" s="43">
        <v>302923.74836109602</v>
      </c>
      <c r="Y71" s="40"/>
      <c r="Z71" s="40">
        <f t="shared" si="21"/>
        <v>-3775275.2842738666</v>
      </c>
      <c r="AA71" s="40"/>
      <c r="AB71" s="40">
        <f t="shared" si="22"/>
        <v>-65850649.680519402</v>
      </c>
      <c r="AC71" s="17"/>
      <c r="AD71" s="40"/>
      <c r="AE71" s="40"/>
      <c r="AF71" s="40">
        <f>BA71/100*AF25</f>
        <v>6862763218.4667549</v>
      </c>
      <c r="AG71" s="44">
        <f t="shared" si="28"/>
        <v>5.6571916833186653E-3</v>
      </c>
      <c r="AH71" s="44">
        <f t="shared" si="23"/>
        <v>-9.5953550463936058E-3</v>
      </c>
      <c r="AU71" s="39">
        <v>12540520</v>
      </c>
      <c r="AW71" s="39">
        <f t="shared" si="24"/>
        <v>2.5806186497366016E-3</v>
      </c>
      <c r="AX71" s="48">
        <v>7157.3748089539804</v>
      </c>
      <c r="AY71" s="44">
        <f t="shared" si="25"/>
        <v>3.0686540078200602E-3</v>
      </c>
      <c r="AZ71" s="39">
        <f t="shared" si="29"/>
        <v>106.4743008463407</v>
      </c>
      <c r="BA71" s="39">
        <f t="shared" si="19"/>
        <v>119.41419704634266</v>
      </c>
      <c r="BC71" s="44">
        <f t="shared" ref="BC71:BC102" si="30">T78/AF78</f>
        <v>1.312791083367912E-2</v>
      </c>
    </row>
    <row r="72" spans="1:55">
      <c r="A72" s="39">
        <f t="shared" si="26"/>
        <v>2029</v>
      </c>
      <c r="B72" s="39">
        <f t="shared" si="27"/>
        <v>3</v>
      </c>
      <c r="C72" s="40"/>
      <c r="D72" s="40">
        <v>150199778.81918499</v>
      </c>
      <c r="E72" s="40"/>
      <c r="F72" s="40">
        <v>27300587.748965599</v>
      </c>
      <c r="G72" s="41">
        <v>3475262</v>
      </c>
      <c r="H72" s="41">
        <v>19119866.15594</v>
      </c>
      <c r="I72" s="41">
        <v>107482</v>
      </c>
      <c r="J72" s="42">
        <v>591334.25168310897</v>
      </c>
      <c r="K72" s="40"/>
      <c r="L72" s="43">
        <v>2505975.3973872098</v>
      </c>
      <c r="M72" s="43"/>
      <c r="N72" s="43">
        <v>1180402.28800619</v>
      </c>
      <c r="O72" s="40"/>
      <c r="P72" s="40">
        <v>19497743.363577999</v>
      </c>
      <c r="Q72" s="43"/>
      <c r="R72" s="43">
        <v>23586150.007037099</v>
      </c>
      <c r="S72" s="43"/>
      <c r="T72" s="40">
        <v>90183688.8036239</v>
      </c>
      <c r="U72" s="40"/>
      <c r="V72" s="43">
        <v>124220.528807667</v>
      </c>
      <c r="W72" s="43"/>
      <c r="X72" s="43">
        <v>312006.15459264</v>
      </c>
      <c r="Y72" s="40"/>
      <c r="Z72" s="40">
        <f t="shared" si="21"/>
        <v>-7276594.8985142335</v>
      </c>
      <c r="AA72" s="40"/>
      <c r="AB72" s="40">
        <f t="shared" si="22"/>
        <v>-79513833.379139096</v>
      </c>
      <c r="AC72" s="17"/>
      <c r="AD72" s="40"/>
      <c r="AE72" s="40"/>
      <c r="AF72" s="40">
        <f>BA72/100*AF25</f>
        <v>6864597471.4366894</v>
      </c>
      <c r="AG72" s="44">
        <f t="shared" si="28"/>
        <v>2.6727615561596824E-4</v>
      </c>
      <c r="AH72" s="44">
        <f t="shared" si="23"/>
        <v>-1.1583174936329904E-2</v>
      </c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40"/>
      <c r="AU72" s="39">
        <v>12530679</v>
      </c>
      <c r="AW72" s="39">
        <f t="shared" si="24"/>
        <v>-7.8473619913687785E-4</v>
      </c>
      <c r="AX72" s="48">
        <v>7164.9103691074297</v>
      </c>
      <c r="AY72" s="44">
        <f t="shared" si="25"/>
        <v>1.0528385552789831E-3</v>
      </c>
      <c r="AZ72" s="39">
        <f t="shared" si="29"/>
        <v>106.58640109541811</v>
      </c>
      <c r="BA72" s="39">
        <f t="shared" si="19"/>
        <v>119.44611361385518</v>
      </c>
      <c r="BC72" s="44">
        <f t="shared" si="30"/>
        <v>1.4955980436772086E-2</v>
      </c>
    </row>
    <row r="73" spans="1:55">
      <c r="A73" s="39">
        <f t="shared" si="26"/>
        <v>2029</v>
      </c>
      <c r="B73" s="39">
        <f t="shared" si="27"/>
        <v>4</v>
      </c>
      <c r="C73" s="40"/>
      <c r="D73" s="40">
        <v>150619619.59690699</v>
      </c>
      <c r="E73" s="40"/>
      <c r="F73" s="40">
        <v>27376898.7800663</v>
      </c>
      <c r="G73" s="41">
        <v>3580674</v>
      </c>
      <c r="H73" s="41">
        <v>19699811.878371902</v>
      </c>
      <c r="I73" s="41">
        <v>110742</v>
      </c>
      <c r="J73" s="42">
        <v>609269.80982760701</v>
      </c>
      <c r="K73" s="40"/>
      <c r="L73" s="43">
        <v>2560440.7090654001</v>
      </c>
      <c r="M73" s="43"/>
      <c r="N73" s="43">
        <v>1184510.0095053399</v>
      </c>
      <c r="O73" s="40"/>
      <c r="P73" s="40">
        <v>19802963.596507799</v>
      </c>
      <c r="Q73" s="43"/>
      <c r="R73" s="43">
        <v>27138039.8027936</v>
      </c>
      <c r="S73" s="43"/>
      <c r="T73" s="40">
        <v>103764647.286026</v>
      </c>
      <c r="U73" s="40"/>
      <c r="V73" s="43">
        <v>123214.844306577</v>
      </c>
      <c r="W73" s="43"/>
      <c r="X73" s="43">
        <v>309480.16507278802</v>
      </c>
      <c r="Y73" s="40"/>
      <c r="Z73" s="40">
        <f t="shared" si="21"/>
        <v>-3860594.8515368626</v>
      </c>
      <c r="AA73" s="40"/>
      <c r="AB73" s="40">
        <f t="shared" si="22"/>
        <v>-66657935.907388791</v>
      </c>
      <c r="AC73" s="17"/>
      <c r="AD73" s="40"/>
      <c r="AE73" s="40"/>
      <c r="AF73" s="40">
        <f>BA73/100*AF25</f>
        <v>6916044744.0254412</v>
      </c>
      <c r="AG73" s="44">
        <f t="shared" si="28"/>
        <v>7.4945796607626012E-3</v>
      </c>
      <c r="AH73" s="44">
        <f t="shared" si="23"/>
        <v>-9.6381585681574056E-3</v>
      </c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U73" s="39">
        <v>12560457</v>
      </c>
      <c r="AW73" s="39">
        <f t="shared" si="24"/>
        <v>2.3764075354575759E-3</v>
      </c>
      <c r="AX73" s="48">
        <v>7201.4946744200797</v>
      </c>
      <c r="AY73" s="44">
        <f t="shared" si="25"/>
        <v>5.106038097892846E-3</v>
      </c>
      <c r="AZ73" s="39">
        <f t="shared" si="29"/>
        <v>107.1306353201286</v>
      </c>
      <c r="BA73" s="39">
        <f t="shared" si="19"/>
        <v>120.34131202750271</v>
      </c>
      <c r="BC73" s="44">
        <f t="shared" si="30"/>
        <v>1.3122547125483377E-2</v>
      </c>
    </row>
    <row r="74" spans="1:55" s="29" customFormat="1">
      <c r="A74" s="29">
        <f t="shared" si="26"/>
        <v>2030</v>
      </c>
      <c r="B74" s="29">
        <f t="shared" si="27"/>
        <v>1</v>
      </c>
      <c r="C74" s="30"/>
      <c r="D74" s="30">
        <v>151481074.31489101</v>
      </c>
      <c r="E74" s="30"/>
      <c r="F74" s="30">
        <v>27533478.372293301</v>
      </c>
      <c r="G74" s="31">
        <v>3710693</v>
      </c>
      <c r="H74" s="31">
        <v>20415138.054564901</v>
      </c>
      <c r="I74" s="31">
        <v>114764</v>
      </c>
      <c r="J74" s="32">
        <v>631397.667145757</v>
      </c>
      <c r="K74" s="30"/>
      <c r="L74" s="33">
        <v>3110161.6389640602</v>
      </c>
      <c r="M74" s="33"/>
      <c r="N74" s="33">
        <v>1191580.7229867801</v>
      </c>
      <c r="O74" s="30"/>
      <c r="P74" s="30">
        <v>22694369.094392501</v>
      </c>
      <c r="Q74" s="33"/>
      <c r="R74" s="33">
        <v>23773467.594650298</v>
      </c>
      <c r="S74" s="33"/>
      <c r="T74" s="30">
        <v>90899913.834996894</v>
      </c>
      <c r="U74" s="30"/>
      <c r="V74" s="33">
        <v>130178.68772314599</v>
      </c>
      <c r="W74" s="33"/>
      <c r="X74" s="33">
        <v>326971.33200344298</v>
      </c>
      <c r="Y74" s="30"/>
      <c r="Z74" s="30">
        <f t="shared" si="21"/>
        <v>-7931574.4518706985</v>
      </c>
      <c r="AA74" s="30"/>
      <c r="AB74" s="30">
        <f t="shared" si="22"/>
        <v>-83275529.57428661</v>
      </c>
      <c r="AC74" s="17"/>
      <c r="AD74" s="30"/>
      <c r="AE74" s="30"/>
      <c r="AF74" s="30">
        <f>BA74/100*AF25</f>
        <v>6965502117.3673143</v>
      </c>
      <c r="AG74" s="34">
        <f t="shared" si="28"/>
        <v>7.1511066183598477E-3</v>
      </c>
      <c r="AH74" s="34">
        <f t="shared" si="23"/>
        <v>-1.1955423768611455E-2</v>
      </c>
      <c r="AS74" s="34">
        <f>AVERAGE(AG74:AG77)</f>
        <v>5.5826569236659832E-3</v>
      </c>
      <c r="AU74" s="29">
        <v>12639143</v>
      </c>
      <c r="AW74" s="29">
        <f t="shared" si="24"/>
        <v>6.2645809782239615E-3</v>
      </c>
      <c r="AX74" s="38">
        <v>7207.8392380635396</v>
      </c>
      <c r="AY74" s="34">
        <f t="shared" si="25"/>
        <v>8.8100650355209655E-4</v>
      </c>
      <c r="AZ74" s="29">
        <f t="shared" si="29"/>
        <v>107.22501810657531</v>
      </c>
      <c r="BA74" s="29">
        <f t="shared" si="19"/>
        <v>121.20188558040471</v>
      </c>
      <c r="BC74" s="34">
        <f t="shared" si="30"/>
        <v>1.499468460800067E-2</v>
      </c>
    </row>
    <row r="75" spans="1:55" s="39" customFormat="1">
      <c r="A75" s="39">
        <f t="shared" si="26"/>
        <v>2030</v>
      </c>
      <c r="B75" s="39">
        <f t="shared" si="27"/>
        <v>2</v>
      </c>
      <c r="C75" s="40"/>
      <c r="D75" s="40">
        <v>153014428.128176</v>
      </c>
      <c r="E75" s="40"/>
      <c r="F75" s="40">
        <v>27812183.578511901</v>
      </c>
      <c r="G75" s="41">
        <v>3838601</v>
      </c>
      <c r="H75" s="41">
        <v>21118850.131603699</v>
      </c>
      <c r="I75" s="41">
        <v>118719</v>
      </c>
      <c r="J75" s="42">
        <v>653156.91023210401</v>
      </c>
      <c r="K75" s="40"/>
      <c r="L75" s="43">
        <v>2537854.6838171599</v>
      </c>
      <c r="M75" s="43"/>
      <c r="N75" s="43">
        <v>1205397.3528585499</v>
      </c>
      <c r="O75" s="40"/>
      <c r="P75" s="40">
        <v>19800680.604492001</v>
      </c>
      <c r="Q75" s="43"/>
      <c r="R75" s="43">
        <v>27262346.702088799</v>
      </c>
      <c r="S75" s="43"/>
      <c r="T75" s="40">
        <v>104239945.489371</v>
      </c>
      <c r="U75" s="40"/>
      <c r="V75" s="43">
        <v>134034.37258932201</v>
      </c>
      <c r="W75" s="43"/>
      <c r="X75" s="43">
        <v>336655.70076248498</v>
      </c>
      <c r="Y75" s="40"/>
      <c r="Z75" s="40">
        <f t="shared" si="21"/>
        <v>-4159054.5405094884</v>
      </c>
      <c r="AA75" s="40"/>
      <c r="AB75" s="40">
        <f t="shared" si="22"/>
        <v>-68575163.243297011</v>
      </c>
      <c r="AC75" s="17"/>
      <c r="AD75" s="40"/>
      <c r="AE75" s="40"/>
      <c r="AF75" s="40">
        <f>BA75/100*AF25</f>
        <v>6988557268.2590055</v>
      </c>
      <c r="AG75" s="44">
        <f t="shared" si="28"/>
        <v>3.3099050869867725E-3</v>
      </c>
      <c r="AH75" s="44">
        <f t="shared" si="23"/>
        <v>-9.8124921369329363E-3</v>
      </c>
      <c r="AU75" s="39">
        <v>12667885</v>
      </c>
      <c r="AW75" s="39">
        <f t="shared" si="24"/>
        <v>2.2740465868611504E-3</v>
      </c>
      <c r="AX75" s="48">
        <v>7215.2885994110802</v>
      </c>
      <c r="AY75" s="44">
        <f t="shared" si="25"/>
        <v>1.0335082542076736E-3</v>
      </c>
      <c r="AZ75" s="39">
        <f t="shared" si="29"/>
        <v>107.33583604784602</v>
      </c>
      <c r="BA75" s="39">
        <f t="shared" si="19"/>
        <v>121.60305231803967</v>
      </c>
      <c r="BC75" s="44">
        <f t="shared" si="30"/>
        <v>1.3102357289723853E-2</v>
      </c>
    </row>
    <row r="76" spans="1:55">
      <c r="A76" s="39">
        <f t="shared" si="26"/>
        <v>2030</v>
      </c>
      <c r="B76" s="39">
        <f t="shared" si="27"/>
        <v>3</v>
      </c>
      <c r="C76" s="40"/>
      <c r="D76" s="40">
        <v>153394933.491662</v>
      </c>
      <c r="E76" s="40"/>
      <c r="F76" s="40">
        <v>27881344.9324532</v>
      </c>
      <c r="G76" s="41">
        <v>3947552</v>
      </c>
      <c r="H76" s="41">
        <v>21718266.387861799</v>
      </c>
      <c r="I76" s="41">
        <v>122090</v>
      </c>
      <c r="J76" s="42">
        <v>671703.15762630699</v>
      </c>
      <c r="K76" s="40"/>
      <c r="L76" s="43">
        <v>2562700.9089520201</v>
      </c>
      <c r="M76" s="43"/>
      <c r="N76" s="43">
        <v>1208179.1814257901</v>
      </c>
      <c r="O76" s="40"/>
      <c r="P76" s="40">
        <v>19944912.584835701</v>
      </c>
      <c r="Q76" s="43"/>
      <c r="R76" s="43">
        <v>23958172.802645899</v>
      </c>
      <c r="S76" s="43"/>
      <c r="T76" s="40">
        <v>91606150.206482396</v>
      </c>
      <c r="U76" s="40"/>
      <c r="V76" s="43">
        <v>131902.33422478501</v>
      </c>
      <c r="W76" s="43"/>
      <c r="X76" s="43">
        <v>331300.635074483</v>
      </c>
      <c r="Y76" s="40"/>
      <c r="Z76" s="40">
        <f t="shared" si="21"/>
        <v>-7562149.8859603256</v>
      </c>
      <c r="AA76" s="40"/>
      <c r="AB76" s="40">
        <f t="shared" si="22"/>
        <v>-81733695.870015293</v>
      </c>
      <c r="AC76" s="17"/>
      <c r="AD76" s="40"/>
      <c r="AE76" s="40"/>
      <c r="AF76" s="40">
        <f>BA76/100*AF25</f>
        <v>7022523276.7799311</v>
      </c>
      <c r="AG76" s="44">
        <f t="shared" si="28"/>
        <v>4.8602318357172389E-3</v>
      </c>
      <c r="AH76" s="44">
        <f t="shared" si="23"/>
        <v>-1.1638793158617057E-2</v>
      </c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40"/>
      <c r="AU76" s="39">
        <v>12723932</v>
      </c>
      <c r="AW76" s="39">
        <f t="shared" si="24"/>
        <v>4.4243376064749557E-3</v>
      </c>
      <c r="AX76" s="48">
        <v>7218.4198483713499</v>
      </c>
      <c r="AY76" s="44">
        <f t="shared" si="25"/>
        <v>4.3397418095309935E-4</v>
      </c>
      <c r="AZ76" s="39">
        <f t="shared" si="29"/>
        <v>107.3824170293818</v>
      </c>
      <c r="BA76" s="39">
        <f t="shared" si="19"/>
        <v>122.19407134423618</v>
      </c>
      <c r="BC76" s="44">
        <f t="shared" si="30"/>
        <v>1.4980929392530627E-2</v>
      </c>
    </row>
    <row r="77" spans="1:55">
      <c r="A77" s="39">
        <f t="shared" si="26"/>
        <v>2030</v>
      </c>
      <c r="B77" s="39">
        <f t="shared" si="27"/>
        <v>4</v>
      </c>
      <c r="C77" s="40"/>
      <c r="D77" s="40">
        <v>154070857.95480001</v>
      </c>
      <c r="E77" s="40"/>
      <c r="F77" s="40">
        <v>28004202.204698399</v>
      </c>
      <c r="G77" s="41">
        <v>4027827</v>
      </c>
      <c r="H77" s="41">
        <v>22159915.7529076</v>
      </c>
      <c r="I77" s="41">
        <v>124572</v>
      </c>
      <c r="J77" s="42">
        <v>685358.38931791601</v>
      </c>
      <c r="K77" s="40"/>
      <c r="L77" s="43">
        <v>2551808.7390670702</v>
      </c>
      <c r="M77" s="43"/>
      <c r="N77" s="43">
        <v>1213482.6869731401</v>
      </c>
      <c r="O77" s="40"/>
      <c r="P77" s="40">
        <v>19917571.386257902</v>
      </c>
      <c r="Q77" s="43"/>
      <c r="R77" s="43">
        <v>27694831.823375002</v>
      </c>
      <c r="S77" s="43"/>
      <c r="T77" s="40">
        <v>105893589.83483</v>
      </c>
      <c r="U77" s="40"/>
      <c r="V77" s="43">
        <v>133726.87391900399</v>
      </c>
      <c r="W77" s="43"/>
      <c r="X77" s="43">
        <v>335883.35275697301</v>
      </c>
      <c r="Y77" s="40"/>
      <c r="Z77" s="40">
        <f t="shared" si="21"/>
        <v>-3940934.9334446043</v>
      </c>
      <c r="AA77" s="40"/>
      <c r="AB77" s="40">
        <f t="shared" si="22"/>
        <v>-68094839.506227911</v>
      </c>
      <c r="AC77" s="17"/>
      <c r="AD77" s="40"/>
      <c r="AE77" s="40"/>
      <c r="AF77" s="40">
        <f>BA77/100*AF25</f>
        <v>7071746840.15448</v>
      </c>
      <c r="AG77" s="44">
        <f t="shared" si="28"/>
        <v>7.0093841536000732E-3</v>
      </c>
      <c r="AH77" s="44">
        <f t="shared" si="23"/>
        <v>-9.6291398780814393E-3</v>
      </c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U77" s="39">
        <v>12733837</v>
      </c>
      <c r="AW77" s="39">
        <f t="shared" si="24"/>
        <v>7.7845433314167347E-4</v>
      </c>
      <c r="AX77" s="48">
        <v>7263.3623301914404</v>
      </c>
      <c r="AY77" s="44">
        <f t="shared" si="25"/>
        <v>6.2260830990913639E-3</v>
      </c>
      <c r="AZ77" s="39">
        <f t="shared" si="29"/>
        <v>108.05098888118802</v>
      </c>
      <c r="BA77" s="39">
        <f t="shared" si="19"/>
        <v>123.05057653158035</v>
      </c>
      <c r="BC77" s="44">
        <f t="shared" si="30"/>
        <v>1.308555051536717E-2</v>
      </c>
    </row>
    <row r="78" spans="1:55" s="29" customFormat="1">
      <c r="A78" s="29">
        <f t="shared" si="26"/>
        <v>2031</v>
      </c>
      <c r="B78" s="29">
        <f t="shared" si="27"/>
        <v>1</v>
      </c>
      <c r="C78" s="30"/>
      <c r="D78" s="30">
        <v>155186856.910303</v>
      </c>
      <c r="E78" s="30"/>
      <c r="F78" s="30">
        <v>28207048.225191899</v>
      </c>
      <c r="G78" s="31">
        <v>4121836</v>
      </c>
      <c r="H78" s="31">
        <v>22677125.533768401</v>
      </c>
      <c r="I78" s="31">
        <v>127479</v>
      </c>
      <c r="J78" s="32">
        <v>701351.84561425203</v>
      </c>
      <c r="K78" s="30"/>
      <c r="L78" s="33">
        <v>3092321.7473586001</v>
      </c>
      <c r="M78" s="33"/>
      <c r="N78" s="33">
        <v>1221830.2817047201</v>
      </c>
      <c r="O78" s="30"/>
      <c r="P78" s="30">
        <v>22768221.959047899</v>
      </c>
      <c r="Q78" s="33"/>
      <c r="R78" s="33">
        <v>24298305.057446301</v>
      </c>
      <c r="S78" s="33"/>
      <c r="T78" s="30">
        <v>92906675.362552196</v>
      </c>
      <c r="U78" s="30"/>
      <c r="V78" s="33">
        <v>130843.57442057499</v>
      </c>
      <c r="W78" s="33"/>
      <c r="X78" s="33">
        <v>328641.33569522901</v>
      </c>
      <c r="Y78" s="30"/>
      <c r="Z78" s="30">
        <f t="shared" ref="Z78:Z109" si="31">R78+V78-N78-L78-F78</f>
        <v>-8092051.6223883443</v>
      </c>
      <c r="AA78" s="30"/>
      <c r="AB78" s="30">
        <f t="shared" ref="AB78:AB109" si="32">T78-P78-D78</f>
        <v>-85048403.506798699</v>
      </c>
      <c r="AC78" s="17"/>
      <c r="AD78" s="30"/>
      <c r="AE78" s="30"/>
      <c r="AF78" s="30">
        <f>BA78/100*AF25</f>
        <v>7077034308.0182953</v>
      </c>
      <c r="AG78" s="34">
        <f t="shared" si="28"/>
        <v>7.476890764516967E-4</v>
      </c>
      <c r="AH78" s="34">
        <f t="shared" ref="AH78:AH109" si="33">AB78/AF78</f>
        <v>-1.2017520306555342E-2</v>
      </c>
      <c r="AS78" s="34">
        <f>AVERAGE(AG78:AG81)</f>
        <v>1.966908094055116E-3</v>
      </c>
      <c r="AU78" s="29">
        <v>12755710</v>
      </c>
      <c r="AW78" s="29">
        <f t="shared" si="24"/>
        <v>1.7177069252574853E-3</v>
      </c>
      <c r="AX78" s="38">
        <v>7256.3288205969502</v>
      </c>
      <c r="AY78" s="34">
        <f t="shared" si="25"/>
        <v>-9.6835449957578909E-4</v>
      </c>
      <c r="AZ78" s="29">
        <f t="shared" si="29"/>
        <v>107.94635721992131</v>
      </c>
      <c r="BA78" s="29">
        <f t="shared" si="19"/>
        <v>123.14258010350409</v>
      </c>
      <c r="BC78" s="34">
        <f t="shared" si="30"/>
        <v>1.489422947683602E-2</v>
      </c>
    </row>
    <row r="79" spans="1:55" s="39" customFormat="1">
      <c r="A79" s="39">
        <f t="shared" si="26"/>
        <v>2031</v>
      </c>
      <c r="B79" s="39">
        <f t="shared" si="27"/>
        <v>2</v>
      </c>
      <c r="C79" s="40"/>
      <c r="D79" s="40">
        <v>156231950.77939999</v>
      </c>
      <c r="E79" s="40"/>
      <c r="F79" s="40">
        <v>28397006.4069116</v>
      </c>
      <c r="G79" s="41">
        <v>4272479</v>
      </c>
      <c r="H79" s="41">
        <v>23505918.872897699</v>
      </c>
      <c r="I79" s="41">
        <v>132139</v>
      </c>
      <c r="J79" s="42">
        <v>726989.79069197003</v>
      </c>
      <c r="K79" s="40"/>
      <c r="L79" s="43">
        <v>2497836.3580361302</v>
      </c>
      <c r="M79" s="43"/>
      <c r="N79" s="43">
        <v>1229539.7671014899</v>
      </c>
      <c r="O79" s="40"/>
      <c r="P79" s="40">
        <v>19725849.761776</v>
      </c>
      <c r="Q79" s="43"/>
      <c r="R79" s="43">
        <v>27759672.6501728</v>
      </c>
      <c r="S79" s="43"/>
      <c r="T79" s="40">
        <v>106141514.355956</v>
      </c>
      <c r="U79" s="40"/>
      <c r="V79" s="43">
        <v>131417.39425500401</v>
      </c>
      <c r="W79" s="43"/>
      <c r="X79" s="43">
        <v>330082.60568246798</v>
      </c>
      <c r="Y79" s="40"/>
      <c r="Z79" s="40">
        <f t="shared" si="31"/>
        <v>-4233292.4876214154</v>
      </c>
      <c r="AA79" s="40"/>
      <c r="AB79" s="40">
        <f t="shared" si="32"/>
        <v>-69816286.185219988</v>
      </c>
      <c r="AC79" s="17"/>
      <c r="AD79" s="40"/>
      <c r="AE79" s="40"/>
      <c r="AF79" s="40">
        <f>BA79/100*AF25</f>
        <v>7096927868.0645475</v>
      </c>
      <c r="AG79" s="44">
        <f t="shared" si="28"/>
        <v>2.8110023465214525E-3</v>
      </c>
      <c r="AH79" s="44">
        <f t="shared" si="33"/>
        <v>-9.8375363936536765E-3</v>
      </c>
      <c r="AU79" s="39">
        <v>12747598</v>
      </c>
      <c r="AW79" s="39">
        <f t="shared" ref="AW79:AW110" si="34">(AU79-AU78)/AU78</f>
        <v>-6.3595048805593728E-4</v>
      </c>
      <c r="AX79" s="48">
        <v>7281.3569604514896</v>
      </c>
      <c r="AY79" s="44">
        <f t="shared" ref="AY79:AY110" si="35">(AX79-AX78)/AX78</f>
        <v>3.4491463208637277E-3</v>
      </c>
      <c r="AZ79" s="39">
        <f t="shared" si="29"/>
        <v>108.31868000077704</v>
      </c>
      <c r="BA79" s="39">
        <f t="shared" si="19"/>
        <v>123.48873418513176</v>
      </c>
      <c r="BC79" s="44">
        <f t="shared" si="30"/>
        <v>1.3055539627175091E-2</v>
      </c>
    </row>
    <row r="80" spans="1:55">
      <c r="A80" s="39">
        <f t="shared" si="26"/>
        <v>2031</v>
      </c>
      <c r="B80" s="39">
        <f t="shared" si="27"/>
        <v>3</v>
      </c>
      <c r="C80" s="40"/>
      <c r="D80" s="40">
        <v>156993119.88246799</v>
      </c>
      <c r="E80" s="40"/>
      <c r="F80" s="40">
        <v>28535357.901524</v>
      </c>
      <c r="G80" s="41">
        <v>4376362</v>
      </c>
      <c r="H80" s="41">
        <v>24077452.488457501</v>
      </c>
      <c r="I80" s="41">
        <v>135351</v>
      </c>
      <c r="J80" s="42">
        <v>744661.26699875703</v>
      </c>
      <c r="K80" s="40"/>
      <c r="L80" s="43">
        <v>2519972.0222239001</v>
      </c>
      <c r="M80" s="43"/>
      <c r="N80" s="43">
        <v>1235622.7462963599</v>
      </c>
      <c r="O80" s="40"/>
      <c r="P80" s="40">
        <v>19874178.585236099</v>
      </c>
      <c r="Q80" s="43"/>
      <c r="R80" s="43">
        <v>24444802.327307999</v>
      </c>
      <c r="S80" s="43"/>
      <c r="T80" s="40">
        <v>93466820.371035993</v>
      </c>
      <c r="U80" s="40"/>
      <c r="V80" s="43">
        <v>133921.61688670999</v>
      </c>
      <c r="W80" s="43"/>
      <c r="X80" s="43">
        <v>336372.49094589299</v>
      </c>
      <c r="Y80" s="40"/>
      <c r="Z80" s="40">
        <f t="shared" si="31"/>
        <v>-7712228.7258495539</v>
      </c>
      <c r="AA80" s="40"/>
      <c r="AB80" s="40">
        <f t="shared" si="32"/>
        <v>-83400478.096668094</v>
      </c>
      <c r="AC80" s="17"/>
      <c r="AD80" s="40"/>
      <c r="AE80" s="40"/>
      <c r="AF80" s="40">
        <f>BA80/100*AF25</f>
        <v>7122612666.3723516</v>
      </c>
      <c r="AG80" s="44">
        <f t="shared" si="28"/>
        <v>3.6191432103154218E-3</v>
      </c>
      <c r="AH80" s="44">
        <f t="shared" si="33"/>
        <v>-1.1709253612852312E-2</v>
      </c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40"/>
      <c r="AU80" s="39">
        <v>12687988</v>
      </c>
      <c r="AW80" s="39">
        <f t="shared" si="34"/>
        <v>-4.6761750723548073E-3</v>
      </c>
      <c r="AX80" s="48">
        <v>7342.0419074043803</v>
      </c>
      <c r="AY80" s="44">
        <f t="shared" si="35"/>
        <v>8.3342908859570311E-3</v>
      </c>
      <c r="AZ80" s="39">
        <f t="shared" si="29"/>
        <v>109.2214393882864</v>
      </c>
      <c r="BA80" s="39">
        <f t="shared" si="19"/>
        <v>123.93565759900834</v>
      </c>
      <c r="BC80" s="44">
        <f t="shared" si="30"/>
        <v>1.5006412965299171E-2</v>
      </c>
    </row>
    <row r="81" spans="1:55">
      <c r="A81" s="39">
        <f t="shared" si="26"/>
        <v>2031</v>
      </c>
      <c r="B81" s="39">
        <f t="shared" si="27"/>
        <v>4</v>
      </c>
      <c r="C81" s="40"/>
      <c r="D81" s="40">
        <v>158340923.45168599</v>
      </c>
      <c r="E81" s="40"/>
      <c r="F81" s="40">
        <v>28780337.154483501</v>
      </c>
      <c r="G81" s="41">
        <v>4462047</v>
      </c>
      <c r="H81" s="41">
        <v>24548866.0772954</v>
      </c>
      <c r="I81" s="41">
        <v>138001</v>
      </c>
      <c r="J81" s="42">
        <v>759240.78512235195</v>
      </c>
      <c r="K81" s="40"/>
      <c r="L81" s="43">
        <v>2588569.2260456802</v>
      </c>
      <c r="M81" s="43"/>
      <c r="N81" s="43">
        <v>1247434.9563988501</v>
      </c>
      <c r="O81" s="40"/>
      <c r="P81" s="40">
        <v>20295117.096783102</v>
      </c>
      <c r="Q81" s="43"/>
      <c r="R81" s="43">
        <v>27951504.963903401</v>
      </c>
      <c r="S81" s="43"/>
      <c r="T81" s="40">
        <v>106875001.833937</v>
      </c>
      <c r="U81" s="40"/>
      <c r="V81" s="43">
        <v>134998.86321399</v>
      </c>
      <c r="W81" s="43"/>
      <c r="X81" s="43">
        <v>339078.22314128798</v>
      </c>
      <c r="Y81" s="40"/>
      <c r="Z81" s="40">
        <f t="shared" si="31"/>
        <v>-4529837.5098106377</v>
      </c>
      <c r="AA81" s="40"/>
      <c r="AB81" s="40">
        <f t="shared" si="32"/>
        <v>-71761038.714532092</v>
      </c>
      <c r="AC81" s="17"/>
      <c r="AD81" s="40"/>
      <c r="AE81" s="40"/>
      <c r="AF81" s="40">
        <f>BA81/100*AF25</f>
        <v>7127525828.5133934</v>
      </c>
      <c r="AG81" s="44">
        <f t="shared" si="28"/>
        <v>6.8979774293189235E-4</v>
      </c>
      <c r="AH81" s="44">
        <f t="shared" si="33"/>
        <v>-1.0068155548094237E-2</v>
      </c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U81" s="39">
        <v>12728588</v>
      </c>
      <c r="AW81" s="39">
        <f t="shared" si="34"/>
        <v>3.19987692296052E-3</v>
      </c>
      <c r="AX81" s="48">
        <v>7323.6715836487601</v>
      </c>
      <c r="AY81" s="44">
        <f t="shared" si="35"/>
        <v>-2.5020728548408068E-3</v>
      </c>
      <c r="AZ81" s="39">
        <f t="shared" si="29"/>
        <v>108.94815938962633</v>
      </c>
      <c r="BA81" s="39">
        <f t="shared" si="19"/>
        <v>124.02114813588889</v>
      </c>
      <c r="BC81" s="44">
        <f t="shared" si="30"/>
        <v>1.3114687779948557E-2</v>
      </c>
    </row>
    <row r="82" spans="1:55" s="29" customFormat="1">
      <c r="A82" s="29">
        <f t="shared" ref="A82:A113" si="36">A78+1</f>
        <v>2032</v>
      </c>
      <c r="B82" s="29">
        <f t="shared" ref="B82:B113" si="37">B78</f>
        <v>1</v>
      </c>
      <c r="C82" s="30"/>
      <c r="D82" s="30">
        <v>159746693.37836301</v>
      </c>
      <c r="E82" s="30"/>
      <c r="F82" s="30">
        <v>29035852.479072101</v>
      </c>
      <c r="G82" s="31">
        <v>4614384</v>
      </c>
      <c r="H82" s="31">
        <v>25386979.304613899</v>
      </c>
      <c r="I82" s="31">
        <v>142713</v>
      </c>
      <c r="J82" s="32">
        <v>785164.81885758997</v>
      </c>
      <c r="K82" s="30"/>
      <c r="L82" s="33">
        <v>3102989.0216417601</v>
      </c>
      <c r="M82" s="33"/>
      <c r="N82" s="33">
        <v>1258158.75158149</v>
      </c>
      <c r="O82" s="30"/>
      <c r="P82" s="30">
        <v>23023443.0186438</v>
      </c>
      <c r="Q82" s="33"/>
      <c r="R82" s="33">
        <v>24463354.652111199</v>
      </c>
      <c r="S82" s="33"/>
      <c r="T82" s="30">
        <v>93537756.792882606</v>
      </c>
      <c r="U82" s="30"/>
      <c r="V82" s="33">
        <v>132720.62011942899</v>
      </c>
      <c r="W82" s="33"/>
      <c r="X82" s="33">
        <v>333355.93332345999</v>
      </c>
      <c r="Y82" s="30"/>
      <c r="Z82" s="30">
        <f t="shared" si="31"/>
        <v>-8800924.9800647236</v>
      </c>
      <c r="AA82" s="30"/>
      <c r="AB82" s="30">
        <f t="shared" si="32"/>
        <v>-89232379.604124203</v>
      </c>
      <c r="AC82" s="17"/>
      <c r="AD82" s="30"/>
      <c r="AE82" s="30"/>
      <c r="AF82" s="30">
        <f>BA82/100*AF25</f>
        <v>7139002144.7700901</v>
      </c>
      <c r="AG82" s="34">
        <f t="shared" si="28"/>
        <v>1.6101402552322068E-3</v>
      </c>
      <c r="AH82" s="34">
        <f t="shared" si="33"/>
        <v>-1.2499279002107361E-2</v>
      </c>
      <c r="AS82" s="34">
        <f>AVERAGE(AG82:AG85)</f>
        <v>1.5151681324362784E-3</v>
      </c>
      <c r="AU82" s="29">
        <v>12766568</v>
      </c>
      <c r="AW82" s="29">
        <f t="shared" si="34"/>
        <v>2.9838344991604724E-3</v>
      </c>
      <c r="AX82" s="38">
        <v>7313.6410276688603</v>
      </c>
      <c r="AY82" s="34">
        <f t="shared" si="35"/>
        <v>-1.3696075616354308E-3</v>
      </c>
      <c r="AZ82" s="29">
        <f t="shared" si="29"/>
        <v>108.79894316670004</v>
      </c>
      <c r="BA82" s="29">
        <f t="shared" si="19"/>
        <v>124.22083957900261</v>
      </c>
      <c r="BC82" s="34">
        <f t="shared" si="30"/>
        <v>1.5005263960657872E-2</v>
      </c>
    </row>
    <row r="83" spans="1:55" s="39" customFormat="1">
      <c r="A83" s="39">
        <f t="shared" si="36"/>
        <v>2032</v>
      </c>
      <c r="B83" s="39">
        <f t="shared" si="37"/>
        <v>2</v>
      </c>
      <c r="C83" s="40"/>
      <c r="D83" s="40">
        <v>160900908.09939101</v>
      </c>
      <c r="E83" s="40"/>
      <c r="F83" s="40">
        <v>29245644.667318299</v>
      </c>
      <c r="G83" s="41">
        <v>4769887</v>
      </c>
      <c r="H83" s="41">
        <v>26242510.929811399</v>
      </c>
      <c r="I83" s="41">
        <v>147522</v>
      </c>
      <c r="J83" s="42">
        <v>811622.517973201</v>
      </c>
      <c r="K83" s="40"/>
      <c r="L83" s="43">
        <v>2565251.3940647398</v>
      </c>
      <c r="M83" s="43"/>
      <c r="N83" s="43">
        <v>1268518.63921023</v>
      </c>
      <c r="O83" s="40"/>
      <c r="P83" s="40">
        <v>20290116.957921799</v>
      </c>
      <c r="Q83" s="43"/>
      <c r="R83" s="43">
        <v>27893365.4700054</v>
      </c>
      <c r="S83" s="43"/>
      <c r="T83" s="40">
        <v>106652700.43997</v>
      </c>
      <c r="U83" s="40"/>
      <c r="V83" s="43">
        <v>132656.338989941</v>
      </c>
      <c r="W83" s="43"/>
      <c r="X83" s="43">
        <v>333194.47765895003</v>
      </c>
      <c r="Y83" s="40"/>
      <c r="Z83" s="40">
        <f t="shared" si="31"/>
        <v>-5053392.8915979303</v>
      </c>
      <c r="AA83" s="40"/>
      <c r="AB83" s="40">
        <f t="shared" si="32"/>
        <v>-74538324.617342815</v>
      </c>
      <c r="AC83" s="17"/>
      <c r="AD83" s="40"/>
      <c r="AE83" s="40"/>
      <c r="AF83" s="40">
        <f>BA83/100*AF25</f>
        <v>7119231233.6206722</v>
      </c>
      <c r="AG83" s="44">
        <f t="shared" si="28"/>
        <v>-2.769422217347519E-3</v>
      </c>
      <c r="AH83" s="44">
        <f t="shared" si="33"/>
        <v>-1.0469996291921873E-2</v>
      </c>
      <c r="AU83" s="39">
        <v>12719577</v>
      </c>
      <c r="AW83" s="39">
        <f t="shared" si="34"/>
        <v>-3.6807856269594147E-3</v>
      </c>
      <c r="AX83" s="48">
        <v>7320.3310369826404</v>
      </c>
      <c r="AY83" s="44">
        <f t="shared" si="35"/>
        <v>9.1473033588476541E-4</v>
      </c>
      <c r="AZ83" s="39">
        <f t="shared" si="29"/>
        <v>108.89846486052681</v>
      </c>
      <c r="BA83" s="39">
        <f t="shared" si="19"/>
        <v>123.87681962601496</v>
      </c>
      <c r="BC83" s="44">
        <f t="shared" si="30"/>
        <v>1.3109722484801913E-2</v>
      </c>
    </row>
    <row r="84" spans="1:55">
      <c r="A84" s="39">
        <f t="shared" si="36"/>
        <v>2032</v>
      </c>
      <c r="B84" s="39">
        <f t="shared" si="37"/>
        <v>3</v>
      </c>
      <c r="C84" s="40"/>
      <c r="D84" s="40">
        <v>162232081.231374</v>
      </c>
      <c r="E84" s="40"/>
      <c r="F84" s="40">
        <v>29487601.141452</v>
      </c>
      <c r="G84" s="41">
        <v>4881296</v>
      </c>
      <c r="H84" s="41">
        <v>26855450.376842201</v>
      </c>
      <c r="I84" s="41">
        <v>150968</v>
      </c>
      <c r="J84" s="42">
        <v>830581.393238827</v>
      </c>
      <c r="K84" s="40"/>
      <c r="L84" s="43">
        <v>2624033.3702235101</v>
      </c>
      <c r="M84" s="43"/>
      <c r="N84" s="43">
        <v>1279672.3629532999</v>
      </c>
      <c r="O84" s="40"/>
      <c r="P84" s="40">
        <v>20656501.408801202</v>
      </c>
      <c r="Q84" s="43"/>
      <c r="R84" s="43">
        <v>24321123.936597198</v>
      </c>
      <c r="S84" s="43"/>
      <c r="T84" s="40">
        <v>92993925.324736997</v>
      </c>
      <c r="U84" s="40"/>
      <c r="V84" s="43">
        <v>131026.14481943801</v>
      </c>
      <c r="W84" s="43"/>
      <c r="X84" s="43">
        <v>329099.899900669</v>
      </c>
      <c r="Y84" s="40"/>
      <c r="Z84" s="40">
        <f t="shared" si="31"/>
        <v>-8939156.7932121754</v>
      </c>
      <c r="AA84" s="40"/>
      <c r="AB84" s="40">
        <f t="shared" si="32"/>
        <v>-89894657.315438196</v>
      </c>
      <c r="AC84" s="17"/>
      <c r="AD84" s="40"/>
      <c r="AE84" s="40"/>
      <c r="AF84" s="40">
        <f>BA84/100*AF25</f>
        <v>7106611618.3288193</v>
      </c>
      <c r="AG84" s="44">
        <f t="shared" si="28"/>
        <v>-1.7726092716663895E-3</v>
      </c>
      <c r="AH84" s="44">
        <f t="shared" si="33"/>
        <v>-1.2649440006484792E-2</v>
      </c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40"/>
      <c r="AU84" s="39">
        <v>12699592</v>
      </c>
      <c r="AW84" s="39">
        <f t="shared" si="34"/>
        <v>-1.5712000485550738E-3</v>
      </c>
      <c r="AX84" s="48">
        <v>7318.85433460071</v>
      </c>
      <c r="AY84" s="44">
        <f t="shared" si="35"/>
        <v>-2.0172617528770788E-4</v>
      </c>
      <c r="AZ84" s="39">
        <f t="shared" si="29"/>
        <v>108.87649718971581</v>
      </c>
      <c r="BA84" s="39">
        <f t="shared" si="19"/>
        <v>123.65723442700134</v>
      </c>
      <c r="BC84" s="44">
        <f t="shared" si="30"/>
        <v>1.5010305914910116E-2</v>
      </c>
    </row>
    <row r="85" spans="1:55">
      <c r="A85" s="39">
        <f t="shared" si="36"/>
        <v>2032</v>
      </c>
      <c r="B85" s="39">
        <f t="shared" si="37"/>
        <v>4</v>
      </c>
      <c r="C85" s="40"/>
      <c r="D85" s="40">
        <v>162972826.46781501</v>
      </c>
      <c r="E85" s="40"/>
      <c r="F85" s="40">
        <v>29622240.356543198</v>
      </c>
      <c r="G85" s="41">
        <v>5029966</v>
      </c>
      <c r="H85" s="41">
        <v>27673388.8521006</v>
      </c>
      <c r="I85" s="41">
        <v>155566</v>
      </c>
      <c r="J85" s="42">
        <v>855878.23260950204</v>
      </c>
      <c r="K85" s="40"/>
      <c r="L85" s="43">
        <v>2633160.30900105</v>
      </c>
      <c r="M85" s="43"/>
      <c r="N85" s="43">
        <v>1284541.73113496</v>
      </c>
      <c r="O85" s="40"/>
      <c r="P85" s="40">
        <v>20730650.964545101</v>
      </c>
      <c r="Q85" s="43"/>
      <c r="R85" s="43">
        <v>27931718.003870301</v>
      </c>
      <c r="S85" s="43"/>
      <c r="T85" s="40">
        <v>106799344.67728201</v>
      </c>
      <c r="U85" s="40"/>
      <c r="V85" s="43">
        <v>135164.544801001</v>
      </c>
      <c r="W85" s="43"/>
      <c r="X85" s="43">
        <v>339494.36752053298</v>
      </c>
      <c r="Y85" s="40"/>
      <c r="Z85" s="40">
        <f t="shared" si="31"/>
        <v>-5473059.8480079062</v>
      </c>
      <c r="AA85" s="40"/>
      <c r="AB85" s="40">
        <f t="shared" si="32"/>
        <v>-76904132.755078107</v>
      </c>
      <c r="AC85" s="17"/>
      <c r="AD85" s="40"/>
      <c r="AE85" s="40"/>
      <c r="AF85" s="40">
        <f>BA85/100*AF25</f>
        <v>7170518276.4492617</v>
      </c>
      <c r="AG85" s="44">
        <f t="shared" si="28"/>
        <v>8.992563763526815E-3</v>
      </c>
      <c r="AH85" s="44">
        <f t="shared" si="33"/>
        <v>-1.0725045218511029E-2</v>
      </c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U85" s="39">
        <v>12837969</v>
      </c>
      <c r="AW85" s="39">
        <f t="shared" si="34"/>
        <v>1.0896176822058535E-2</v>
      </c>
      <c r="AX85" s="48">
        <v>7305.0722400550203</v>
      </c>
      <c r="AY85" s="44">
        <f t="shared" si="35"/>
        <v>-1.8830945275865488E-3</v>
      </c>
      <c r="AZ85" s="39">
        <f t="shared" si="29"/>
        <v>108.67147245367507</v>
      </c>
      <c r="BA85" s="39">
        <f t="shared" si="19"/>
        <v>124.76922999240755</v>
      </c>
      <c r="BC85" s="44">
        <f t="shared" si="30"/>
        <v>1.3091806883763437E-2</v>
      </c>
    </row>
    <row r="86" spans="1:55" s="29" customFormat="1">
      <c r="A86" s="29">
        <f t="shared" si="36"/>
        <v>2033</v>
      </c>
      <c r="B86" s="29">
        <f t="shared" si="37"/>
        <v>1</v>
      </c>
      <c r="C86" s="30"/>
      <c r="D86" s="30">
        <v>164027113.26259801</v>
      </c>
      <c r="E86" s="30"/>
      <c r="F86" s="30">
        <v>29813869.461325198</v>
      </c>
      <c r="G86" s="31">
        <v>5133577</v>
      </c>
      <c r="H86" s="31">
        <v>28243426.003913399</v>
      </c>
      <c r="I86" s="31">
        <v>158770</v>
      </c>
      <c r="J86" s="32">
        <v>873505.69527667097</v>
      </c>
      <c r="K86" s="30"/>
      <c r="L86" s="33">
        <v>3141127.1734125698</v>
      </c>
      <c r="M86" s="33"/>
      <c r="N86" s="33">
        <v>1293854.52357699</v>
      </c>
      <c r="O86" s="30"/>
      <c r="P86" s="30">
        <v>23417729.675047401</v>
      </c>
      <c r="Q86" s="33"/>
      <c r="R86" s="33">
        <v>24584191.221619699</v>
      </c>
      <c r="S86" s="33"/>
      <c r="T86" s="30">
        <v>93999785.889509097</v>
      </c>
      <c r="U86" s="30"/>
      <c r="V86" s="33">
        <v>136319.623999812</v>
      </c>
      <c r="W86" s="33"/>
      <c r="X86" s="33">
        <v>342395.59344937198</v>
      </c>
      <c r="Y86" s="30"/>
      <c r="Z86" s="30">
        <f t="shared" si="31"/>
        <v>-9528340.3126952462</v>
      </c>
      <c r="AA86" s="30"/>
      <c r="AB86" s="30">
        <f t="shared" si="32"/>
        <v>-93445057.048136309</v>
      </c>
      <c r="AC86" s="17"/>
      <c r="AD86" s="30"/>
      <c r="AE86" s="30"/>
      <c r="AF86" s="30">
        <f>BA86/100*AF25</f>
        <v>7199992384.3705893</v>
      </c>
      <c r="AG86" s="34">
        <f t="shared" si="28"/>
        <v>4.1104571224833061E-3</v>
      </c>
      <c r="AH86" s="34">
        <f t="shared" si="33"/>
        <v>-1.2978493873268883E-2</v>
      </c>
      <c r="AS86" s="34">
        <f>AVERAGE(AG86:AG89)</f>
        <v>3.0397361125733837E-3</v>
      </c>
      <c r="AU86" s="29">
        <v>12813903</v>
      </c>
      <c r="AW86" s="29">
        <f t="shared" si="34"/>
        <v>-1.8745955843950082E-3</v>
      </c>
      <c r="AX86" s="38">
        <v>7348.8755960169701</v>
      </c>
      <c r="AY86" s="34">
        <f t="shared" si="35"/>
        <v>5.9962933318808498E-3</v>
      </c>
      <c r="AZ86" s="29">
        <f t="shared" si="29"/>
        <v>109.32309847931471</v>
      </c>
      <c r="BA86" s="29">
        <f t="shared" si="19"/>
        <v>125.28208856249658</v>
      </c>
      <c r="BC86" s="34">
        <f t="shared" si="30"/>
        <v>1.497435441282712E-2</v>
      </c>
    </row>
    <row r="87" spans="1:55" s="39" customFormat="1">
      <c r="A87" s="39">
        <f t="shared" si="36"/>
        <v>2033</v>
      </c>
      <c r="B87" s="39">
        <f t="shared" si="37"/>
        <v>2</v>
      </c>
      <c r="C87" s="40"/>
      <c r="D87" s="40">
        <v>164568505.63611099</v>
      </c>
      <c r="E87" s="40"/>
      <c r="F87" s="40">
        <v>29912273.933794498</v>
      </c>
      <c r="G87" s="41">
        <v>5268309</v>
      </c>
      <c r="H87" s="41">
        <v>28984681.715546701</v>
      </c>
      <c r="I87" s="41">
        <v>162938</v>
      </c>
      <c r="J87" s="42">
        <v>896436.80151785701</v>
      </c>
      <c r="K87" s="40"/>
      <c r="L87" s="43">
        <v>2535772.4328346699</v>
      </c>
      <c r="M87" s="43"/>
      <c r="N87" s="43">
        <v>1297109.5063563599</v>
      </c>
      <c r="O87" s="40"/>
      <c r="P87" s="40">
        <v>20294449.003330301</v>
      </c>
      <c r="Q87" s="43"/>
      <c r="R87" s="43">
        <v>28469396.928917799</v>
      </c>
      <c r="S87" s="43"/>
      <c r="T87" s="40">
        <v>108855206.648747</v>
      </c>
      <c r="U87" s="40"/>
      <c r="V87" s="43">
        <v>134543.20764238801</v>
      </c>
      <c r="W87" s="43"/>
      <c r="X87" s="43">
        <v>337933.74771457002</v>
      </c>
      <c r="Y87" s="40"/>
      <c r="Z87" s="40">
        <f t="shared" si="31"/>
        <v>-5141215.7364253402</v>
      </c>
      <c r="AA87" s="40"/>
      <c r="AB87" s="40">
        <f t="shared" si="32"/>
        <v>-76007747.990694299</v>
      </c>
      <c r="AC87" s="17"/>
      <c r="AD87" s="40"/>
      <c r="AE87" s="40"/>
      <c r="AF87" s="40">
        <f>BA87/100*AF25</f>
        <v>7253912503.9717207</v>
      </c>
      <c r="AG87" s="44">
        <f t="shared" si="28"/>
        <v>7.4889134213778812E-3</v>
      </c>
      <c r="AH87" s="44">
        <f t="shared" si="33"/>
        <v>-1.0478172703224353E-2</v>
      </c>
      <c r="AU87" s="39">
        <v>12827608</v>
      </c>
      <c r="AW87" s="39">
        <f t="shared" si="34"/>
        <v>1.0695414191913269E-3</v>
      </c>
      <c r="AX87" s="48">
        <v>7396.0003603782397</v>
      </c>
      <c r="AY87" s="44">
        <f t="shared" si="35"/>
        <v>6.4125135533401679E-3</v>
      </c>
      <c r="AZ87" s="39">
        <f t="shared" si="29"/>
        <v>110.02413433000646</v>
      </c>
      <c r="BA87" s="39">
        <f t="shared" si="19"/>
        <v>126.22031527699052</v>
      </c>
      <c r="BC87" s="44">
        <f t="shared" si="30"/>
        <v>1.3159721046731679E-2</v>
      </c>
    </row>
    <row r="88" spans="1:55">
      <c r="A88" s="39">
        <f t="shared" si="36"/>
        <v>2033</v>
      </c>
      <c r="B88" s="39">
        <f t="shared" si="37"/>
        <v>3</v>
      </c>
      <c r="C88" s="40"/>
      <c r="D88" s="40">
        <v>165553256.03259301</v>
      </c>
      <c r="E88" s="40"/>
      <c r="F88" s="40">
        <v>30091263.975067101</v>
      </c>
      <c r="G88" s="41">
        <v>5393249</v>
      </c>
      <c r="H88" s="41">
        <v>29672064.732287001</v>
      </c>
      <c r="I88" s="41">
        <v>166801</v>
      </c>
      <c r="J88" s="42">
        <v>917689.88774859195</v>
      </c>
      <c r="K88" s="40"/>
      <c r="L88" s="43">
        <v>2512719.1935879998</v>
      </c>
      <c r="M88" s="43"/>
      <c r="N88" s="43">
        <v>1304302.77540543</v>
      </c>
      <c r="O88" s="40"/>
      <c r="P88" s="40">
        <v>20214400.879239298</v>
      </c>
      <c r="Q88" s="43"/>
      <c r="R88" s="43">
        <v>24872210.425625902</v>
      </c>
      <c r="S88" s="43"/>
      <c r="T88" s="40">
        <v>95101052.279140994</v>
      </c>
      <c r="U88" s="40"/>
      <c r="V88" s="43">
        <v>131804.38112357</v>
      </c>
      <c r="W88" s="43"/>
      <c r="X88" s="43">
        <v>331054.60512489598</v>
      </c>
      <c r="Y88" s="40"/>
      <c r="Z88" s="40">
        <f t="shared" si="31"/>
        <v>-8904271.13731106</v>
      </c>
      <c r="AA88" s="40"/>
      <c r="AB88" s="40">
        <f t="shared" si="32"/>
        <v>-90666604.632691324</v>
      </c>
      <c r="AC88" s="17"/>
      <c r="AD88" s="40"/>
      <c r="AE88" s="40"/>
      <c r="AF88" s="40">
        <f>BA88/100*AF25</f>
        <v>7251491905.4759254</v>
      </c>
      <c r="AG88" s="44">
        <f t="shared" si="28"/>
        <v>-3.3369557386719298E-4</v>
      </c>
      <c r="AH88" s="44">
        <f t="shared" si="33"/>
        <v>-1.2503165667774506E-2</v>
      </c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40"/>
      <c r="AU88" s="39">
        <v>12848165</v>
      </c>
      <c r="AW88" s="39">
        <f t="shared" si="34"/>
        <v>1.6025591053296919E-3</v>
      </c>
      <c r="AX88" s="48">
        <v>7381.7027328662698</v>
      </c>
      <c r="AY88" s="44">
        <f t="shared" si="35"/>
        <v>-1.9331566813551037E-3</v>
      </c>
      <c r="AZ88" s="39">
        <f t="shared" si="29"/>
        <v>109.81144043961611</v>
      </c>
      <c r="BA88" s="39">
        <f t="shared" si="19"/>
        <v>126.17819611645048</v>
      </c>
      <c r="BC88" s="44">
        <f t="shared" si="30"/>
        <v>1.5008307527758799E-2</v>
      </c>
    </row>
    <row r="89" spans="1:55">
      <c r="A89" s="39">
        <f t="shared" si="36"/>
        <v>2033</v>
      </c>
      <c r="B89" s="39">
        <f t="shared" si="37"/>
        <v>4</v>
      </c>
      <c r="C89" s="40"/>
      <c r="D89" s="40">
        <v>166926771.31069201</v>
      </c>
      <c r="E89" s="40"/>
      <c r="F89" s="40">
        <v>30340916.635470901</v>
      </c>
      <c r="G89" s="41">
        <v>5498816</v>
      </c>
      <c r="H89" s="41">
        <v>30252863.2189865</v>
      </c>
      <c r="I89" s="41">
        <v>170066</v>
      </c>
      <c r="J89" s="42">
        <v>935652.95441785199</v>
      </c>
      <c r="K89" s="40"/>
      <c r="L89" s="43">
        <v>2515449.6962575899</v>
      </c>
      <c r="M89" s="43"/>
      <c r="N89" s="43">
        <v>1317089.70762155</v>
      </c>
      <c r="O89" s="40"/>
      <c r="P89" s="40">
        <v>20298919.3988702</v>
      </c>
      <c r="Q89" s="43"/>
      <c r="R89" s="43">
        <v>28483138.1226159</v>
      </c>
      <c r="S89" s="43"/>
      <c r="T89" s="40">
        <v>108907747.293824</v>
      </c>
      <c r="U89" s="40"/>
      <c r="V89" s="43">
        <v>133622.066201579</v>
      </c>
      <c r="W89" s="43"/>
      <c r="X89" s="43">
        <v>335620.10598770302</v>
      </c>
      <c r="Y89" s="40"/>
      <c r="Z89" s="40">
        <f t="shared" si="31"/>
        <v>-5556695.8505325615</v>
      </c>
      <c r="AA89" s="40"/>
      <c r="AB89" s="40">
        <f t="shared" si="32"/>
        <v>-78317943.41573821</v>
      </c>
      <c r="AC89" s="17"/>
      <c r="AD89" s="40"/>
      <c r="AE89" s="40"/>
      <c r="AF89" s="40">
        <f>BA89/100*AF25</f>
        <v>7257969441.8817263</v>
      </c>
      <c r="AG89" s="44">
        <f t="shared" si="28"/>
        <v>8.9326948029954257E-4</v>
      </c>
      <c r="AH89" s="44">
        <f t="shared" si="33"/>
        <v>-1.0790613551471944E-2</v>
      </c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U89" s="39">
        <v>12818378</v>
      </c>
      <c r="AW89" s="39">
        <f t="shared" si="34"/>
        <v>-2.318385543772204E-3</v>
      </c>
      <c r="AX89" s="48">
        <v>7405.4653063413098</v>
      </c>
      <c r="AY89" s="44">
        <f t="shared" si="35"/>
        <v>3.2191181811263635E-3</v>
      </c>
      <c r="AZ89" s="39">
        <f t="shared" si="29"/>
        <v>110.16493644403094</v>
      </c>
      <c r="BA89" s="39">
        <f t="shared" si="19"/>
        <v>126.29090724812053</v>
      </c>
      <c r="BC89" s="44">
        <f t="shared" si="30"/>
        <v>1.3153422379414576E-2</v>
      </c>
    </row>
    <row r="90" spans="1:55" s="29" customFormat="1">
      <c r="A90" s="29">
        <f t="shared" si="36"/>
        <v>2034</v>
      </c>
      <c r="B90" s="29">
        <f t="shared" si="37"/>
        <v>1</v>
      </c>
      <c r="C90" s="30"/>
      <c r="D90" s="30">
        <v>168225211.22259101</v>
      </c>
      <c r="E90" s="30"/>
      <c r="F90" s="30">
        <v>30576923.459384099</v>
      </c>
      <c r="G90" s="31">
        <v>5627180</v>
      </c>
      <c r="H90" s="31">
        <v>30959084.073483501</v>
      </c>
      <c r="I90" s="31">
        <v>174036</v>
      </c>
      <c r="J90" s="32">
        <v>957494.72307848302</v>
      </c>
      <c r="K90" s="30"/>
      <c r="L90" s="33">
        <v>3047371.5403414699</v>
      </c>
      <c r="M90" s="33"/>
      <c r="N90" s="33">
        <v>1326757.3132601599</v>
      </c>
      <c r="O90" s="30"/>
      <c r="P90" s="30">
        <v>23112252.690290399</v>
      </c>
      <c r="Q90" s="33"/>
      <c r="R90" s="33">
        <v>24842242.8497007</v>
      </c>
      <c r="S90" s="33"/>
      <c r="T90" s="30">
        <v>94986468.655250102</v>
      </c>
      <c r="U90" s="30"/>
      <c r="V90" s="33">
        <v>131406.64546286099</v>
      </c>
      <c r="W90" s="33"/>
      <c r="X90" s="33">
        <v>330055.607815567</v>
      </c>
      <c r="Y90" s="30"/>
      <c r="Z90" s="30">
        <f t="shared" si="31"/>
        <v>-9977402.8178221695</v>
      </c>
      <c r="AA90" s="30"/>
      <c r="AB90" s="30">
        <f t="shared" si="32"/>
        <v>-96350995.257631302</v>
      </c>
      <c r="AC90" s="17"/>
      <c r="AD90" s="30"/>
      <c r="AE90" s="30"/>
      <c r="AF90" s="30">
        <f>BA90/100*AF25</f>
        <v>7245498046.6114225</v>
      </c>
      <c r="AG90" s="34">
        <f t="shared" ref="AG90:AG117" si="38">(AF90-AF89)/AF89</f>
        <v>-1.7183036343936919E-3</v>
      </c>
      <c r="AH90" s="34">
        <f t="shared" si="33"/>
        <v>-1.3298049994326169E-2</v>
      </c>
      <c r="AS90" s="34">
        <f>AVERAGE(AG90:AG93)</f>
        <v>4.2395217577979438E-3</v>
      </c>
      <c r="AU90" s="29">
        <v>12770694</v>
      </c>
      <c r="AW90" s="29">
        <f t="shared" si="34"/>
        <v>-3.7199714347634309E-3</v>
      </c>
      <c r="AX90" s="38">
        <v>7420.3439358686001</v>
      </c>
      <c r="AY90" s="34">
        <f t="shared" si="35"/>
        <v>2.0091417502894377E-3</v>
      </c>
      <c r="AZ90" s="29">
        <f t="shared" ref="AZ90:AZ117" si="39">AZ89*((1+AY90))</f>
        <v>110.38627341725862</v>
      </c>
      <c r="BA90" s="29">
        <f t="shared" si="19"/>
        <v>126.07390112320523</v>
      </c>
      <c r="BC90" s="34">
        <f t="shared" si="30"/>
        <v>1.4979326382475802E-2</v>
      </c>
    </row>
    <row r="91" spans="1:55" s="39" customFormat="1">
      <c r="A91" s="39">
        <f t="shared" si="36"/>
        <v>2034</v>
      </c>
      <c r="B91" s="39">
        <f t="shared" si="37"/>
        <v>2</v>
      </c>
      <c r="C91" s="40"/>
      <c r="D91" s="40">
        <v>169741449.30947399</v>
      </c>
      <c r="E91" s="40"/>
      <c r="F91" s="40">
        <v>30852517.6797265</v>
      </c>
      <c r="G91" s="41">
        <v>5779848</v>
      </c>
      <c r="H91" s="41">
        <v>31799018.365141299</v>
      </c>
      <c r="I91" s="41">
        <v>178758</v>
      </c>
      <c r="J91" s="42">
        <v>983473.77386324306</v>
      </c>
      <c r="K91" s="40"/>
      <c r="L91" s="43">
        <v>2554057.5986540299</v>
      </c>
      <c r="M91" s="43"/>
      <c r="N91" s="43">
        <v>1338245.6616277299</v>
      </c>
      <c r="O91" s="40"/>
      <c r="P91" s="40">
        <v>20615649.804866102</v>
      </c>
      <c r="Q91" s="43"/>
      <c r="R91" s="43">
        <v>28658431.0773555</v>
      </c>
      <c r="S91" s="43"/>
      <c r="T91" s="40">
        <v>109577995.099209</v>
      </c>
      <c r="U91" s="40"/>
      <c r="V91" s="43">
        <v>131904.34425333401</v>
      </c>
      <c r="W91" s="43"/>
      <c r="X91" s="43">
        <v>331305.68368669099</v>
      </c>
      <c r="Y91" s="40"/>
      <c r="Z91" s="40">
        <f t="shared" si="31"/>
        <v>-5954485.5183994211</v>
      </c>
      <c r="AA91" s="40"/>
      <c r="AB91" s="40">
        <f t="shared" si="32"/>
        <v>-80779104.015131101</v>
      </c>
      <c r="AC91" s="17"/>
      <c r="AD91" s="40"/>
      <c r="AE91" s="40"/>
      <c r="AF91" s="40">
        <f>BA91/100*AF25</f>
        <v>7300184001.6040182</v>
      </c>
      <c r="AG91" s="44">
        <f t="shared" si="38"/>
        <v>7.5475770803873476E-3</v>
      </c>
      <c r="AH91" s="44">
        <f t="shared" si="33"/>
        <v>-1.106535177707604E-2</v>
      </c>
      <c r="AU91" s="39">
        <v>12841221</v>
      </c>
      <c r="AW91" s="39">
        <f t="shared" si="34"/>
        <v>5.5225659623509889E-3</v>
      </c>
      <c r="AX91" s="48">
        <v>7435.2876869871097</v>
      </c>
      <c r="AY91" s="44">
        <f t="shared" si="35"/>
        <v>2.0138892816375115E-3</v>
      </c>
      <c r="AZ91" s="39">
        <f t="shared" si="39"/>
        <v>110.60857915013354</v>
      </c>
      <c r="BA91" s="39">
        <f t="shared" ref="BA91:BA117" si="40">BA90*(1+AW91)*(1+AY91)</f>
        <v>127.02545360975775</v>
      </c>
      <c r="BC91" s="44">
        <f t="shared" si="30"/>
        <v>1.3154726963574764E-2</v>
      </c>
    </row>
    <row r="92" spans="1:55">
      <c r="A92" s="39">
        <f t="shared" si="36"/>
        <v>2034</v>
      </c>
      <c r="B92" s="39">
        <f t="shared" si="37"/>
        <v>3</v>
      </c>
      <c r="C92" s="40"/>
      <c r="D92" s="40">
        <v>171005022.26547599</v>
      </c>
      <c r="E92" s="40"/>
      <c r="F92" s="40">
        <v>31082187.021677099</v>
      </c>
      <c r="G92" s="41">
        <v>5891997</v>
      </c>
      <c r="H92" s="41">
        <v>32416029.073836699</v>
      </c>
      <c r="I92" s="41">
        <v>182226</v>
      </c>
      <c r="J92" s="42">
        <v>1002553.68663782</v>
      </c>
      <c r="K92" s="40"/>
      <c r="L92" s="43">
        <v>2538623.6122036199</v>
      </c>
      <c r="M92" s="43"/>
      <c r="N92" s="43">
        <v>1348632.9983856699</v>
      </c>
      <c r="O92" s="40"/>
      <c r="P92" s="40">
        <v>20592710.837887101</v>
      </c>
      <c r="Q92" s="43"/>
      <c r="R92" s="43">
        <v>25185784.553152502</v>
      </c>
      <c r="S92" s="43"/>
      <c r="T92" s="40">
        <v>96300030.133741602</v>
      </c>
      <c r="U92" s="40"/>
      <c r="V92" s="43">
        <v>138840.20066204501</v>
      </c>
      <c r="W92" s="43"/>
      <c r="X92" s="43">
        <v>348726.55532248499</v>
      </c>
      <c r="Y92" s="40"/>
      <c r="Z92" s="40">
        <f t="shared" si="31"/>
        <v>-9644818.8784518428</v>
      </c>
      <c r="AA92" s="40"/>
      <c r="AB92" s="40">
        <f t="shared" si="32"/>
        <v>-95297702.96962148</v>
      </c>
      <c r="AC92" s="17"/>
      <c r="AD92" s="40"/>
      <c r="AE92" s="40"/>
      <c r="AF92" s="40">
        <f>BA92/100*AF25</f>
        <v>7355747834.4088373</v>
      </c>
      <c r="AG92" s="44">
        <f t="shared" si="38"/>
        <v>7.6112920979266351E-3</v>
      </c>
      <c r="AH92" s="44">
        <f t="shared" si="33"/>
        <v>-1.2955542402342334E-2</v>
      </c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40"/>
      <c r="AU92" s="39">
        <v>12913497</v>
      </c>
      <c r="AW92" s="39">
        <f t="shared" si="34"/>
        <v>5.6284367351048629E-3</v>
      </c>
      <c r="AX92" s="48">
        <v>7449.9482708824198</v>
      </c>
      <c r="AY92" s="44">
        <f t="shared" si="35"/>
        <v>1.9717574507531629E-3</v>
      </c>
      <c r="AZ92" s="39">
        <f t="shared" si="39"/>
        <v>110.82667244019004</v>
      </c>
      <c r="BA92" s="39">
        <f t="shared" si="40"/>
        <v>127.99228144105324</v>
      </c>
      <c r="BC92" s="44">
        <f t="shared" si="30"/>
        <v>1.5062850612030474E-2</v>
      </c>
    </row>
    <row r="93" spans="1:55">
      <c r="A93" s="39">
        <f t="shared" si="36"/>
        <v>2034</v>
      </c>
      <c r="B93" s="39">
        <f t="shared" si="37"/>
        <v>4</v>
      </c>
      <c r="C93" s="40"/>
      <c r="D93" s="40">
        <v>171666695.55011699</v>
      </c>
      <c r="E93" s="40"/>
      <c r="F93" s="40">
        <v>31202453.973536301</v>
      </c>
      <c r="G93" s="41">
        <v>5953620</v>
      </c>
      <c r="H93" s="41">
        <v>32755060.638112299</v>
      </c>
      <c r="I93" s="41">
        <v>184133</v>
      </c>
      <c r="J93" s="42">
        <v>1013045.43798186</v>
      </c>
      <c r="K93" s="40"/>
      <c r="L93" s="43">
        <v>2522088.5538467299</v>
      </c>
      <c r="M93" s="43"/>
      <c r="N93" s="43">
        <v>1352826.54912407</v>
      </c>
      <c r="O93" s="40"/>
      <c r="P93" s="40">
        <v>20529982.020334002</v>
      </c>
      <c r="Q93" s="43"/>
      <c r="R93" s="43">
        <v>28908726.543046001</v>
      </c>
      <c r="S93" s="43"/>
      <c r="T93" s="40">
        <v>110535021.50581101</v>
      </c>
      <c r="U93" s="40"/>
      <c r="V93" s="43">
        <v>135175.37507588399</v>
      </c>
      <c r="W93" s="43"/>
      <c r="X93" s="43">
        <v>339521.57004858297</v>
      </c>
      <c r="Y93" s="40"/>
      <c r="Z93" s="40">
        <f t="shared" si="31"/>
        <v>-6033467.1583852135</v>
      </c>
      <c r="AA93" s="40"/>
      <c r="AB93" s="40">
        <f t="shared" si="32"/>
        <v>-81661656.064639986</v>
      </c>
      <c r="AC93" s="17"/>
      <c r="AD93" s="40"/>
      <c r="AE93" s="40"/>
      <c r="AF93" s="40">
        <f>BA93/100*AF25</f>
        <v>7381621835.4713211</v>
      </c>
      <c r="AG93" s="44">
        <f t="shared" si="38"/>
        <v>3.5175214872714862E-3</v>
      </c>
      <c r="AH93" s="44">
        <f t="shared" si="33"/>
        <v>-1.1062833871037209E-2</v>
      </c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U93" s="39">
        <v>12983094</v>
      </c>
      <c r="AW93" s="39">
        <f t="shared" si="34"/>
        <v>5.3894773816883217E-3</v>
      </c>
      <c r="AX93" s="48">
        <v>7436.07705490839</v>
      </c>
      <c r="AY93" s="44">
        <f t="shared" si="35"/>
        <v>-1.8619211126934231E-3</v>
      </c>
      <c r="AZ93" s="39">
        <f t="shared" si="39"/>
        <v>110.62032191892409</v>
      </c>
      <c r="BA93" s="39">
        <f t="shared" si="40"/>
        <v>128.44249704122703</v>
      </c>
      <c r="BC93" s="44">
        <f t="shared" si="30"/>
        <v>1.3144483894861786E-2</v>
      </c>
    </row>
    <row r="94" spans="1:55" s="29" customFormat="1">
      <c r="A94" s="29">
        <f t="shared" si="36"/>
        <v>2035</v>
      </c>
      <c r="B94" s="29">
        <f t="shared" si="37"/>
        <v>1</v>
      </c>
      <c r="C94" s="30"/>
      <c r="D94" s="30">
        <v>172952412.49864599</v>
      </c>
      <c r="E94" s="30"/>
      <c r="F94" s="30">
        <v>31436148.248252202</v>
      </c>
      <c r="G94" s="31">
        <v>6097735</v>
      </c>
      <c r="H94" s="31">
        <v>33547938.847313002</v>
      </c>
      <c r="I94" s="31">
        <v>188590</v>
      </c>
      <c r="J94" s="32">
        <v>1037566.53695426</v>
      </c>
      <c r="K94" s="30"/>
      <c r="L94" s="33">
        <v>3104081.51233852</v>
      </c>
      <c r="M94" s="33"/>
      <c r="N94" s="33">
        <v>1362643.5923864499</v>
      </c>
      <c r="O94" s="30"/>
      <c r="P94" s="30">
        <v>23603956.724159699</v>
      </c>
      <c r="Q94" s="33"/>
      <c r="R94" s="33">
        <v>25322897.2812961</v>
      </c>
      <c r="S94" s="33"/>
      <c r="T94" s="30">
        <v>96824292.533592105</v>
      </c>
      <c r="U94" s="30"/>
      <c r="V94" s="33">
        <v>133153.369949477</v>
      </c>
      <c r="W94" s="33"/>
      <c r="X94" s="33">
        <v>334442.87613130402</v>
      </c>
      <c r="Y94" s="30"/>
      <c r="Z94" s="30">
        <f t="shared" si="31"/>
        <v>-10446822.701731592</v>
      </c>
      <c r="AA94" s="30"/>
      <c r="AB94" s="30">
        <f t="shared" si="32"/>
        <v>-99732076.689213589</v>
      </c>
      <c r="AC94" s="17"/>
      <c r="AD94" s="30"/>
      <c r="AE94" s="30"/>
      <c r="AF94" s="30">
        <f>BA94/100*AF25</f>
        <v>7357624997.50245</v>
      </c>
      <c r="AG94" s="34">
        <f t="shared" si="38"/>
        <v>-3.2508896423761192E-3</v>
      </c>
      <c r="AH94" s="34">
        <f t="shared" si="33"/>
        <v>-1.3554927945236092E-2</v>
      </c>
      <c r="AS94" s="34">
        <f>AVERAGE(AG94:AG97)</f>
        <v>1.9924984994894486E-3</v>
      </c>
      <c r="AU94" s="29">
        <v>12857775</v>
      </c>
      <c r="AW94" s="29">
        <f t="shared" si="34"/>
        <v>-9.6524757503873883E-3</v>
      </c>
      <c r="AX94" s="38">
        <v>7484.1437046522497</v>
      </c>
      <c r="AY94" s="34">
        <f t="shared" si="35"/>
        <v>6.4639795135167325E-3</v>
      </c>
      <c r="AZ94" s="29">
        <f t="shared" si="39"/>
        <v>111.33536941358663</v>
      </c>
      <c r="BA94" s="29">
        <f t="shared" si="40"/>
        <v>128.02494465795479</v>
      </c>
      <c r="BC94" s="34">
        <f t="shared" si="30"/>
        <v>1.4944649744427425E-2</v>
      </c>
    </row>
    <row r="95" spans="1:55" s="39" customFormat="1">
      <c r="A95" s="39">
        <f t="shared" si="36"/>
        <v>2035</v>
      </c>
      <c r="B95" s="39">
        <f t="shared" si="37"/>
        <v>2</v>
      </c>
      <c r="C95" s="40"/>
      <c r="D95" s="40">
        <v>174564867.76502401</v>
      </c>
      <c r="E95" s="40"/>
      <c r="F95" s="40">
        <v>31729231.079912301</v>
      </c>
      <c r="G95" s="41">
        <v>6212684</v>
      </c>
      <c r="H95" s="41">
        <v>34180354.329875</v>
      </c>
      <c r="I95" s="41">
        <v>192145</v>
      </c>
      <c r="J95" s="42">
        <v>1057125.0980596801</v>
      </c>
      <c r="K95" s="40"/>
      <c r="L95" s="43">
        <v>2580658.44710537</v>
      </c>
      <c r="M95" s="43"/>
      <c r="N95" s="43">
        <v>1375925.1836435001</v>
      </c>
      <c r="O95" s="40"/>
      <c r="P95" s="40">
        <v>20960983.3468096</v>
      </c>
      <c r="Q95" s="43"/>
      <c r="R95" s="43">
        <v>28944295.2714453</v>
      </c>
      <c r="S95" s="43"/>
      <c r="T95" s="40">
        <v>110671021.621648</v>
      </c>
      <c r="U95" s="40"/>
      <c r="V95" s="43">
        <v>136097.24120034499</v>
      </c>
      <c r="W95" s="43"/>
      <c r="X95" s="43">
        <v>341837.03197185101</v>
      </c>
      <c r="Y95" s="40"/>
      <c r="Z95" s="40">
        <f t="shared" si="31"/>
        <v>-6605422.1980155259</v>
      </c>
      <c r="AA95" s="40"/>
      <c r="AB95" s="40">
        <f t="shared" si="32"/>
        <v>-84854829.490185603</v>
      </c>
      <c r="AC95" s="17"/>
      <c r="AD95" s="40"/>
      <c r="AE95" s="40"/>
      <c r="AF95" s="40">
        <f>BA95/100*AF25</f>
        <v>7373984136.2495441</v>
      </c>
      <c r="AG95" s="44">
        <f t="shared" si="38"/>
        <v>2.2234265476491766E-3</v>
      </c>
      <c r="AH95" s="44">
        <f t="shared" si="33"/>
        <v>-1.1507324659548741E-2</v>
      </c>
      <c r="AU95" s="39">
        <v>12897616</v>
      </c>
      <c r="AW95" s="39">
        <f t="shared" si="34"/>
        <v>3.0985920969996755E-3</v>
      </c>
      <c r="AX95" s="48">
        <v>7477.6140725818796</v>
      </c>
      <c r="AY95" s="44">
        <f t="shared" si="35"/>
        <v>-8.7246214504288402E-4</v>
      </c>
      <c r="AZ95" s="39">
        <f t="shared" si="39"/>
        <v>111.23823351836892</v>
      </c>
      <c r="BA95" s="39">
        <f t="shared" si="40"/>
        <v>128.30959871866861</v>
      </c>
      <c r="BC95" s="44">
        <f t="shared" si="30"/>
        <v>1.3139545392444591E-2</v>
      </c>
    </row>
    <row r="96" spans="1:55">
      <c r="A96" s="39">
        <f t="shared" si="36"/>
        <v>2035</v>
      </c>
      <c r="B96" s="39">
        <f t="shared" si="37"/>
        <v>3</v>
      </c>
      <c r="C96" s="40"/>
      <c r="D96" s="40">
        <v>175457119.27857199</v>
      </c>
      <c r="E96" s="40"/>
      <c r="F96" s="40">
        <v>31891408.354281601</v>
      </c>
      <c r="G96" s="41">
        <v>6352471</v>
      </c>
      <c r="H96" s="41">
        <v>34949421.1600421</v>
      </c>
      <c r="I96" s="41">
        <v>196468</v>
      </c>
      <c r="J96" s="42">
        <v>1080908.9685684801</v>
      </c>
      <c r="K96" s="40"/>
      <c r="L96" s="43">
        <v>2595321.5875808001</v>
      </c>
      <c r="M96" s="43"/>
      <c r="N96" s="43">
        <v>1384262.6632186701</v>
      </c>
      <c r="O96" s="40"/>
      <c r="P96" s="40">
        <v>21082940.8051106</v>
      </c>
      <c r="Q96" s="43"/>
      <c r="R96" s="43">
        <v>25470894.299157001</v>
      </c>
      <c r="S96" s="43"/>
      <c r="T96" s="40">
        <v>97390171.958536103</v>
      </c>
      <c r="U96" s="40"/>
      <c r="V96" s="43">
        <v>132208.886895134</v>
      </c>
      <c r="W96" s="43"/>
      <c r="X96" s="43">
        <v>332070.607000813</v>
      </c>
      <c r="Y96" s="40"/>
      <c r="Z96" s="40">
        <f t="shared" si="31"/>
        <v>-10267889.419028934</v>
      </c>
      <c r="AA96" s="40"/>
      <c r="AB96" s="40">
        <f t="shared" si="32"/>
        <v>-99149888.125146493</v>
      </c>
      <c r="AC96" s="17"/>
      <c r="AD96" s="40"/>
      <c r="AE96" s="40"/>
      <c r="AF96" s="40">
        <f>BA96/100*AF25</f>
        <v>7404169739.9571142</v>
      </c>
      <c r="AG96" s="44">
        <f t="shared" si="38"/>
        <v>4.0935270743507005E-3</v>
      </c>
      <c r="AH96" s="44">
        <f t="shared" si="33"/>
        <v>-1.3391087941984537E-2</v>
      </c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40"/>
      <c r="AU96" s="39">
        <v>12908938</v>
      </c>
      <c r="AW96" s="39">
        <f t="shared" si="34"/>
        <v>8.7783664826119809E-4</v>
      </c>
      <c r="AX96" s="48">
        <v>7501.6386748887098</v>
      </c>
      <c r="AY96" s="44">
        <f t="shared" si="35"/>
        <v>3.2128700510128134E-3</v>
      </c>
      <c r="AZ96" s="39">
        <f t="shared" si="39"/>
        <v>111.59562750736765</v>
      </c>
      <c r="BA96" s="39">
        <f t="shared" si="40"/>
        <v>128.83483753492254</v>
      </c>
      <c r="BC96" s="44">
        <f t="shared" si="30"/>
        <v>1.4997592825161391E-2</v>
      </c>
    </row>
    <row r="97" spans="1:55">
      <c r="A97" s="39">
        <f t="shared" si="36"/>
        <v>2035</v>
      </c>
      <c r="B97" s="39">
        <f t="shared" si="37"/>
        <v>4</v>
      </c>
      <c r="C97" s="40"/>
      <c r="D97" s="40">
        <v>176612916.56616899</v>
      </c>
      <c r="E97" s="40"/>
      <c r="F97" s="40">
        <v>32101488.1927348</v>
      </c>
      <c r="G97" s="41">
        <v>6515751</v>
      </c>
      <c r="H97" s="41">
        <v>35847739.544653699</v>
      </c>
      <c r="I97" s="41">
        <v>201518</v>
      </c>
      <c r="J97" s="42">
        <v>1108692.5785775899</v>
      </c>
      <c r="K97" s="40"/>
      <c r="L97" s="43">
        <v>2667322.96286665</v>
      </c>
      <c r="M97" s="43"/>
      <c r="N97" s="43">
        <v>1393457.0476577799</v>
      </c>
      <c r="O97" s="40"/>
      <c r="P97" s="40">
        <v>21507141.074151099</v>
      </c>
      <c r="Q97" s="43"/>
      <c r="R97" s="43">
        <v>29148905.726492599</v>
      </c>
      <c r="S97" s="43"/>
      <c r="T97" s="40">
        <v>111453367.430457</v>
      </c>
      <c r="U97" s="40"/>
      <c r="V97" s="43">
        <v>135399.52609363501</v>
      </c>
      <c r="W97" s="43"/>
      <c r="X97" s="43">
        <v>340084.57278064301</v>
      </c>
      <c r="Y97" s="40"/>
      <c r="Z97" s="40">
        <f t="shared" si="31"/>
        <v>-6877962.9506729953</v>
      </c>
      <c r="AA97" s="40"/>
      <c r="AB97" s="40">
        <f t="shared" si="32"/>
        <v>-86666690.209863096</v>
      </c>
      <c r="AC97" s="17"/>
      <c r="AD97" s="40"/>
      <c r="AE97" s="40"/>
      <c r="AF97" s="40">
        <f>BA97/100*AF25</f>
        <v>7440479270.2057304</v>
      </c>
      <c r="AG97" s="44">
        <f t="shared" si="38"/>
        <v>4.9039300183340373E-3</v>
      </c>
      <c r="AH97" s="44">
        <f t="shared" si="33"/>
        <v>-1.1647998342916794E-2</v>
      </c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U97" s="39">
        <v>12917141</v>
      </c>
      <c r="AW97" s="39">
        <f t="shared" si="34"/>
        <v>6.3545118893591399E-4</v>
      </c>
      <c r="AX97" s="48">
        <v>7533.63892616055</v>
      </c>
      <c r="AY97" s="44">
        <f t="shared" si="35"/>
        <v>4.2657681419606512E-3</v>
      </c>
      <c r="AZ97" s="39">
        <f t="shared" si="39"/>
        <v>112.07166857997069</v>
      </c>
      <c r="BA97" s="39">
        <f t="shared" si="40"/>
        <v>129.46663456211724</v>
      </c>
      <c r="BC97" s="44">
        <f t="shared" si="30"/>
        <v>1.3142571395233787E-2</v>
      </c>
    </row>
    <row r="98" spans="1:55" s="29" customFormat="1">
      <c r="A98" s="29">
        <f t="shared" si="36"/>
        <v>2036</v>
      </c>
      <c r="B98" s="29">
        <f t="shared" si="37"/>
        <v>1</v>
      </c>
      <c r="C98" s="30"/>
      <c r="D98" s="30">
        <v>177604857.315429</v>
      </c>
      <c r="E98" s="30"/>
      <c r="F98" s="30">
        <v>32281785.165738702</v>
      </c>
      <c r="G98" s="31">
        <v>6750450</v>
      </c>
      <c r="H98" s="31">
        <v>37138984.195253499</v>
      </c>
      <c r="I98" s="31">
        <v>208777</v>
      </c>
      <c r="J98" s="32">
        <v>1148629.4548263401</v>
      </c>
      <c r="K98" s="30"/>
      <c r="L98" s="33">
        <v>3239339.0842089001</v>
      </c>
      <c r="M98" s="33"/>
      <c r="N98" s="33">
        <v>1399767.9298842801</v>
      </c>
      <c r="O98" s="30"/>
      <c r="P98" s="30">
        <v>24510056.059045199</v>
      </c>
      <c r="Q98" s="33"/>
      <c r="R98" s="33">
        <v>25715477.376945</v>
      </c>
      <c r="S98" s="33"/>
      <c r="T98" s="30">
        <v>98325356.554889798</v>
      </c>
      <c r="U98" s="30"/>
      <c r="V98" s="33">
        <v>131797.64457152601</v>
      </c>
      <c r="W98" s="33"/>
      <c r="X98" s="33">
        <v>331037.68484836299</v>
      </c>
      <c r="Y98" s="30"/>
      <c r="Z98" s="30">
        <f t="shared" si="31"/>
        <v>-11073617.158315353</v>
      </c>
      <c r="AA98" s="30"/>
      <c r="AB98" s="30">
        <f t="shared" si="32"/>
        <v>-103789556.8195844</v>
      </c>
      <c r="AC98" s="17"/>
      <c r="AD98" s="30"/>
      <c r="AE98" s="30"/>
      <c r="AF98" s="30">
        <f>BA98/100*AF25</f>
        <v>7474526596.1924715</v>
      </c>
      <c r="AG98" s="34">
        <f t="shared" si="38"/>
        <v>4.5759587185570712E-3</v>
      </c>
      <c r="AH98" s="34">
        <f t="shared" si="33"/>
        <v>-1.3885769952635511E-2</v>
      </c>
      <c r="AS98" s="34">
        <f>AVERAGE(AG98:AG101)</f>
        <v>2.7139622661659733E-3</v>
      </c>
      <c r="AU98" s="29">
        <v>12907560</v>
      </c>
      <c r="AW98" s="29">
        <f t="shared" si="34"/>
        <v>-7.4172760055804922E-4</v>
      </c>
      <c r="AX98" s="38">
        <v>7573.7301916094702</v>
      </c>
      <c r="AY98" s="34">
        <f t="shared" si="35"/>
        <v>5.3216335215779164E-3</v>
      </c>
      <c r="AZ98" s="29">
        <f t="shared" si="39"/>
        <v>112.66807292830504</v>
      </c>
      <c r="BA98" s="29">
        <f t="shared" si="40"/>
        <v>130.059068537304</v>
      </c>
      <c r="BC98" s="34">
        <f t="shared" si="30"/>
        <v>1.502489627013557E-2</v>
      </c>
    </row>
    <row r="99" spans="1:55" s="39" customFormat="1">
      <c r="A99" s="39">
        <f t="shared" si="36"/>
        <v>2036</v>
      </c>
      <c r="B99" s="39">
        <f t="shared" si="37"/>
        <v>2</v>
      </c>
      <c r="C99" s="40"/>
      <c r="D99" s="40">
        <v>178623110.97572199</v>
      </c>
      <c r="E99" s="40"/>
      <c r="F99" s="40">
        <v>32466864.821794599</v>
      </c>
      <c r="G99" s="41">
        <v>6895262</v>
      </c>
      <c r="H99" s="41">
        <v>37935697.092805997</v>
      </c>
      <c r="I99" s="41">
        <v>213256</v>
      </c>
      <c r="J99" s="42">
        <v>1173271.5913076899</v>
      </c>
      <c r="K99" s="40"/>
      <c r="L99" s="43">
        <v>2583570.7928829398</v>
      </c>
      <c r="M99" s="43"/>
      <c r="N99" s="43">
        <v>1407328.91361324</v>
      </c>
      <c r="O99" s="40"/>
      <c r="P99" s="40">
        <v>21148869.5795894</v>
      </c>
      <c r="Q99" s="43"/>
      <c r="R99" s="43">
        <v>29507047.943832599</v>
      </c>
      <c r="S99" s="43"/>
      <c r="T99" s="40">
        <v>112822755.239251</v>
      </c>
      <c r="U99" s="40"/>
      <c r="V99" s="43">
        <v>132365.333434653</v>
      </c>
      <c r="W99" s="43"/>
      <c r="X99" s="43">
        <v>332463.55560329702</v>
      </c>
      <c r="Y99" s="40"/>
      <c r="Z99" s="40">
        <f t="shared" si="31"/>
        <v>-6818351.251023531</v>
      </c>
      <c r="AA99" s="40"/>
      <c r="AB99" s="40">
        <f t="shared" si="32"/>
        <v>-86949225.316060379</v>
      </c>
      <c r="AC99" s="17"/>
      <c r="AD99" s="40"/>
      <c r="AE99" s="40"/>
      <c r="AF99" s="40">
        <f>BA99/100*AF25</f>
        <v>7490133052.8459969</v>
      </c>
      <c r="AG99" s="44">
        <f t="shared" si="38"/>
        <v>2.0879525214981898E-3</v>
      </c>
      <c r="AH99" s="44">
        <f t="shared" si="33"/>
        <v>-1.1608502105716616E-2</v>
      </c>
      <c r="AU99" s="39">
        <v>12936022</v>
      </c>
      <c r="AW99" s="39">
        <f t="shared" si="34"/>
        <v>2.2050643188952831E-3</v>
      </c>
      <c r="AX99" s="48">
        <v>7572.8451699833404</v>
      </c>
      <c r="AY99" s="44">
        <f t="shared" si="35"/>
        <v>-1.1685412653203881E-4</v>
      </c>
      <c r="AZ99" s="39">
        <f t="shared" si="39"/>
        <v>112.65490719905495</v>
      </c>
      <c r="BA99" s="39">
        <f t="shared" si="40"/>
        <v>130.33062569740017</v>
      </c>
      <c r="BC99" s="44">
        <f t="shared" si="30"/>
        <v>1.309070727275932E-2</v>
      </c>
    </row>
    <row r="100" spans="1:55">
      <c r="A100" s="39">
        <f t="shared" si="36"/>
        <v>2036</v>
      </c>
      <c r="B100" s="39">
        <f t="shared" si="37"/>
        <v>3</v>
      </c>
      <c r="C100" s="40"/>
      <c r="D100" s="40">
        <v>179944336.65552199</v>
      </c>
      <c r="E100" s="40"/>
      <c r="F100" s="40">
        <v>32707013.2287439</v>
      </c>
      <c r="G100" s="41">
        <v>7044007</v>
      </c>
      <c r="H100" s="41">
        <v>38754048.195935898</v>
      </c>
      <c r="I100" s="41">
        <v>217856</v>
      </c>
      <c r="J100" s="42">
        <v>1198579.4340882699</v>
      </c>
      <c r="K100" s="40"/>
      <c r="L100" s="43">
        <v>2666028.9842654001</v>
      </c>
      <c r="M100" s="43"/>
      <c r="N100" s="43">
        <v>1417829.7275883399</v>
      </c>
      <c r="O100" s="40"/>
      <c r="P100" s="40">
        <v>21634517.906912699</v>
      </c>
      <c r="Q100" s="43"/>
      <c r="R100" s="43">
        <v>25786203.671233501</v>
      </c>
      <c r="S100" s="43"/>
      <c r="T100" s="40">
        <v>98595784.671069905</v>
      </c>
      <c r="U100" s="40"/>
      <c r="V100" s="43">
        <v>134932.93910525399</v>
      </c>
      <c r="W100" s="43"/>
      <c r="X100" s="43">
        <v>338912.64078659099</v>
      </c>
      <c r="Y100" s="40"/>
      <c r="Z100" s="40">
        <f t="shared" si="31"/>
        <v>-10869735.330258887</v>
      </c>
      <c r="AA100" s="40"/>
      <c r="AB100" s="40">
        <f t="shared" si="32"/>
        <v>-102983069.89136478</v>
      </c>
      <c r="AC100" s="17"/>
      <c r="AD100" s="40"/>
      <c r="AE100" s="40"/>
      <c r="AF100" s="40">
        <f>BA100/100*AF25</f>
        <v>7500924757.4650888</v>
      </c>
      <c r="AG100" s="44">
        <f t="shared" si="38"/>
        <v>1.4407894416497056E-3</v>
      </c>
      <c r="AH100" s="44">
        <f t="shared" si="33"/>
        <v>-1.3729383138908802E-2</v>
      </c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40"/>
      <c r="AU100" s="39">
        <v>12946362</v>
      </c>
      <c r="AW100" s="39">
        <f t="shared" si="34"/>
        <v>7.9931836850617602E-4</v>
      </c>
      <c r="AX100" s="48">
        <v>7577.6990513047804</v>
      </c>
      <c r="AY100" s="44">
        <f t="shared" si="35"/>
        <v>6.4095874304672513E-4</v>
      </c>
      <c r="AZ100" s="39">
        <f t="shared" si="39"/>
        <v>112.7271143467713</v>
      </c>
      <c r="BA100" s="39">
        <f t="shared" si="40"/>
        <v>130.51840468682857</v>
      </c>
      <c r="BC100" s="44">
        <f t="shared" si="30"/>
        <v>1.4992688078029797E-2</v>
      </c>
    </row>
    <row r="101" spans="1:55">
      <c r="A101" s="39">
        <f t="shared" si="36"/>
        <v>2036</v>
      </c>
      <c r="B101" s="39">
        <f t="shared" si="37"/>
        <v>4</v>
      </c>
      <c r="C101" s="40"/>
      <c r="D101" s="40">
        <v>181135186.759049</v>
      </c>
      <c r="E101" s="40"/>
      <c r="F101" s="40">
        <v>32923464.3314206</v>
      </c>
      <c r="G101" s="41">
        <v>7204151</v>
      </c>
      <c r="H101" s="41">
        <v>39635113.233817004</v>
      </c>
      <c r="I101" s="41">
        <v>222809</v>
      </c>
      <c r="J101" s="42">
        <v>1225829.3787170099</v>
      </c>
      <c r="K101" s="40"/>
      <c r="L101" s="43">
        <v>2646703.8419884299</v>
      </c>
      <c r="M101" s="43"/>
      <c r="N101" s="43">
        <v>1427256.3409556299</v>
      </c>
      <c r="O101" s="40"/>
      <c r="P101" s="40">
        <v>21586102.097215801</v>
      </c>
      <c r="Q101" s="43"/>
      <c r="R101" s="43">
        <v>29398338.013438001</v>
      </c>
      <c r="S101" s="43"/>
      <c r="T101" s="40">
        <v>112407093.398313</v>
      </c>
      <c r="U101" s="40"/>
      <c r="V101" s="43">
        <v>137541.19066421501</v>
      </c>
      <c r="W101" s="43"/>
      <c r="X101" s="43">
        <v>345463.81672290998</v>
      </c>
      <c r="Y101" s="40"/>
      <c r="Z101" s="40">
        <f t="shared" si="31"/>
        <v>-7461545.3102624416</v>
      </c>
      <c r="AA101" s="40"/>
      <c r="AB101" s="40">
        <f t="shared" si="32"/>
        <v>-90314195.457951799</v>
      </c>
      <c r="AC101" s="17"/>
      <c r="AD101" s="40"/>
      <c r="AE101" s="40"/>
      <c r="AF101" s="40">
        <f>BA101/100*AF25</f>
        <v>7521560914.4822855</v>
      </c>
      <c r="AG101" s="44">
        <f t="shared" si="38"/>
        <v>2.7511483829589264E-3</v>
      </c>
      <c r="AH101" s="44">
        <f t="shared" si="33"/>
        <v>-1.2007374065675328E-2</v>
      </c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U101" s="39">
        <v>13009858</v>
      </c>
      <c r="AW101" s="39">
        <f t="shared" si="34"/>
        <v>4.9045438401923262E-3</v>
      </c>
      <c r="AX101" s="48">
        <v>7561.4609092709097</v>
      </c>
      <c r="AY101" s="44">
        <f t="shared" si="35"/>
        <v>-2.1428855809567482E-3</v>
      </c>
      <c r="AZ101" s="39">
        <f t="shared" si="39"/>
        <v>112.48555303885475</v>
      </c>
      <c r="BA101" s="39">
        <f t="shared" si="40"/>
        <v>130.87748018482915</v>
      </c>
      <c r="BC101" s="44">
        <f t="shared" si="30"/>
        <v>1.3138907390295305E-2</v>
      </c>
    </row>
    <row r="102" spans="1:55" s="29" customFormat="1">
      <c r="A102" s="29">
        <f t="shared" si="36"/>
        <v>2037</v>
      </c>
      <c r="B102" s="29">
        <f t="shared" si="37"/>
        <v>1</v>
      </c>
      <c r="C102" s="30"/>
      <c r="D102" s="30">
        <v>182045950.439533</v>
      </c>
      <c r="E102" s="30"/>
      <c r="F102" s="30">
        <v>33089006.411263101</v>
      </c>
      <c r="G102" s="31">
        <v>7415354</v>
      </c>
      <c r="H102" s="31">
        <v>40797089.8248576</v>
      </c>
      <c r="I102" s="31">
        <v>229341</v>
      </c>
      <c r="J102" s="32">
        <v>1261766.51546543</v>
      </c>
      <c r="K102" s="30"/>
      <c r="L102" s="33">
        <v>3247673.2341675102</v>
      </c>
      <c r="M102" s="33"/>
      <c r="N102" s="33">
        <v>1432866.68837027</v>
      </c>
      <c r="O102" s="30"/>
      <c r="P102" s="30">
        <v>24735401.606276602</v>
      </c>
      <c r="Q102" s="33"/>
      <c r="R102" s="33">
        <v>25842324.401931301</v>
      </c>
      <c r="S102" s="33"/>
      <c r="T102" s="30">
        <v>98810367.148972005</v>
      </c>
      <c r="U102" s="30"/>
      <c r="V102" s="33">
        <v>136909.903318611</v>
      </c>
      <c r="W102" s="33"/>
      <c r="X102" s="33">
        <v>343878.20491594501</v>
      </c>
      <c r="Y102" s="30"/>
      <c r="Z102" s="30">
        <f t="shared" si="31"/>
        <v>-11790312.028550968</v>
      </c>
      <c r="AA102" s="30"/>
      <c r="AB102" s="30">
        <f t="shared" si="32"/>
        <v>-107970984.89683759</v>
      </c>
      <c r="AC102" s="17"/>
      <c r="AD102" s="30"/>
      <c r="AE102" s="30"/>
      <c r="AF102" s="30">
        <f>BA102/100*AF25</f>
        <v>7520075025.2584267</v>
      </c>
      <c r="AG102" s="34">
        <f t="shared" si="38"/>
        <v>-1.9755064683420279E-4</v>
      </c>
      <c r="AH102" s="34">
        <f t="shared" si="33"/>
        <v>-1.4357700492905278E-2</v>
      </c>
      <c r="AS102" s="34">
        <f>AVERAGE(AG102:AG105)</f>
        <v>1.7038158189237973E-3</v>
      </c>
      <c r="AU102" s="29">
        <v>12895419</v>
      </c>
      <c r="AW102" s="29">
        <f t="shared" si="34"/>
        <v>-8.7963296755429621E-3</v>
      </c>
      <c r="AX102" s="38">
        <v>7627.0572477830101</v>
      </c>
      <c r="AY102" s="34">
        <f t="shared" si="35"/>
        <v>8.6750879623902332E-3</v>
      </c>
      <c r="AZ102" s="29">
        <f t="shared" si="39"/>
        <v>113.46137510596492</v>
      </c>
      <c r="BA102" s="29">
        <f t="shared" si="40"/>
        <v>130.8516252539626</v>
      </c>
      <c r="BC102" s="34">
        <f t="shared" si="30"/>
        <v>1.5011506992588681E-2</v>
      </c>
    </row>
    <row r="103" spans="1:55" s="39" customFormat="1">
      <c r="A103" s="39">
        <f t="shared" si="36"/>
        <v>2037</v>
      </c>
      <c r="B103" s="39">
        <f t="shared" si="37"/>
        <v>2</v>
      </c>
      <c r="C103" s="40"/>
      <c r="D103" s="40">
        <v>183484639.88924301</v>
      </c>
      <c r="E103" s="40"/>
      <c r="F103" s="40">
        <v>33350505.2488386</v>
      </c>
      <c r="G103" s="41">
        <v>7596334</v>
      </c>
      <c r="H103" s="41">
        <v>41792788.387124904</v>
      </c>
      <c r="I103" s="41">
        <v>234938</v>
      </c>
      <c r="J103" s="42">
        <v>1292559.55808346</v>
      </c>
      <c r="K103" s="40"/>
      <c r="L103" s="43">
        <v>2609639.1471943902</v>
      </c>
      <c r="M103" s="43"/>
      <c r="N103" s="43">
        <v>1444058.0843578801</v>
      </c>
      <c r="O103" s="40"/>
      <c r="P103" s="40">
        <v>21486211.4546149</v>
      </c>
      <c r="Q103" s="43"/>
      <c r="R103" s="43">
        <v>29520312.9423289</v>
      </c>
      <c r="S103" s="43"/>
      <c r="T103" s="40">
        <v>112873475.11070199</v>
      </c>
      <c r="U103" s="40"/>
      <c r="V103" s="43">
        <v>138382.96055482299</v>
      </c>
      <c r="W103" s="43"/>
      <c r="X103" s="43">
        <v>347578.09999912302</v>
      </c>
      <c r="Y103" s="40"/>
      <c r="Z103" s="40">
        <f t="shared" si="31"/>
        <v>-7745506.5775071457</v>
      </c>
      <c r="AA103" s="40"/>
      <c r="AB103" s="40">
        <f t="shared" si="32"/>
        <v>-92097376.233155906</v>
      </c>
      <c r="AC103" s="17"/>
      <c r="AD103" s="40"/>
      <c r="AE103" s="40"/>
      <c r="AF103" s="40">
        <f>BA103/100*AF25</f>
        <v>7526106117.598732</v>
      </c>
      <c r="AG103" s="44">
        <f t="shared" si="38"/>
        <v>8.0199895879337591E-4</v>
      </c>
      <c r="AH103" s="44">
        <f t="shared" si="33"/>
        <v>-1.2237055230698814E-2</v>
      </c>
      <c r="AU103" s="39">
        <v>12958901</v>
      </c>
      <c r="AW103" s="39">
        <f t="shared" si="34"/>
        <v>4.922833449614937E-3</v>
      </c>
      <c r="AX103" s="48">
        <v>7595.7813731347596</v>
      </c>
      <c r="AY103" s="44">
        <f t="shared" si="35"/>
        <v>-4.1006476852316221E-3</v>
      </c>
      <c r="AZ103" s="39">
        <f t="shared" si="39"/>
        <v>112.99610998077344</v>
      </c>
      <c r="BA103" s="39">
        <f t="shared" si="40"/>
        <v>130.95656812117269</v>
      </c>
      <c r="BC103" s="44">
        <f t="shared" ref="BC103:BC110" si="41">T110/AF110</f>
        <v>1.3151090228342932E-2</v>
      </c>
    </row>
    <row r="104" spans="1:55">
      <c r="A104" s="39">
        <f t="shared" si="36"/>
        <v>2037</v>
      </c>
      <c r="B104" s="39">
        <f t="shared" si="37"/>
        <v>3</v>
      </c>
      <c r="C104" s="40"/>
      <c r="D104" s="40">
        <v>184508608.120271</v>
      </c>
      <c r="E104" s="40"/>
      <c r="F104" s="40">
        <v>33536623.5957704</v>
      </c>
      <c r="G104" s="41">
        <v>7769385</v>
      </c>
      <c r="H104" s="41">
        <v>42744863.930825301</v>
      </c>
      <c r="I104" s="41">
        <v>240290</v>
      </c>
      <c r="J104" s="42">
        <v>1322004.6829881701</v>
      </c>
      <c r="K104" s="40"/>
      <c r="L104" s="43">
        <v>2626137.2261274299</v>
      </c>
      <c r="M104" s="43"/>
      <c r="N104" s="43">
        <v>1452919.07021079</v>
      </c>
      <c r="O104" s="40"/>
      <c r="P104" s="40">
        <v>21620570.594376199</v>
      </c>
      <c r="Q104" s="43"/>
      <c r="R104" s="43">
        <v>26067896.364497799</v>
      </c>
      <c r="S104" s="43"/>
      <c r="T104" s="40">
        <v>99672861.098550603</v>
      </c>
      <c r="U104" s="40"/>
      <c r="V104" s="43">
        <v>134580.69126960501</v>
      </c>
      <c r="W104" s="43"/>
      <c r="X104" s="43">
        <v>338027.89577930799</v>
      </c>
      <c r="Y104" s="40"/>
      <c r="Z104" s="40">
        <f t="shared" si="31"/>
        <v>-11413202.836341213</v>
      </c>
      <c r="AA104" s="40"/>
      <c r="AB104" s="40">
        <f t="shared" si="32"/>
        <v>-106456317.61609659</v>
      </c>
      <c r="AC104" s="17"/>
      <c r="AD104" s="40"/>
      <c r="AE104" s="40"/>
      <c r="AF104" s="40">
        <f>BA104/100*AF25</f>
        <v>7583969536.9429312</v>
      </c>
      <c r="AG104" s="44">
        <f t="shared" si="38"/>
        <v>7.6883608123587011E-3</v>
      </c>
      <c r="AH104" s="44">
        <f t="shared" si="33"/>
        <v>-1.403701809422203E-2</v>
      </c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40"/>
      <c r="AU104" s="39">
        <v>12989451</v>
      </c>
      <c r="AW104" s="39">
        <f t="shared" si="34"/>
        <v>2.3574529969786788E-3</v>
      </c>
      <c r="AX104" s="48">
        <v>7636.1785489774602</v>
      </c>
      <c r="AY104" s="44">
        <f t="shared" si="35"/>
        <v>5.3183700080652466E-3</v>
      </c>
      <c r="AZ104" s="39">
        <f t="shared" si="39"/>
        <v>113.59706510312323</v>
      </c>
      <c r="BA104" s="39">
        <f t="shared" si="40"/>
        <v>131.9634094676365</v>
      </c>
      <c r="BC104" s="44">
        <f t="shared" si="41"/>
        <v>1.5044305301921614E-2</v>
      </c>
    </row>
    <row r="105" spans="1:55">
      <c r="A105" s="39">
        <f t="shared" si="36"/>
        <v>2037</v>
      </c>
      <c r="B105" s="39">
        <f t="shared" si="37"/>
        <v>4</v>
      </c>
      <c r="C105" s="40"/>
      <c r="D105" s="40">
        <v>185959604.26993701</v>
      </c>
      <c r="E105" s="40"/>
      <c r="F105" s="40">
        <v>33800359.321740098</v>
      </c>
      <c r="G105" s="41">
        <v>8026186</v>
      </c>
      <c r="H105" s="41">
        <v>44157707.2642809</v>
      </c>
      <c r="I105" s="41">
        <v>248233</v>
      </c>
      <c r="J105" s="42">
        <v>1365704.7254242899</v>
      </c>
      <c r="K105" s="40"/>
      <c r="L105" s="43">
        <v>2615000.9331189198</v>
      </c>
      <c r="M105" s="43"/>
      <c r="N105" s="43">
        <v>1464479.9596217501</v>
      </c>
      <c r="O105" s="40"/>
      <c r="P105" s="40">
        <v>21626388.919540599</v>
      </c>
      <c r="Q105" s="43"/>
      <c r="R105" s="43">
        <v>29757398.3429703</v>
      </c>
      <c r="S105" s="43"/>
      <c r="T105" s="40">
        <v>113779991.688649</v>
      </c>
      <c r="U105" s="40"/>
      <c r="V105" s="43">
        <v>138382.537145462</v>
      </c>
      <c r="W105" s="43"/>
      <c r="X105" s="43">
        <v>347577.03651687998</v>
      </c>
      <c r="Y105" s="40"/>
      <c r="Z105" s="40">
        <f t="shared" si="31"/>
        <v>-7984059.3343650065</v>
      </c>
      <c r="AA105" s="40"/>
      <c r="AB105" s="40">
        <f t="shared" si="32"/>
        <v>-93806001.500828609</v>
      </c>
      <c r="AC105" s="17"/>
      <c r="AD105" s="40"/>
      <c r="AE105" s="40"/>
      <c r="AF105" s="40">
        <f>BA105/100*AF25</f>
        <v>7572763874.2375402</v>
      </c>
      <c r="AG105" s="44">
        <f t="shared" si="38"/>
        <v>-1.4775458486226843E-3</v>
      </c>
      <c r="AH105" s="44">
        <f t="shared" si="33"/>
        <v>-1.2387287265083704E-2</v>
      </c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U105" s="39">
        <v>12965314</v>
      </c>
      <c r="AW105" s="39">
        <f t="shared" si="34"/>
        <v>-1.8582001656575016E-3</v>
      </c>
      <c r="AX105" s="48">
        <v>7639.0907046759803</v>
      </c>
      <c r="AY105" s="44">
        <f t="shared" si="35"/>
        <v>3.813629657612011E-4</v>
      </c>
      <c r="AZ105" s="39">
        <f t="shared" si="39"/>
        <v>113.64038681677272</v>
      </c>
      <c r="BA105" s="39">
        <f t="shared" si="40"/>
        <v>131.76842747980751</v>
      </c>
      <c r="BC105" s="44">
        <f t="shared" si="41"/>
        <v>1.3134653683630341E-2</v>
      </c>
    </row>
    <row r="106" spans="1:55" s="29" customFormat="1">
      <c r="A106" s="29">
        <f t="shared" si="36"/>
        <v>2038</v>
      </c>
      <c r="B106" s="29">
        <f t="shared" si="37"/>
        <v>1</v>
      </c>
      <c r="C106" s="30"/>
      <c r="D106" s="30">
        <v>187489065.81246901</v>
      </c>
      <c r="E106" s="30"/>
      <c r="F106" s="30">
        <v>34078357.061675601</v>
      </c>
      <c r="G106" s="31">
        <v>8188965</v>
      </c>
      <c r="H106" s="31">
        <v>45053269.294711404</v>
      </c>
      <c r="I106" s="31">
        <v>253267</v>
      </c>
      <c r="J106" s="32">
        <v>1393400.3081541599</v>
      </c>
      <c r="K106" s="30"/>
      <c r="L106" s="33">
        <v>3183061.913958</v>
      </c>
      <c r="M106" s="33"/>
      <c r="N106" s="33">
        <v>1477057.95366449</v>
      </c>
      <c r="O106" s="30"/>
      <c r="P106" s="30">
        <v>24643260.461677801</v>
      </c>
      <c r="Q106" s="33"/>
      <c r="R106" s="33">
        <v>25903140.7765567</v>
      </c>
      <c r="S106" s="33"/>
      <c r="T106" s="30">
        <v>99042903.828411102</v>
      </c>
      <c r="U106" s="30"/>
      <c r="V106" s="33">
        <v>140031.904347167</v>
      </c>
      <c r="W106" s="33"/>
      <c r="X106" s="33">
        <v>351719.771401804</v>
      </c>
      <c r="Y106" s="30"/>
      <c r="Z106" s="30">
        <f t="shared" si="31"/>
        <v>-12695304.248394221</v>
      </c>
      <c r="AA106" s="30"/>
      <c r="AB106" s="30">
        <f t="shared" si="32"/>
        <v>-113089422.44573571</v>
      </c>
      <c r="AC106" s="17"/>
      <c r="AD106" s="30"/>
      <c r="AE106" s="30"/>
      <c r="AF106" s="30">
        <f>BA106/100*AF25</f>
        <v>7565894016.6289711</v>
      </c>
      <c r="AG106" s="34">
        <f t="shared" si="38"/>
        <v>-9.0717969326104637E-4</v>
      </c>
      <c r="AH106" s="34">
        <f t="shared" si="33"/>
        <v>-1.4947264949413522E-2</v>
      </c>
      <c r="AS106" s="34">
        <f>AVERAGE(AG106:AG109)</f>
        <v>2.7677412231414144E-3</v>
      </c>
      <c r="AU106" s="29">
        <v>12952376</v>
      </c>
      <c r="AW106" s="29">
        <f t="shared" si="34"/>
        <v>-9.9789330208277256E-4</v>
      </c>
      <c r="AX106" s="38">
        <v>7639.7843663622698</v>
      </c>
      <c r="AY106" s="34">
        <f t="shared" si="35"/>
        <v>9.0804221746560655E-5</v>
      </c>
      <c r="AZ106" s="29">
        <f t="shared" si="39"/>
        <v>113.65070584365658</v>
      </c>
      <c r="BA106" s="29">
        <f t="shared" si="40"/>
        <v>131.64888983818489</v>
      </c>
      <c r="BC106" s="34">
        <f t="shared" si="41"/>
        <v>1.5020337850343743E-2</v>
      </c>
    </row>
    <row r="107" spans="1:55" s="39" customFormat="1">
      <c r="A107" s="39">
        <f t="shared" si="36"/>
        <v>2038</v>
      </c>
      <c r="B107" s="39">
        <f t="shared" si="37"/>
        <v>2</v>
      </c>
      <c r="C107" s="40"/>
      <c r="D107" s="40">
        <v>188422619.94536501</v>
      </c>
      <c r="E107" s="40"/>
      <c r="F107" s="40">
        <v>34248041.576019898</v>
      </c>
      <c r="G107" s="41">
        <v>8367196</v>
      </c>
      <c r="H107" s="41">
        <v>46033843.670064799</v>
      </c>
      <c r="I107" s="41">
        <v>258779</v>
      </c>
      <c r="J107" s="42">
        <v>1423725.7058512401</v>
      </c>
      <c r="K107" s="40"/>
      <c r="L107" s="43">
        <v>2650244.1713195802</v>
      </c>
      <c r="M107" s="43"/>
      <c r="N107" s="43">
        <v>1483210.06289819</v>
      </c>
      <c r="O107" s="40"/>
      <c r="P107" s="40">
        <v>21912313.7520562</v>
      </c>
      <c r="Q107" s="43"/>
      <c r="R107" s="43">
        <v>29970363.8052301</v>
      </c>
      <c r="S107" s="43"/>
      <c r="T107" s="40">
        <v>114594283.59167799</v>
      </c>
      <c r="U107" s="40"/>
      <c r="V107" s="43">
        <v>141197.53873247901</v>
      </c>
      <c r="W107" s="43"/>
      <c r="X107" s="43">
        <v>354647.50891598902</v>
      </c>
      <c r="Y107" s="40"/>
      <c r="Z107" s="40">
        <f t="shared" si="31"/>
        <v>-8269934.4662750885</v>
      </c>
      <c r="AA107" s="40"/>
      <c r="AB107" s="40">
        <f t="shared" si="32"/>
        <v>-95740650.105743214</v>
      </c>
      <c r="AC107" s="17"/>
      <c r="AD107" s="40"/>
      <c r="AE107" s="40"/>
      <c r="AF107" s="40">
        <f>BA107/100*AF25</f>
        <v>7643344742.134923</v>
      </c>
      <c r="AG107" s="44">
        <f t="shared" si="38"/>
        <v>1.0236824007278456E-2</v>
      </c>
      <c r="AH107" s="44">
        <f t="shared" si="33"/>
        <v>-1.2526014897373467E-2</v>
      </c>
      <c r="AU107" s="39">
        <v>13038277</v>
      </c>
      <c r="AW107" s="39">
        <f t="shared" si="34"/>
        <v>6.6320650357895722E-3</v>
      </c>
      <c r="AX107" s="48">
        <v>7667.1425066316297</v>
      </c>
      <c r="AY107" s="44">
        <f t="shared" si="35"/>
        <v>3.5810094836991597E-3</v>
      </c>
      <c r="AZ107" s="39">
        <f t="shared" si="39"/>
        <v>114.05769009911182</v>
      </c>
      <c r="BA107" s="39">
        <f t="shared" si="40"/>
        <v>132.99655635421198</v>
      </c>
      <c r="BC107" s="44">
        <f t="shared" si="41"/>
        <v>1.3167742947608889E-2</v>
      </c>
    </row>
    <row r="108" spans="1:55">
      <c r="A108" s="39">
        <f t="shared" si="36"/>
        <v>2038</v>
      </c>
      <c r="B108" s="39">
        <f t="shared" si="37"/>
        <v>3</v>
      </c>
      <c r="C108" s="40"/>
      <c r="D108" s="40">
        <v>189274392.474608</v>
      </c>
      <c r="E108" s="40"/>
      <c r="F108" s="40">
        <v>34402861.315832898</v>
      </c>
      <c r="G108" s="41">
        <v>8519621</v>
      </c>
      <c r="H108" s="41">
        <v>46872441.047419101</v>
      </c>
      <c r="I108" s="41">
        <v>263493</v>
      </c>
      <c r="J108" s="42">
        <v>1449660.74299638</v>
      </c>
      <c r="K108" s="40"/>
      <c r="L108" s="43">
        <v>2610132.5773561602</v>
      </c>
      <c r="M108" s="43"/>
      <c r="N108" s="43">
        <v>1488926.95574006</v>
      </c>
      <c r="O108" s="40"/>
      <c r="P108" s="40">
        <v>21735627.157957401</v>
      </c>
      <c r="Q108" s="43"/>
      <c r="R108" s="43">
        <v>26342334.245175</v>
      </c>
      <c r="S108" s="43"/>
      <c r="T108" s="40">
        <v>100722198.121318</v>
      </c>
      <c r="U108" s="40"/>
      <c r="V108" s="43">
        <v>136977.708076696</v>
      </c>
      <c r="W108" s="43"/>
      <c r="X108" s="43">
        <v>344048.51091960102</v>
      </c>
      <c r="Y108" s="40"/>
      <c r="Z108" s="40">
        <f t="shared" si="31"/>
        <v>-12022608.895677421</v>
      </c>
      <c r="AA108" s="40"/>
      <c r="AB108" s="40">
        <f t="shared" si="32"/>
        <v>-110287821.51124741</v>
      </c>
      <c r="AC108" s="17"/>
      <c r="AD108" s="40"/>
      <c r="AE108" s="40"/>
      <c r="AF108" s="40">
        <f>BA108/100*AF25</f>
        <v>7665949315.9768896</v>
      </c>
      <c r="AG108" s="44">
        <f t="shared" si="38"/>
        <v>2.9574191148746703E-3</v>
      </c>
      <c r="AH108" s="44">
        <f t="shared" si="33"/>
        <v>-1.4386714151813196E-2</v>
      </c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40"/>
      <c r="AU108" s="39">
        <v>13082894</v>
      </c>
      <c r="AW108" s="39">
        <f t="shared" si="34"/>
        <v>3.4220012352859201E-3</v>
      </c>
      <c r="AX108" s="48">
        <v>7663.5926369667804</v>
      </c>
      <c r="AY108" s="44">
        <f t="shared" si="35"/>
        <v>-4.6299774156783729E-4</v>
      </c>
      <c r="AZ108" s="39">
        <f t="shared" si="39"/>
        <v>114.00488164618748</v>
      </c>
      <c r="BA108" s="39">
        <f t="shared" si="40"/>
        <v>133.38988291218641</v>
      </c>
      <c r="BC108" s="44">
        <f t="shared" si="41"/>
        <v>1.5028285781397151E-2</v>
      </c>
    </row>
    <row r="109" spans="1:55">
      <c r="A109" s="39">
        <f t="shared" si="36"/>
        <v>2038</v>
      </c>
      <c r="B109" s="39">
        <f t="shared" si="37"/>
        <v>4</v>
      </c>
      <c r="C109" s="40"/>
      <c r="D109" s="40">
        <v>190346216.383506</v>
      </c>
      <c r="E109" s="40"/>
      <c r="F109" s="40">
        <v>34597677.998695903</v>
      </c>
      <c r="G109" s="41">
        <v>8667459</v>
      </c>
      <c r="H109" s="41">
        <v>47685802.104157202</v>
      </c>
      <c r="I109" s="41">
        <v>268066</v>
      </c>
      <c r="J109" s="42">
        <v>1474820.03974325</v>
      </c>
      <c r="K109" s="40"/>
      <c r="L109" s="43">
        <v>2604205.43209418</v>
      </c>
      <c r="M109" s="43"/>
      <c r="N109" s="43">
        <v>1497234.02492277</v>
      </c>
      <c r="O109" s="40"/>
      <c r="P109" s="40">
        <v>21750574.216678198</v>
      </c>
      <c r="Q109" s="43"/>
      <c r="R109" s="43">
        <v>30060128.3846048</v>
      </c>
      <c r="S109" s="43"/>
      <c r="T109" s="40">
        <v>114937506.24096601</v>
      </c>
      <c r="U109" s="40"/>
      <c r="V109" s="43">
        <v>136922.810564824</v>
      </c>
      <c r="W109" s="43"/>
      <c r="X109" s="43">
        <v>343910.62419716897</v>
      </c>
      <c r="Y109" s="40"/>
      <c r="Z109" s="40">
        <f t="shared" si="31"/>
        <v>-8502066.2605432272</v>
      </c>
      <c r="AA109" s="40"/>
      <c r="AB109" s="40">
        <f t="shared" si="32"/>
        <v>-97159284.359218195</v>
      </c>
      <c r="AC109" s="17"/>
      <c r="AD109" s="40"/>
      <c r="AE109" s="40"/>
      <c r="AF109" s="40">
        <f>BA109/100*AF25</f>
        <v>7656626766.2341776</v>
      </c>
      <c r="AG109" s="44">
        <f t="shared" si="38"/>
        <v>-1.2160985363264206E-3</v>
      </c>
      <c r="AH109" s="44">
        <f t="shared" si="33"/>
        <v>-1.2689567785606566E-2</v>
      </c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U109" s="39">
        <v>13031844</v>
      </c>
      <c r="AW109" s="39">
        <f t="shared" si="34"/>
        <v>-3.9020418570998128E-3</v>
      </c>
      <c r="AX109" s="48">
        <v>7684.2572465948997</v>
      </c>
      <c r="AY109" s="44">
        <f t="shared" si="35"/>
        <v>2.6964650402266453E-3</v>
      </c>
      <c r="AZ109" s="39">
        <f t="shared" si="39"/>
        <v>114.3122918239616</v>
      </c>
      <c r="BA109" s="39">
        <f t="shared" si="40"/>
        <v>133.22766767081615</v>
      </c>
      <c r="BC109" s="44">
        <f t="shared" si="41"/>
        <v>1.3084175170293673E-2</v>
      </c>
    </row>
    <row r="110" spans="1:55" s="29" customFormat="1">
      <c r="A110" s="29">
        <f t="shared" si="36"/>
        <v>2039</v>
      </c>
      <c r="B110" s="29">
        <f t="shared" si="37"/>
        <v>1</v>
      </c>
      <c r="C110" s="30"/>
      <c r="D110" s="30">
        <v>192079322.976235</v>
      </c>
      <c r="E110" s="30"/>
      <c r="F110" s="30">
        <v>34912690.637097098</v>
      </c>
      <c r="G110" s="31">
        <v>8861090</v>
      </c>
      <c r="H110" s="31">
        <v>48751102.735776</v>
      </c>
      <c r="I110" s="31">
        <v>274054</v>
      </c>
      <c r="J110" s="32">
        <v>1507764.2489976201</v>
      </c>
      <c r="K110" s="30"/>
      <c r="L110" s="33">
        <v>3114934.6075391802</v>
      </c>
      <c r="M110" s="33"/>
      <c r="N110" s="33">
        <v>1511085.1427426301</v>
      </c>
      <c r="O110" s="30"/>
      <c r="P110" s="30">
        <v>24476955.099470999</v>
      </c>
      <c r="Q110" s="33"/>
      <c r="R110" s="33">
        <v>26426415.6626174</v>
      </c>
      <c r="S110" s="33"/>
      <c r="T110" s="30">
        <v>101043690.708388</v>
      </c>
      <c r="U110" s="30"/>
      <c r="V110" s="33">
        <v>140225.79427323301</v>
      </c>
      <c r="W110" s="33"/>
      <c r="X110" s="33">
        <v>352206.76699606603</v>
      </c>
      <c r="Y110" s="30"/>
      <c r="Z110" s="30">
        <f t="shared" ref="Z110:Z117" si="42">R110+V110-N110-L110-F110</f>
        <v>-12972068.930488277</v>
      </c>
      <c r="AA110" s="30"/>
      <c r="AB110" s="30">
        <f t="shared" ref="AB110:AB117" si="43">T110-P110-D110</f>
        <v>-115512587.367318</v>
      </c>
      <c r="AC110" s="17"/>
      <c r="AD110" s="30"/>
      <c r="AE110" s="30"/>
      <c r="AF110" s="30">
        <f>BA110/100*AF25</f>
        <v>7683293852.7500124</v>
      </c>
      <c r="AG110" s="34">
        <f t="shared" si="38"/>
        <v>3.4828766413738492E-3</v>
      </c>
      <c r="AH110" s="34">
        <f t="shared" ref="AH110:AH117" si="44">AB110/AF110</f>
        <v>-1.5034253483090929E-2</v>
      </c>
      <c r="AS110" s="34">
        <f>AVERAGE(AG110:AG113)</f>
        <v>3.251690820983459E-3</v>
      </c>
      <c r="AU110" s="29">
        <v>13020774</v>
      </c>
      <c r="AW110" s="29">
        <f t="shared" si="34"/>
        <v>-8.4945768227428142E-4</v>
      </c>
      <c r="AX110" s="38">
        <v>7717.5763211599196</v>
      </c>
      <c r="AY110" s="34">
        <f t="shared" si="35"/>
        <v>4.3360175870978965E-3</v>
      </c>
      <c r="AZ110" s="29">
        <f t="shared" si="39"/>
        <v>114.80795193173176</v>
      </c>
      <c r="BA110" s="29">
        <f t="shared" si="40"/>
        <v>133.69168320253155</v>
      </c>
      <c r="BC110" s="34">
        <f t="shared" si="41"/>
        <v>1.4935556546346752E-2</v>
      </c>
    </row>
    <row r="111" spans="1:55" s="39" customFormat="1">
      <c r="A111" s="39">
        <f t="shared" si="36"/>
        <v>2039</v>
      </c>
      <c r="B111" s="39">
        <f t="shared" si="37"/>
        <v>2</v>
      </c>
      <c r="C111" s="40"/>
      <c r="D111" s="40">
        <v>193472233.696913</v>
      </c>
      <c r="E111" s="40"/>
      <c r="F111" s="40">
        <v>35165868.648777902</v>
      </c>
      <c r="G111" s="41">
        <v>9091058</v>
      </c>
      <c r="H111" s="41">
        <v>50016318.820246503</v>
      </c>
      <c r="I111" s="41">
        <v>281167</v>
      </c>
      <c r="J111" s="42">
        <v>1546897.87632333</v>
      </c>
      <c r="K111" s="40"/>
      <c r="L111" s="43">
        <v>2593398.8137762402</v>
      </c>
      <c r="M111" s="43"/>
      <c r="N111" s="43">
        <v>1522040.21247226</v>
      </c>
      <c r="O111" s="40"/>
      <c r="P111" s="40">
        <v>21830974.9477426</v>
      </c>
      <c r="Q111" s="43"/>
      <c r="R111" s="43">
        <v>30265802.057087801</v>
      </c>
      <c r="S111" s="43"/>
      <c r="T111" s="40">
        <v>115723917.353791</v>
      </c>
      <c r="U111" s="40"/>
      <c r="V111" s="43">
        <v>135721.490391359</v>
      </c>
      <c r="W111" s="43"/>
      <c r="X111" s="43">
        <v>340893.25427164201</v>
      </c>
      <c r="Y111" s="40"/>
      <c r="Z111" s="40">
        <f t="shared" si="42"/>
        <v>-8879784.1275472417</v>
      </c>
      <c r="AA111" s="40"/>
      <c r="AB111" s="40">
        <f t="shared" si="43"/>
        <v>-99579291.290864602</v>
      </c>
      <c r="AC111" s="17"/>
      <c r="AD111" s="40"/>
      <c r="AE111" s="40"/>
      <c r="AF111" s="40">
        <f>BA111/100*AF25</f>
        <v>7692207452.012394</v>
      </c>
      <c r="AG111" s="44">
        <f t="shared" si="38"/>
        <v>1.1601273403321923E-3</v>
      </c>
      <c r="AH111" s="44">
        <f t="shared" si="44"/>
        <v>-1.2945476563403552E-2</v>
      </c>
      <c r="AU111" s="39">
        <v>12991515</v>
      </c>
      <c r="AW111" s="39">
        <f t="shared" ref="AW111:AW117" si="45">(AU111-AU110)/AU110</f>
        <v>-2.24710143959184E-3</v>
      </c>
      <c r="AX111" s="48">
        <v>7743.9310911542298</v>
      </c>
      <c r="AY111" s="44">
        <f t="shared" ref="AY111:AY117" si="46">(AX111-AX110)/AX110</f>
        <v>3.4149024120501479E-3</v>
      </c>
      <c r="AZ111" s="39">
        <f t="shared" si="39"/>
        <v>115.20000988370599</v>
      </c>
      <c r="BA111" s="39">
        <f t="shared" si="40"/>
        <v>133.84678257938984</v>
      </c>
      <c r="BC111" s="44"/>
    </row>
    <row r="112" spans="1:55">
      <c r="A112" s="39">
        <f t="shared" si="36"/>
        <v>2039</v>
      </c>
      <c r="B112" s="39">
        <f t="shared" si="37"/>
        <v>3</v>
      </c>
      <c r="C112" s="40"/>
      <c r="D112" s="40">
        <v>194904585.47611499</v>
      </c>
      <c r="E112" s="40"/>
      <c r="F112" s="40">
        <v>35426215.539718203</v>
      </c>
      <c r="G112" s="41">
        <v>9272963</v>
      </c>
      <c r="H112" s="41">
        <v>51017106.459594697</v>
      </c>
      <c r="I112" s="41">
        <v>286793</v>
      </c>
      <c r="J112" s="42">
        <v>1577850.46838497</v>
      </c>
      <c r="K112" s="40"/>
      <c r="L112" s="43">
        <v>2624424.4924961398</v>
      </c>
      <c r="M112" s="43"/>
      <c r="N112" s="43">
        <v>1531845.2206588399</v>
      </c>
      <c r="O112" s="40"/>
      <c r="P112" s="40">
        <v>22045911.604207501</v>
      </c>
      <c r="Q112" s="43"/>
      <c r="R112" s="43">
        <v>26422875.1053623</v>
      </c>
      <c r="S112" s="43"/>
      <c r="T112" s="40">
        <v>101030153.08085699</v>
      </c>
      <c r="U112" s="40"/>
      <c r="V112" s="43">
        <v>131823.52724215199</v>
      </c>
      <c r="W112" s="43"/>
      <c r="X112" s="43">
        <v>331102.69465479301</v>
      </c>
      <c r="Y112" s="40"/>
      <c r="Z112" s="40">
        <f t="shared" si="42"/>
        <v>-13027786.620268732</v>
      </c>
      <c r="AA112" s="40"/>
      <c r="AB112" s="40">
        <f t="shared" si="43"/>
        <v>-115920343.9994655</v>
      </c>
      <c r="AC112" s="17"/>
      <c r="AD112" s="40"/>
      <c r="AE112" s="40"/>
      <c r="AF112" s="40">
        <f>BA112/100*AF25</f>
        <v>7691877952.3490906</v>
      </c>
      <c r="AG112" s="44">
        <f t="shared" si="38"/>
        <v>-4.2835514429238817E-5</v>
      </c>
      <c r="AH112" s="44">
        <f t="shared" si="44"/>
        <v>-1.5070486650670732E-2</v>
      </c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40"/>
      <c r="AU112" s="39">
        <v>13042138</v>
      </c>
      <c r="AW112" s="39">
        <f t="shared" si="45"/>
        <v>3.8966202171186346E-3</v>
      </c>
      <c r="AX112" s="48">
        <v>7713.5426297256399</v>
      </c>
      <c r="AY112" s="44">
        <f t="shared" si="46"/>
        <v>-3.9241647518405863E-3</v>
      </c>
      <c r="AZ112" s="39">
        <f t="shared" si="39"/>
        <v>114.74794606550867</v>
      </c>
      <c r="BA112" s="39">
        <f t="shared" si="40"/>
        <v>133.84104918360336</v>
      </c>
      <c r="BC112" s="44"/>
    </row>
    <row r="113" spans="1:55">
      <c r="A113" s="39">
        <f t="shared" si="36"/>
        <v>2039</v>
      </c>
      <c r="B113" s="39">
        <f t="shared" si="37"/>
        <v>4</v>
      </c>
      <c r="C113" s="40"/>
      <c r="D113" s="40">
        <v>195902671.04099</v>
      </c>
      <c r="E113" s="40"/>
      <c r="F113" s="40">
        <v>35607629.405697703</v>
      </c>
      <c r="G113" s="41">
        <v>9361423</v>
      </c>
      <c r="H113" s="41">
        <v>51503787.279675104</v>
      </c>
      <c r="I113" s="41">
        <v>289529</v>
      </c>
      <c r="J113" s="42">
        <v>1592903.1331344701</v>
      </c>
      <c r="K113" s="40"/>
      <c r="L113" s="43">
        <v>2580295.2674030201</v>
      </c>
      <c r="M113" s="43"/>
      <c r="N113" s="43">
        <v>1540497.03962283</v>
      </c>
      <c r="O113" s="40"/>
      <c r="P113" s="40">
        <v>21864524.600658301</v>
      </c>
      <c r="Q113" s="43"/>
      <c r="R113" s="43">
        <v>30470306.591019999</v>
      </c>
      <c r="S113" s="43"/>
      <c r="T113" s="40">
        <v>116505858.164037</v>
      </c>
      <c r="U113" s="40"/>
      <c r="V113" s="43">
        <v>136865.28961196201</v>
      </c>
      <c r="W113" s="43"/>
      <c r="X113" s="43">
        <v>343766.14814732998</v>
      </c>
      <c r="Y113" s="40"/>
      <c r="Z113" s="40">
        <f t="shared" si="42"/>
        <v>-9121249.8320915923</v>
      </c>
      <c r="AA113" s="40"/>
      <c r="AB113" s="40">
        <f t="shared" si="43"/>
        <v>-101261337.47761129</v>
      </c>
      <c r="AC113" s="17"/>
      <c r="AD113" s="40"/>
      <c r="AE113" s="40"/>
      <c r="AF113" s="40">
        <f>BA113/100*AF25</f>
        <v>7756540453.673667</v>
      </c>
      <c r="AG113" s="44">
        <f t="shared" si="38"/>
        <v>8.4065948166570335E-3</v>
      </c>
      <c r="AH113" s="44">
        <f t="shared" si="44"/>
        <v>-1.3054961562103593E-2</v>
      </c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U113" s="39">
        <v>13080399</v>
      </c>
      <c r="AW113" s="39">
        <f t="shared" si="45"/>
        <v>2.9336447751127921E-3</v>
      </c>
      <c r="AX113" s="48">
        <v>7755.6349791803996</v>
      </c>
      <c r="AY113" s="44">
        <f t="shared" si="46"/>
        <v>5.4569413141697786E-3</v>
      </c>
      <c r="AZ113" s="39">
        <f t="shared" si="39"/>
        <v>115.37411887310968</v>
      </c>
      <c r="BA113" s="39">
        <f t="shared" si="40"/>
        <v>134.96619665392618</v>
      </c>
      <c r="BC113" s="44"/>
    </row>
    <row r="114" spans="1:55" s="29" customFormat="1">
      <c r="A114" s="29">
        <f t="shared" ref="A114:A117" si="47">A110+1</f>
        <v>2040</v>
      </c>
      <c r="B114" s="29">
        <f t="shared" ref="B114:B117" si="48">B110</f>
        <v>1</v>
      </c>
      <c r="C114" s="30"/>
      <c r="D114" s="30">
        <v>197357350.04734701</v>
      </c>
      <c r="E114" s="30"/>
      <c r="F114" s="30">
        <v>35872034.5344657</v>
      </c>
      <c r="G114" s="31">
        <v>9569478</v>
      </c>
      <c r="H114" s="31">
        <v>52648444.503525898</v>
      </c>
      <c r="I114" s="31">
        <v>295963</v>
      </c>
      <c r="J114" s="32">
        <v>1628301.1027975699</v>
      </c>
      <c r="K114" s="30"/>
      <c r="L114" s="33">
        <v>3228467.2890329398</v>
      </c>
      <c r="M114" s="33"/>
      <c r="N114" s="33">
        <v>1551150.7215032801</v>
      </c>
      <c r="O114" s="30"/>
      <c r="P114" s="30">
        <v>25286505.716538101</v>
      </c>
      <c r="Q114" s="33"/>
      <c r="R114" s="33">
        <v>26596955.5822087</v>
      </c>
      <c r="S114" s="33"/>
      <c r="T114" s="30">
        <v>101695764.87193</v>
      </c>
      <c r="U114" s="30"/>
      <c r="V114" s="33">
        <v>136333.22934977501</v>
      </c>
      <c r="W114" s="33"/>
      <c r="X114" s="33">
        <v>342429.76616594702</v>
      </c>
      <c r="Y114" s="30"/>
      <c r="Z114" s="30">
        <f t="shared" si="42"/>
        <v>-13918363.733443446</v>
      </c>
      <c r="AA114" s="30"/>
      <c r="AB114" s="30">
        <f t="shared" si="43"/>
        <v>-120948090.89195511</v>
      </c>
      <c r="AC114" s="17"/>
      <c r="AD114" s="30"/>
      <c r="AE114" s="30"/>
      <c r="AF114" s="30">
        <f>BA114/100*AF25</f>
        <v>7723097669.5513935</v>
      </c>
      <c r="AG114" s="34">
        <f t="shared" si="38"/>
        <v>-4.3115592991504626E-3</v>
      </c>
      <c r="AH114" s="34">
        <f t="shared" si="44"/>
        <v>-1.5660567309513325E-2</v>
      </c>
      <c r="AS114" s="34">
        <f>AVERAGE(AG114:AG117)</f>
        <v>1.0352715683947646E-3</v>
      </c>
      <c r="AU114" s="29">
        <v>13010339</v>
      </c>
      <c r="AW114" s="29">
        <f t="shared" si="45"/>
        <v>-5.3561057273558707E-3</v>
      </c>
      <c r="AX114" s="38">
        <v>7763.7797241113403</v>
      </c>
      <c r="AY114" s="34">
        <f t="shared" si="46"/>
        <v>1.0501712564870453E-3</v>
      </c>
      <c r="AZ114" s="29">
        <f t="shared" si="39"/>
        <v>115.49528145649273</v>
      </c>
      <c r="BA114" s="29">
        <f t="shared" si="40"/>
        <v>134.38428189367198</v>
      </c>
      <c r="BC114" s="34"/>
    </row>
    <row r="115" spans="1:55" s="39" customFormat="1">
      <c r="A115" s="39">
        <f t="shared" si="47"/>
        <v>2040</v>
      </c>
      <c r="B115" s="39">
        <f t="shared" si="48"/>
        <v>2</v>
      </c>
      <c r="C115" s="40"/>
      <c r="D115" s="40">
        <v>198831837.27519801</v>
      </c>
      <c r="E115" s="40"/>
      <c r="F115" s="40">
        <v>36140040.041964702</v>
      </c>
      <c r="G115" s="41">
        <v>9803663</v>
      </c>
      <c r="H115" s="41">
        <v>53936861.277780302</v>
      </c>
      <c r="I115" s="41">
        <v>303206</v>
      </c>
      <c r="J115" s="42">
        <v>1668149.95176707</v>
      </c>
      <c r="K115" s="40"/>
      <c r="L115" s="43">
        <v>2634765.9021642199</v>
      </c>
      <c r="M115" s="43"/>
      <c r="N115" s="43">
        <v>1562539.34098189</v>
      </c>
      <c r="O115" s="40"/>
      <c r="P115" s="40">
        <v>22268443.221923999</v>
      </c>
      <c r="Q115" s="43"/>
      <c r="R115" s="43">
        <v>30307453.3395647</v>
      </c>
      <c r="S115" s="43"/>
      <c r="T115" s="40">
        <v>115883174.64232901</v>
      </c>
      <c r="U115" s="40"/>
      <c r="V115" s="43">
        <v>130738.948384152</v>
      </c>
      <c r="W115" s="43"/>
      <c r="X115" s="43">
        <v>328378.54525625799</v>
      </c>
      <c r="Y115" s="40"/>
      <c r="Z115" s="40">
        <f t="shared" si="42"/>
        <v>-9899152.9971619621</v>
      </c>
      <c r="AA115" s="40"/>
      <c r="AB115" s="40">
        <f t="shared" si="43"/>
        <v>-105217105.85479301</v>
      </c>
      <c r="AC115" s="17"/>
      <c r="AD115" s="40"/>
      <c r="AE115" s="40"/>
      <c r="AF115" s="40">
        <f>BA115/100*AF25</f>
        <v>7711004190.8955212</v>
      </c>
      <c r="AG115" s="44">
        <f t="shared" si="38"/>
        <v>-1.5658844641511327E-3</v>
      </c>
      <c r="AH115" s="44">
        <f t="shared" si="44"/>
        <v>-1.3645058834104145E-2</v>
      </c>
      <c r="AU115" s="39">
        <v>13026174</v>
      </c>
      <c r="AW115" s="39">
        <f t="shared" si="45"/>
        <v>1.217108946969022E-3</v>
      </c>
      <c r="AX115" s="48">
        <v>7742.19944184837</v>
      </c>
      <c r="AY115" s="44">
        <f t="shared" si="46"/>
        <v>-2.7796103225275898E-3</v>
      </c>
      <c r="AZ115" s="39">
        <f t="shared" si="39"/>
        <v>115.17424957995304</v>
      </c>
      <c r="BA115" s="39">
        <f t="shared" si="40"/>
        <v>134.17385163442856</v>
      </c>
      <c r="BC115" s="44"/>
    </row>
    <row r="116" spans="1:55">
      <c r="A116" s="39">
        <f t="shared" si="47"/>
        <v>2040</v>
      </c>
      <c r="B116" s="39">
        <f t="shared" si="48"/>
        <v>3</v>
      </c>
      <c r="C116" s="40"/>
      <c r="D116" s="40">
        <v>200261678.661713</v>
      </c>
      <c r="E116" s="40"/>
      <c r="F116" s="40">
        <v>36399930.639318198</v>
      </c>
      <c r="G116" s="41">
        <v>9926426</v>
      </c>
      <c r="H116" s="41">
        <v>54612267.082839496</v>
      </c>
      <c r="I116" s="41">
        <v>307002</v>
      </c>
      <c r="J116" s="42">
        <v>1689034.423766</v>
      </c>
      <c r="K116" s="40"/>
      <c r="L116" s="43">
        <v>2710957.2435032902</v>
      </c>
      <c r="M116" s="43"/>
      <c r="N116" s="43">
        <v>1573525.8779694</v>
      </c>
      <c r="O116" s="40"/>
      <c r="P116" s="40">
        <v>22724245.139283501</v>
      </c>
      <c r="Q116" s="43"/>
      <c r="R116" s="43">
        <v>26370805.681396101</v>
      </c>
      <c r="S116" s="43"/>
      <c r="T116" s="40">
        <v>100831061.125377</v>
      </c>
      <c r="U116" s="40"/>
      <c r="V116" s="43">
        <v>138933.80173571501</v>
      </c>
      <c r="W116" s="43"/>
      <c r="X116" s="43">
        <v>348961.65423360502</v>
      </c>
      <c r="Y116" s="40"/>
      <c r="Z116" s="40">
        <f t="shared" si="42"/>
        <v>-14174674.277659073</v>
      </c>
      <c r="AA116" s="40"/>
      <c r="AB116" s="40">
        <f t="shared" si="43"/>
        <v>-122154862.67561951</v>
      </c>
      <c r="AC116" s="17"/>
      <c r="AD116" s="40"/>
      <c r="AE116" s="40"/>
      <c r="AF116" s="40">
        <f>BA116/100*AF25</f>
        <v>7706336839.1997652</v>
      </c>
      <c r="AG116" s="44">
        <f t="shared" si="38"/>
        <v>-6.052845492246988E-4</v>
      </c>
      <c r="AH116" s="44">
        <f t="shared" si="44"/>
        <v>-1.5851222860419921E-2</v>
      </c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40"/>
      <c r="AU116" s="39">
        <v>13060681</v>
      </c>
      <c r="AW116" s="39">
        <f t="shared" si="45"/>
        <v>2.6490510567416035E-3</v>
      </c>
      <c r="AX116" s="48">
        <v>7717.07029492947</v>
      </c>
      <c r="AY116" s="44">
        <f t="shared" si="46"/>
        <v>-3.2457374816607259E-3</v>
      </c>
      <c r="AZ116" s="39">
        <f t="shared" si="39"/>
        <v>114.80042420116925</v>
      </c>
      <c r="BA116" s="39">
        <f t="shared" si="40"/>
        <v>134.09263827512427</v>
      </c>
      <c r="BC116" s="44"/>
    </row>
    <row r="117" spans="1:55">
      <c r="A117" s="39">
        <f t="shared" si="47"/>
        <v>2040</v>
      </c>
      <c r="B117" s="39">
        <f t="shared" si="48"/>
        <v>4</v>
      </c>
      <c r="C117" s="40"/>
      <c r="D117" s="40">
        <v>201672763.79009399</v>
      </c>
      <c r="E117" s="40"/>
      <c r="F117" s="40">
        <v>36656412.064733498</v>
      </c>
      <c r="G117" s="41">
        <v>10103717</v>
      </c>
      <c r="H117" s="41">
        <v>55587669.855537698</v>
      </c>
      <c r="I117" s="41">
        <v>312486</v>
      </c>
      <c r="J117" s="42">
        <v>1719205.77372442</v>
      </c>
      <c r="K117" s="40"/>
      <c r="L117" s="43">
        <v>2580906.4575406201</v>
      </c>
      <c r="M117" s="43"/>
      <c r="N117" s="43">
        <v>1585229.12727094</v>
      </c>
      <c r="O117" s="40"/>
      <c r="P117" s="40">
        <v>22113798.817328099</v>
      </c>
      <c r="Q117" s="43"/>
      <c r="R117" s="43">
        <v>30422015.764286298</v>
      </c>
      <c r="S117" s="43"/>
      <c r="T117" s="40">
        <v>116321214.002573</v>
      </c>
      <c r="U117" s="40"/>
      <c r="V117" s="43">
        <v>141729.698339589</v>
      </c>
      <c r="W117" s="43"/>
      <c r="X117" s="43">
        <v>355984.14042317902</v>
      </c>
      <c r="Y117" s="40"/>
      <c r="Z117" s="40">
        <f t="shared" si="42"/>
        <v>-10258802.186919171</v>
      </c>
      <c r="AA117" s="40"/>
      <c r="AB117" s="40">
        <f t="shared" si="43"/>
        <v>-107465348.60484909</v>
      </c>
      <c r="AC117" s="17"/>
      <c r="AD117" s="40"/>
      <c r="AE117" s="40"/>
      <c r="AF117" s="40">
        <f>BA117/100*AF25</f>
        <v>7788207532.9174967</v>
      </c>
      <c r="AG117" s="44">
        <f t="shared" si="38"/>
        <v>1.0623814586105352E-2</v>
      </c>
      <c r="AH117" s="44">
        <f t="shared" si="44"/>
        <v>-1.3798470078081252E-2</v>
      </c>
      <c r="AI117" s="39"/>
      <c r="AJ117" s="50"/>
      <c r="AK117" s="39"/>
      <c r="AL117" s="39"/>
      <c r="AM117" s="39"/>
      <c r="AN117" s="39"/>
      <c r="AO117" s="39"/>
      <c r="AP117" s="39"/>
      <c r="AQ117" s="39"/>
      <c r="AR117" s="39"/>
      <c r="AU117" s="39">
        <v>13165097</v>
      </c>
      <c r="AW117" s="39">
        <f t="shared" si="45"/>
        <v>7.9946826662407565E-3</v>
      </c>
      <c r="AX117" s="48">
        <v>7737.1985715852297</v>
      </c>
      <c r="AY117" s="44">
        <f t="shared" si="46"/>
        <v>2.6082795525375802E-3</v>
      </c>
      <c r="AZ117" s="39">
        <f t="shared" si="39"/>
        <v>115.09985580023579</v>
      </c>
      <c r="BA117" s="39">
        <f t="shared" si="40"/>
        <v>135.51721360152089</v>
      </c>
      <c r="BC117" s="44"/>
    </row>
    <row r="118" spans="1:55">
      <c r="AJ118" s="28"/>
    </row>
    <row r="124" spans="1:55">
      <c r="AZ124" t="s">
        <v>46</v>
      </c>
    </row>
    <row r="127" spans="1:55">
      <c r="AE127" s="29">
        <v>2015</v>
      </c>
      <c r="AF127" s="30">
        <f t="shared" ref="AF127:AF158" si="49">AF14</f>
        <v>4939996537.5502996</v>
      </c>
    </row>
    <row r="128" spans="1:55">
      <c r="AE128" s="39">
        <v>2015</v>
      </c>
      <c r="AF128" s="40">
        <f t="shared" si="49"/>
        <v>5575972427.7771788</v>
      </c>
    </row>
    <row r="129" spans="31:46">
      <c r="AE129" s="39">
        <v>2015</v>
      </c>
      <c r="AF129" s="40">
        <f t="shared" si="49"/>
        <v>5631310929.7641611</v>
      </c>
    </row>
    <row r="130" spans="31:46">
      <c r="AE130" s="39">
        <v>2015</v>
      </c>
      <c r="AF130" s="40">
        <f t="shared" si="49"/>
        <v>5658523044.9401817</v>
      </c>
      <c r="AG130" s="20"/>
    </row>
    <row r="131" spans="31:46">
      <c r="AE131" s="29">
        <f t="shared" ref="AE131:AE162" si="50">AE127+1</f>
        <v>2016</v>
      </c>
      <c r="AF131" s="30">
        <f t="shared" si="49"/>
        <v>5310325654.3908043</v>
      </c>
    </row>
    <row r="132" spans="31:46">
      <c r="AE132" s="39">
        <f t="shared" si="50"/>
        <v>2016</v>
      </c>
      <c r="AF132" s="40">
        <f t="shared" si="49"/>
        <v>5680414010.4820404</v>
      </c>
    </row>
    <row r="133" spans="31:46">
      <c r="AE133" s="39">
        <f t="shared" si="50"/>
        <v>2016</v>
      </c>
      <c r="AF133" s="40">
        <f t="shared" si="49"/>
        <v>5420066876.0125456</v>
      </c>
    </row>
    <row r="134" spans="31:46">
      <c r="AE134" s="39">
        <f t="shared" si="50"/>
        <v>2016</v>
      </c>
      <c r="AF134" s="40">
        <f t="shared" si="49"/>
        <v>5452188460.364418</v>
      </c>
      <c r="AH134" s="20"/>
    </row>
    <row r="135" spans="31:46">
      <c r="AE135" s="29">
        <f t="shared" si="50"/>
        <v>2017</v>
      </c>
      <c r="AF135" s="30">
        <f t="shared" si="49"/>
        <v>5321089171.2110472</v>
      </c>
      <c r="AG135" s="20"/>
    </row>
    <row r="136" spans="31:46">
      <c r="AE136" s="39">
        <f t="shared" si="50"/>
        <v>2017</v>
      </c>
      <c r="AF136" s="40">
        <f t="shared" si="49"/>
        <v>5775318002.6090412</v>
      </c>
    </row>
    <row r="137" spans="31:46">
      <c r="AE137" s="39">
        <f t="shared" si="50"/>
        <v>2017</v>
      </c>
      <c r="AF137" s="40">
        <f t="shared" si="49"/>
        <v>5711092269.986743</v>
      </c>
    </row>
    <row r="138" spans="31:46">
      <c r="AE138" s="39">
        <f t="shared" si="50"/>
        <v>2017</v>
      </c>
      <c r="AF138" s="40">
        <f t="shared" si="49"/>
        <v>5747024548.3486614</v>
      </c>
      <c r="AH138" s="20">
        <f>(AF138-AF134)/AF134</f>
        <v>5.4076650161233954E-2</v>
      </c>
      <c r="AI138" s="20">
        <f>AVERAGE(AH138:AH230)</f>
        <v>1.5019792925885586E-2</v>
      </c>
    </row>
    <row r="139" spans="31:46">
      <c r="AE139" s="29">
        <f t="shared" si="50"/>
        <v>2018</v>
      </c>
      <c r="AF139" s="30">
        <f t="shared" si="49"/>
        <v>5688642946.6873112</v>
      </c>
      <c r="AG139" s="20"/>
    </row>
    <row r="140" spans="31:46">
      <c r="AE140" s="39">
        <f t="shared" si="50"/>
        <v>2018</v>
      </c>
      <c r="AF140" s="40">
        <f t="shared" si="49"/>
        <v>5696004817.419426</v>
      </c>
    </row>
    <row r="141" spans="31:46">
      <c r="AE141" s="39">
        <f t="shared" si="50"/>
        <v>2018</v>
      </c>
      <c r="AF141" s="40">
        <f t="shared" si="49"/>
        <v>5768985468.6764021</v>
      </c>
    </row>
    <row r="142" spans="31:46">
      <c r="AE142" s="39">
        <f t="shared" si="50"/>
        <v>2018</v>
      </c>
      <c r="AF142" s="40">
        <f t="shared" si="49"/>
        <v>5784659184.2333784</v>
      </c>
      <c r="AH142" s="20">
        <f>(AF142-AF138)/AF138</f>
        <v>6.5485427403526317E-3</v>
      </c>
    </row>
    <row r="143" spans="31:46">
      <c r="AE143" s="29">
        <f t="shared" si="50"/>
        <v>2019</v>
      </c>
      <c r="AF143" s="30">
        <f t="shared" si="49"/>
        <v>5843855157.1272268</v>
      </c>
      <c r="AG143" s="20"/>
    </row>
    <row r="144" spans="31:46">
      <c r="AE144" s="39">
        <f t="shared" si="50"/>
        <v>2019</v>
      </c>
      <c r="AF144" s="40">
        <f t="shared" si="49"/>
        <v>5866699622.4881945</v>
      </c>
      <c r="AI144">
        <v>1.0014888795000001</v>
      </c>
      <c r="AJ144">
        <v>1.0014888795000001</v>
      </c>
      <c r="AS144">
        <v>1.0014888795000001</v>
      </c>
      <c r="AT144">
        <v>1.0014888795000001</v>
      </c>
    </row>
    <row r="145" spans="31:44">
      <c r="AE145" s="39">
        <f t="shared" si="50"/>
        <v>2019</v>
      </c>
      <c r="AF145" s="40">
        <f t="shared" si="49"/>
        <v>5867026349.4781237</v>
      </c>
    </row>
    <row r="146" spans="31:44">
      <c r="AE146" s="39">
        <f t="shared" si="50"/>
        <v>2019</v>
      </c>
      <c r="AF146" s="40">
        <f t="shared" si="49"/>
        <v>5928200502.744566</v>
      </c>
      <c r="AH146" s="20">
        <f>(AF146-AF142)/AF142</f>
        <v>2.4814135792549825E-2</v>
      </c>
    </row>
    <row r="147" spans="31:44">
      <c r="AE147" s="29">
        <f t="shared" si="50"/>
        <v>2020</v>
      </c>
      <c r="AF147" s="30">
        <f t="shared" si="49"/>
        <v>5925207535.1021996</v>
      </c>
      <c r="AG147" s="20"/>
      <c r="AI147">
        <f>100*AI144*AJ144*AS144*AT144</f>
        <v>100.59688317798745</v>
      </c>
      <c r="AJ147" s="20">
        <f>(AI147-100)/100</f>
        <v>5.9688317798745061E-3</v>
      </c>
      <c r="AK147" s="20"/>
      <c r="AL147" s="20"/>
      <c r="AM147" s="20"/>
      <c r="AN147" s="20"/>
      <c r="AO147" s="20"/>
      <c r="AP147" s="20"/>
      <c r="AQ147" s="20"/>
      <c r="AR147" s="20"/>
    </row>
    <row r="148" spans="31:44">
      <c r="AE148" s="39">
        <f t="shared" si="50"/>
        <v>2020</v>
      </c>
      <c r="AF148" s="40">
        <f t="shared" si="49"/>
        <v>5917685026.5729885</v>
      </c>
    </row>
    <row r="149" spans="31:44">
      <c r="AE149" s="39">
        <f t="shared" si="50"/>
        <v>2020</v>
      </c>
      <c r="AF149" s="40">
        <f t="shared" si="49"/>
        <v>5956744935.8483524</v>
      </c>
      <c r="AG149" s="20">
        <f>AVERAGE(AH138:AH158)</f>
        <v>2.1634699250980657E-2</v>
      </c>
    </row>
    <row r="150" spans="31:44">
      <c r="AE150" s="39">
        <f t="shared" si="50"/>
        <v>2020</v>
      </c>
      <c r="AF150" s="40">
        <f t="shared" si="49"/>
        <v>6006136760.2584896</v>
      </c>
      <c r="AH150" s="20">
        <f>(AF150-AF146)/AF146</f>
        <v>1.3146697295046222E-2</v>
      </c>
    </row>
    <row r="151" spans="31:44">
      <c r="AE151" s="29">
        <f t="shared" si="50"/>
        <v>2021</v>
      </c>
      <c r="AF151" s="30">
        <f t="shared" si="49"/>
        <v>6069025213.2781219</v>
      </c>
      <c r="AG151" s="20"/>
    </row>
    <row r="152" spans="31:44">
      <c r="AE152" s="39">
        <f t="shared" si="50"/>
        <v>2021</v>
      </c>
      <c r="AF152" s="40">
        <f t="shared" si="49"/>
        <v>6107646137.4002333</v>
      </c>
    </row>
    <row r="153" spans="31:44">
      <c r="AE153" s="39">
        <f t="shared" si="50"/>
        <v>2021</v>
      </c>
      <c r="AF153" s="40">
        <f t="shared" si="49"/>
        <v>6112278009.5294209</v>
      </c>
    </row>
    <row r="154" spans="31:44">
      <c r="AE154" s="39">
        <f t="shared" si="50"/>
        <v>2021</v>
      </c>
      <c r="AF154" s="40">
        <f t="shared" si="49"/>
        <v>6145474356.6104259</v>
      </c>
      <c r="AH154" s="20">
        <f>(AF154-AF150)/AF150</f>
        <v>2.3199204732384345E-2</v>
      </c>
    </row>
    <row r="155" spans="31:44">
      <c r="AE155" s="29">
        <f t="shared" si="50"/>
        <v>2022</v>
      </c>
      <c r="AF155" s="30">
        <f t="shared" si="49"/>
        <v>6141689047.9283943</v>
      </c>
      <c r="AG155" s="20"/>
    </row>
    <row r="156" spans="31:44">
      <c r="AE156" s="39">
        <f t="shared" si="50"/>
        <v>2022</v>
      </c>
      <c r="AF156" s="40">
        <f t="shared" si="49"/>
        <v>6184338734.9259224</v>
      </c>
    </row>
    <row r="157" spans="31:44">
      <c r="AE157" s="39">
        <f t="shared" si="50"/>
        <v>2022</v>
      </c>
      <c r="AF157" s="40">
        <f t="shared" si="49"/>
        <v>6168247091.421525</v>
      </c>
    </row>
    <row r="158" spans="31:44">
      <c r="AE158" s="39">
        <f t="shared" si="50"/>
        <v>2022</v>
      </c>
      <c r="AF158" s="40">
        <f t="shared" si="49"/>
        <v>6194779280.9564342</v>
      </c>
      <c r="AH158" s="20">
        <f>(AF158-AF154)/AF154</f>
        <v>8.0229647843169487E-3</v>
      </c>
    </row>
    <row r="159" spans="31:44">
      <c r="AE159" s="29">
        <f t="shared" si="50"/>
        <v>2023</v>
      </c>
      <c r="AF159" s="30">
        <f t="shared" ref="AF159:AF190" si="51">AF46</f>
        <v>6278300543.556345</v>
      </c>
      <c r="AG159" s="20"/>
    </row>
    <row r="160" spans="31:44">
      <c r="AE160" s="39">
        <f t="shared" si="50"/>
        <v>2023</v>
      </c>
      <c r="AF160" s="40">
        <f t="shared" si="51"/>
        <v>6295818667.8735628</v>
      </c>
    </row>
    <row r="161" spans="31:34">
      <c r="AE161" s="39">
        <f t="shared" si="50"/>
        <v>2023</v>
      </c>
      <c r="AF161" s="40">
        <f t="shared" si="51"/>
        <v>6320551029.889986</v>
      </c>
    </row>
    <row r="162" spans="31:34">
      <c r="AE162" s="39">
        <f t="shared" si="50"/>
        <v>2023</v>
      </c>
      <c r="AF162" s="40">
        <f t="shared" si="51"/>
        <v>6345137540.3926048</v>
      </c>
      <c r="AH162" s="20">
        <f>(AF162-AF158)/AF158</f>
        <v>2.4271770246664257E-2</v>
      </c>
    </row>
    <row r="163" spans="31:34">
      <c r="AE163" s="29">
        <f t="shared" ref="AE163:AE194" si="52">AE159+1</f>
        <v>2024</v>
      </c>
      <c r="AF163" s="30">
        <f t="shared" si="51"/>
        <v>6363129171.3826246</v>
      </c>
      <c r="AG163" s="20"/>
    </row>
    <row r="164" spans="31:34">
      <c r="AE164" s="39">
        <f t="shared" si="52"/>
        <v>2024</v>
      </c>
      <c r="AF164" s="40">
        <f t="shared" si="51"/>
        <v>6353220500.6302395</v>
      </c>
    </row>
    <row r="165" spans="31:34">
      <c r="AE165" s="39">
        <f t="shared" si="52"/>
        <v>2024</v>
      </c>
      <c r="AF165" s="40">
        <f t="shared" si="51"/>
        <v>6411334625.4313869</v>
      </c>
    </row>
    <row r="166" spans="31:34">
      <c r="AE166" s="39">
        <f t="shared" si="52"/>
        <v>2024</v>
      </c>
      <c r="AF166" s="40">
        <f t="shared" si="51"/>
        <v>6424714768.9623842</v>
      </c>
      <c r="AH166" s="20">
        <f>(AF166-AF162)/AF162</f>
        <v>1.2541450530141789E-2</v>
      </c>
    </row>
    <row r="167" spans="31:34">
      <c r="AE167" s="29">
        <f t="shared" si="52"/>
        <v>2025</v>
      </c>
      <c r="AF167" s="30">
        <f t="shared" si="51"/>
        <v>6434398021.2943411</v>
      </c>
      <c r="AG167" s="20"/>
    </row>
    <row r="168" spans="31:34">
      <c r="AE168" s="39">
        <f t="shared" si="52"/>
        <v>2025</v>
      </c>
      <c r="AF168" s="40">
        <f t="shared" si="51"/>
        <v>6445987761.6926613</v>
      </c>
    </row>
    <row r="169" spans="31:34">
      <c r="AE169" s="39">
        <f t="shared" si="52"/>
        <v>2025</v>
      </c>
      <c r="AF169" s="40">
        <f t="shared" si="51"/>
        <v>6483487522.1973705</v>
      </c>
    </row>
    <row r="170" spans="31:34">
      <c r="AE170" s="39">
        <f t="shared" si="52"/>
        <v>2025</v>
      </c>
      <c r="AF170" s="40">
        <f t="shared" si="51"/>
        <v>6513575804.0620193</v>
      </c>
      <c r="AH170" s="20">
        <f>(AF170-AF166)/AF166</f>
        <v>1.3831125317643715E-2</v>
      </c>
    </row>
    <row r="171" spans="31:34">
      <c r="AE171" s="29">
        <f t="shared" si="52"/>
        <v>2026</v>
      </c>
      <c r="AF171" s="30">
        <f t="shared" si="51"/>
        <v>6559162741.1604033</v>
      </c>
      <c r="AG171" s="20"/>
    </row>
    <row r="172" spans="31:34">
      <c r="AE172" s="39">
        <f t="shared" si="52"/>
        <v>2026</v>
      </c>
      <c r="AF172" s="40">
        <f t="shared" si="51"/>
        <v>6586323178.5184546</v>
      </c>
    </row>
    <row r="173" spans="31:34">
      <c r="AE173" s="39">
        <f t="shared" si="52"/>
        <v>2026</v>
      </c>
      <c r="AF173" s="40">
        <f t="shared" si="51"/>
        <v>6585061547.8916998</v>
      </c>
    </row>
    <row r="174" spans="31:34">
      <c r="AE174" s="39">
        <f t="shared" si="52"/>
        <v>2026</v>
      </c>
      <c r="AF174" s="40">
        <f t="shared" si="51"/>
        <v>6638952267.9103975</v>
      </c>
      <c r="AH174" s="20">
        <f>(AF174-AF170)/AF170</f>
        <v>1.9248484644976492E-2</v>
      </c>
    </row>
    <row r="175" spans="31:34">
      <c r="AE175" s="29">
        <f t="shared" si="52"/>
        <v>2027</v>
      </c>
      <c r="AF175" s="30">
        <f t="shared" si="51"/>
        <v>6703053181.5127563</v>
      </c>
      <c r="AG175" s="20"/>
    </row>
    <row r="176" spans="31:34">
      <c r="AE176" s="39">
        <f t="shared" si="52"/>
        <v>2027</v>
      </c>
      <c r="AF176" s="40">
        <f t="shared" si="51"/>
        <v>6711193470.2928438</v>
      </c>
    </row>
    <row r="177" spans="31:34">
      <c r="AE177" s="39">
        <f t="shared" si="52"/>
        <v>2027</v>
      </c>
      <c r="AF177" s="40">
        <f t="shared" si="51"/>
        <v>6742951428.7598848</v>
      </c>
    </row>
    <row r="178" spans="31:34">
      <c r="AE178" s="39">
        <f t="shared" si="52"/>
        <v>2027</v>
      </c>
      <c r="AF178" s="40">
        <f t="shared" si="51"/>
        <v>6753082983.8392076</v>
      </c>
      <c r="AH178" s="20">
        <f>(AF178-AF174)/AF174</f>
        <v>1.719107342893017E-2</v>
      </c>
    </row>
    <row r="179" spans="31:34">
      <c r="AE179" s="29">
        <f t="shared" si="52"/>
        <v>2028</v>
      </c>
      <c r="AF179" s="30">
        <f t="shared" si="51"/>
        <v>6754435568.0798235</v>
      </c>
      <c r="AG179" s="20"/>
    </row>
    <row r="180" spans="31:34">
      <c r="AE180" s="39">
        <f t="shared" si="52"/>
        <v>2028</v>
      </c>
      <c r="AF180" s="40">
        <f t="shared" si="51"/>
        <v>6809163997.993083</v>
      </c>
    </row>
    <row r="181" spans="31:34">
      <c r="AE181" s="39">
        <f t="shared" si="52"/>
        <v>2028</v>
      </c>
      <c r="AF181" s="40">
        <f t="shared" si="51"/>
        <v>6776725499.5310717</v>
      </c>
    </row>
    <row r="182" spans="31:34">
      <c r="AE182" s="39">
        <f t="shared" si="52"/>
        <v>2028</v>
      </c>
      <c r="AF182" s="40">
        <f t="shared" si="51"/>
        <v>6788465586.6396036</v>
      </c>
      <c r="AH182" s="20">
        <f>(AF182-AF178)/AF178</f>
        <v>5.2394740128427295E-3</v>
      </c>
    </row>
    <row r="183" spans="31:34">
      <c r="AE183" s="29">
        <f t="shared" si="52"/>
        <v>2029</v>
      </c>
      <c r="AF183" s="30">
        <f t="shared" si="51"/>
        <v>6824157650.5603495</v>
      </c>
      <c r="AG183" s="20"/>
    </row>
    <row r="184" spans="31:34">
      <c r="AE184" s="39">
        <f t="shared" si="52"/>
        <v>2029</v>
      </c>
      <c r="AF184" s="40">
        <f t="shared" si="51"/>
        <v>6862763218.4667549</v>
      </c>
    </row>
    <row r="185" spans="31:34">
      <c r="AE185" s="39">
        <f t="shared" si="52"/>
        <v>2029</v>
      </c>
      <c r="AF185" s="40">
        <f t="shared" si="51"/>
        <v>6864597471.4366894</v>
      </c>
    </row>
    <row r="186" spans="31:34">
      <c r="AE186" s="39">
        <f t="shared" si="52"/>
        <v>2029</v>
      </c>
      <c r="AF186" s="40">
        <f t="shared" si="51"/>
        <v>6916044744.0254412</v>
      </c>
      <c r="AH186" s="20">
        <f>(AF186-AF182)/AF182</f>
        <v>1.8793519059288805E-2</v>
      </c>
    </row>
    <row r="187" spans="31:34">
      <c r="AE187" s="29">
        <f t="shared" si="52"/>
        <v>2030</v>
      </c>
      <c r="AF187" s="30">
        <f t="shared" si="51"/>
        <v>6965502117.3673143</v>
      </c>
      <c r="AG187" s="20"/>
    </row>
    <row r="188" spans="31:34">
      <c r="AE188" s="39">
        <f t="shared" si="52"/>
        <v>2030</v>
      </c>
      <c r="AF188" s="40">
        <f t="shared" si="51"/>
        <v>6988557268.2590055</v>
      </c>
    </row>
    <row r="189" spans="31:34">
      <c r="AE189" s="39">
        <f t="shared" si="52"/>
        <v>2030</v>
      </c>
      <c r="AF189" s="40">
        <f t="shared" si="51"/>
        <v>7022523276.7799311</v>
      </c>
    </row>
    <row r="190" spans="31:34">
      <c r="AE190" s="39">
        <f t="shared" si="52"/>
        <v>2030</v>
      </c>
      <c r="AF190" s="40">
        <f t="shared" si="51"/>
        <v>7071746840.15448</v>
      </c>
      <c r="AH190" s="20">
        <f>(AF190-AF186)/AF186</f>
        <v>2.2513170734406406E-2</v>
      </c>
    </row>
    <row r="191" spans="31:34">
      <c r="AE191" s="29">
        <f t="shared" si="52"/>
        <v>2031</v>
      </c>
      <c r="AF191" s="30">
        <f t="shared" ref="AF191:AF222" si="53">AF78</f>
        <v>7077034308.0182953</v>
      </c>
      <c r="AG191" s="20"/>
    </row>
    <row r="192" spans="31:34">
      <c r="AE192" s="39">
        <f t="shared" si="52"/>
        <v>2031</v>
      </c>
      <c r="AF192" s="40">
        <f t="shared" si="53"/>
        <v>7096927868.0645475</v>
      </c>
    </row>
    <row r="193" spans="31:34">
      <c r="AE193" s="39">
        <f t="shared" si="52"/>
        <v>2031</v>
      </c>
      <c r="AF193" s="40">
        <f t="shared" si="53"/>
        <v>7122612666.3723516</v>
      </c>
    </row>
    <row r="194" spans="31:34">
      <c r="AE194" s="39">
        <f t="shared" si="52"/>
        <v>2031</v>
      </c>
      <c r="AF194" s="40">
        <f t="shared" si="53"/>
        <v>7127525828.5133934</v>
      </c>
      <c r="AH194" s="20">
        <f>(AF194-AF190)/AF190</f>
        <v>7.8875827457781204E-3</v>
      </c>
    </row>
    <row r="195" spans="31:34">
      <c r="AE195" s="29">
        <f t="shared" ref="AE195:AE226" si="54">AE191+1</f>
        <v>2032</v>
      </c>
      <c r="AF195" s="30">
        <f t="shared" si="53"/>
        <v>7139002144.7700901</v>
      </c>
      <c r="AG195" s="20"/>
    </row>
    <row r="196" spans="31:34">
      <c r="AE196" s="39">
        <f t="shared" si="54"/>
        <v>2032</v>
      </c>
      <c r="AF196" s="40">
        <f t="shared" si="53"/>
        <v>7119231233.6206722</v>
      </c>
    </row>
    <row r="197" spans="31:34">
      <c r="AE197" s="39">
        <f t="shared" si="54"/>
        <v>2032</v>
      </c>
      <c r="AF197" s="40">
        <f t="shared" si="53"/>
        <v>7106611618.3288193</v>
      </c>
    </row>
    <row r="198" spans="31:34">
      <c r="AE198" s="39">
        <f t="shared" si="54"/>
        <v>2032</v>
      </c>
      <c r="AF198" s="40">
        <f t="shared" si="53"/>
        <v>7170518276.4492617</v>
      </c>
      <c r="AH198" s="20">
        <f>(AF198-AF194)/AF194</f>
        <v>6.0318894621017895E-3</v>
      </c>
    </row>
    <row r="199" spans="31:34">
      <c r="AE199" s="29">
        <f t="shared" si="54"/>
        <v>2033</v>
      </c>
      <c r="AF199" s="30">
        <f t="shared" si="53"/>
        <v>7199992384.3705893</v>
      </c>
      <c r="AG199" s="20"/>
    </row>
    <row r="200" spans="31:34">
      <c r="AE200" s="39">
        <f t="shared" si="54"/>
        <v>2033</v>
      </c>
      <c r="AF200" s="40">
        <f t="shared" si="53"/>
        <v>7253912503.9717207</v>
      </c>
    </row>
    <row r="201" spans="31:34">
      <c r="AE201" s="39">
        <f t="shared" si="54"/>
        <v>2033</v>
      </c>
      <c r="AF201" s="40">
        <f t="shared" si="53"/>
        <v>7251491905.4759254</v>
      </c>
    </row>
    <row r="202" spans="31:34">
      <c r="AE202" s="39">
        <f t="shared" si="54"/>
        <v>2033</v>
      </c>
      <c r="AF202" s="40">
        <f t="shared" si="53"/>
        <v>7257969441.8817263</v>
      </c>
      <c r="AH202" s="20">
        <f>(AF202-AF198)/AF198</f>
        <v>1.2195933691388506E-2</v>
      </c>
    </row>
    <row r="203" spans="31:34">
      <c r="AE203" s="29">
        <f t="shared" si="54"/>
        <v>2034</v>
      </c>
      <c r="AF203" s="30">
        <f t="shared" si="53"/>
        <v>7245498046.6114225</v>
      </c>
      <c r="AG203" s="20"/>
    </row>
    <row r="204" spans="31:34">
      <c r="AE204" s="39">
        <f t="shared" si="54"/>
        <v>2034</v>
      </c>
      <c r="AF204" s="40">
        <f t="shared" si="53"/>
        <v>7300184001.6040182</v>
      </c>
    </row>
    <row r="205" spans="31:34">
      <c r="AE205" s="39">
        <f t="shared" si="54"/>
        <v>2034</v>
      </c>
      <c r="AF205" s="40">
        <f t="shared" si="53"/>
        <v>7355747834.4088373</v>
      </c>
    </row>
    <row r="206" spans="31:34">
      <c r="AE206" s="39">
        <f t="shared" si="54"/>
        <v>2034</v>
      </c>
      <c r="AF206" s="40">
        <f t="shared" si="53"/>
        <v>7381621835.4713211</v>
      </c>
      <c r="AH206" s="20">
        <f>(AF206-AF202)/AF202</f>
        <v>1.7036775172414656E-2</v>
      </c>
    </row>
    <row r="207" spans="31:34">
      <c r="AE207" s="29">
        <f t="shared" si="54"/>
        <v>2035</v>
      </c>
      <c r="AF207" s="30">
        <f t="shared" si="53"/>
        <v>7357624997.50245</v>
      </c>
      <c r="AG207" s="20"/>
    </row>
    <row r="208" spans="31:34">
      <c r="AE208" s="39">
        <f t="shared" si="54"/>
        <v>2035</v>
      </c>
      <c r="AF208" s="40">
        <f t="shared" si="53"/>
        <v>7373984136.2495441</v>
      </c>
    </row>
    <row r="209" spans="31:34">
      <c r="AE209" s="39">
        <f t="shared" si="54"/>
        <v>2035</v>
      </c>
      <c r="AF209" s="40">
        <f t="shared" si="53"/>
        <v>7404169739.9571142</v>
      </c>
    </row>
    <row r="210" spans="31:34">
      <c r="AE210" s="39">
        <f t="shared" si="54"/>
        <v>2035</v>
      </c>
      <c r="AF210" s="40">
        <f t="shared" si="53"/>
        <v>7440479270.2057304</v>
      </c>
      <c r="AH210" s="20">
        <f>(AF210-AF206)/AF206</f>
        <v>7.9735098933920463E-3</v>
      </c>
    </row>
    <row r="211" spans="31:34">
      <c r="AE211" s="29">
        <f t="shared" si="54"/>
        <v>2036</v>
      </c>
      <c r="AF211" s="30">
        <f t="shared" si="53"/>
        <v>7474526596.1924715</v>
      </c>
      <c r="AG211" s="20"/>
    </row>
    <row r="212" spans="31:34">
      <c r="AE212" s="39">
        <f t="shared" si="54"/>
        <v>2036</v>
      </c>
      <c r="AF212" s="40">
        <f t="shared" si="53"/>
        <v>7490133052.8459969</v>
      </c>
    </row>
    <row r="213" spans="31:34">
      <c r="AE213" s="39">
        <f t="shared" si="54"/>
        <v>2036</v>
      </c>
      <c r="AF213" s="40">
        <f t="shared" si="53"/>
        <v>7500924757.4650888</v>
      </c>
    </row>
    <row r="214" spans="31:34">
      <c r="AE214" s="39">
        <f t="shared" si="54"/>
        <v>2036</v>
      </c>
      <c r="AF214" s="40">
        <f t="shared" si="53"/>
        <v>7521560914.4822855</v>
      </c>
      <c r="AH214" s="20">
        <f>(AF214-AF210)/AF210</f>
        <v>1.089736848017764E-2</v>
      </c>
    </row>
    <row r="215" spans="31:34">
      <c r="AE215" s="29">
        <f t="shared" si="54"/>
        <v>2037</v>
      </c>
      <c r="AF215" s="30">
        <f t="shared" si="53"/>
        <v>7520075025.2584267</v>
      </c>
      <c r="AG215" s="20"/>
    </row>
    <row r="216" spans="31:34">
      <c r="AE216" s="39">
        <f t="shared" si="54"/>
        <v>2037</v>
      </c>
      <c r="AF216" s="40">
        <f t="shared" si="53"/>
        <v>7526106117.598732</v>
      </c>
    </row>
    <row r="217" spans="31:34">
      <c r="AE217" s="39">
        <f t="shared" si="54"/>
        <v>2037</v>
      </c>
      <c r="AF217" s="40">
        <f t="shared" si="53"/>
        <v>7583969536.9429312</v>
      </c>
    </row>
    <row r="218" spans="31:34">
      <c r="AE218" s="39">
        <f t="shared" si="54"/>
        <v>2037</v>
      </c>
      <c r="AF218" s="40">
        <f t="shared" si="53"/>
        <v>7572763874.2375402</v>
      </c>
      <c r="AH218" s="20">
        <f>(AF218-AF214)/AF214</f>
        <v>6.8074912026128403E-3</v>
      </c>
    </row>
    <row r="219" spans="31:34">
      <c r="AE219" s="29">
        <f t="shared" si="54"/>
        <v>2038</v>
      </c>
      <c r="AF219" s="30">
        <f t="shared" si="53"/>
        <v>7565894016.6289711</v>
      </c>
      <c r="AG219" s="20"/>
    </row>
    <row r="220" spans="31:34">
      <c r="AE220" s="39">
        <f t="shared" si="54"/>
        <v>2038</v>
      </c>
      <c r="AF220" s="40">
        <f t="shared" si="53"/>
        <v>7643344742.134923</v>
      </c>
    </row>
    <row r="221" spans="31:34">
      <c r="AE221" s="39">
        <f t="shared" si="54"/>
        <v>2038</v>
      </c>
      <c r="AF221" s="40">
        <f t="shared" si="53"/>
        <v>7665949315.9768896</v>
      </c>
    </row>
    <row r="222" spans="31:34">
      <c r="AE222" s="39">
        <f t="shared" si="54"/>
        <v>2038</v>
      </c>
      <c r="AF222" s="40">
        <f t="shared" si="53"/>
        <v>7656626766.2341776</v>
      </c>
      <c r="AH222" s="20">
        <f>(AF222-AF218)/AF218</f>
        <v>1.107427795047697E-2</v>
      </c>
    </row>
    <row r="223" spans="31:34">
      <c r="AE223" s="29">
        <f t="shared" si="54"/>
        <v>2039</v>
      </c>
      <c r="AF223" s="30">
        <f t="shared" ref="AF223:AF230" si="55">AF110</f>
        <v>7683293852.7500124</v>
      </c>
      <c r="AG223" s="20"/>
    </row>
    <row r="224" spans="31:34">
      <c r="AE224" s="39">
        <f t="shared" si="54"/>
        <v>2039</v>
      </c>
      <c r="AF224" s="40">
        <f t="shared" si="55"/>
        <v>7692207452.012394</v>
      </c>
    </row>
    <row r="225" spans="31:34">
      <c r="AE225" s="39">
        <f t="shared" si="54"/>
        <v>2039</v>
      </c>
      <c r="AF225" s="40">
        <f t="shared" si="55"/>
        <v>7691877952.3490906</v>
      </c>
    </row>
    <row r="226" spans="31:34">
      <c r="AE226" s="39">
        <f t="shared" si="54"/>
        <v>2039</v>
      </c>
      <c r="AF226" s="40">
        <f t="shared" si="55"/>
        <v>7756540453.673667</v>
      </c>
      <c r="AH226" s="20">
        <f>(AF226-AF222)/AF222</f>
        <v>1.3049308852314704E-2</v>
      </c>
    </row>
    <row r="227" spans="31:34">
      <c r="AE227" s="29">
        <f t="shared" ref="AE227:AE230" si="56">AE223+1</f>
        <v>2040</v>
      </c>
      <c r="AF227" s="30">
        <f t="shared" si="55"/>
        <v>7723097669.5513935</v>
      </c>
      <c r="AG227" s="20"/>
    </row>
    <row r="228" spans="31:34">
      <c r="AE228" s="39">
        <f t="shared" si="56"/>
        <v>2040</v>
      </c>
      <c r="AF228" s="40">
        <f t="shared" si="55"/>
        <v>7711004190.8955212</v>
      </c>
    </row>
    <row r="229" spans="31:34">
      <c r="AE229" s="39">
        <f t="shared" si="56"/>
        <v>2040</v>
      </c>
      <c r="AF229" s="40">
        <f t="shared" si="55"/>
        <v>7706336839.1997652</v>
      </c>
    </row>
    <row r="230" spans="31:34">
      <c r="AE230" s="39">
        <f t="shared" si="56"/>
        <v>2040</v>
      </c>
      <c r="AF230" s="40">
        <f t="shared" si="55"/>
        <v>7788207532.9174967</v>
      </c>
      <c r="AH230" s="20">
        <f>(AF230-AF226)/AF226</f>
        <v>4.0826292898184409E-3</v>
      </c>
    </row>
  </sheetData>
  <mergeCells count="3">
    <mergeCell ref="AK1:AL1"/>
    <mergeCell ref="AO1:AP1"/>
    <mergeCell ref="AQ1:AR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17"/>
  <sheetViews>
    <sheetView topLeftCell="AR4" zoomScale="125" zoomScaleNormal="125" zoomScalePageLayoutView="125" workbookViewId="0">
      <selection activeCell="AZ25" sqref="AZ25:AZ117"/>
    </sheetView>
  </sheetViews>
  <sheetFormatPr baseColWidth="10" defaultColWidth="8.83203125" defaultRowHeight="12" x14ac:dyDescent="0"/>
  <cols>
    <col min="7" max="10" width="8.83203125" style="1"/>
  </cols>
  <sheetData>
    <row r="1" spans="1:60" s="6" customFormat="1" ht="50.25" customHeight="1">
      <c r="A1" s="2" t="s">
        <v>0</v>
      </c>
      <c r="B1" s="2" t="s">
        <v>1</v>
      </c>
      <c r="C1" s="2" t="s">
        <v>47</v>
      </c>
      <c r="D1" s="2"/>
      <c r="E1" s="2" t="s">
        <v>48</v>
      </c>
      <c r="F1" s="2"/>
      <c r="G1" s="3" t="s">
        <v>4</v>
      </c>
      <c r="H1" s="3"/>
      <c r="I1" s="3" t="s">
        <v>5</v>
      </c>
      <c r="J1" s="3"/>
      <c r="K1" s="2" t="s">
        <v>6</v>
      </c>
      <c r="L1" s="2"/>
      <c r="M1" s="4" t="s">
        <v>7</v>
      </c>
      <c r="N1" s="2"/>
      <c r="O1" s="2" t="s">
        <v>8</v>
      </c>
      <c r="P1" s="5"/>
      <c r="Q1" s="2" t="s">
        <v>9</v>
      </c>
      <c r="R1" s="2"/>
      <c r="S1" s="2" t="s">
        <v>10</v>
      </c>
      <c r="T1" s="2"/>
      <c r="U1" s="5" t="s">
        <v>11</v>
      </c>
      <c r="V1" s="2"/>
      <c r="W1" s="2" t="s">
        <v>12</v>
      </c>
      <c r="X1" s="2"/>
      <c r="Y1" s="6" t="s">
        <v>13</v>
      </c>
      <c r="AA1" s="6" t="s">
        <v>14</v>
      </c>
      <c r="AD1" s="6" t="s">
        <v>15</v>
      </c>
      <c r="AE1" s="6" t="s">
        <v>16</v>
      </c>
      <c r="AF1" s="6" t="s">
        <v>17</v>
      </c>
      <c r="AH1" s="6" t="s">
        <v>19</v>
      </c>
      <c r="AI1" s="7" t="s">
        <v>20</v>
      </c>
      <c r="AJ1" s="7"/>
      <c r="AK1" s="64" t="s">
        <v>21</v>
      </c>
      <c r="AL1" s="64"/>
      <c r="AM1" s="8" t="s">
        <v>22</v>
      </c>
      <c r="AN1" s="9" t="s">
        <v>23</v>
      </c>
      <c r="AO1" s="64" t="s">
        <v>24</v>
      </c>
      <c r="AP1" s="64"/>
      <c r="AQ1" s="64" t="s">
        <v>25</v>
      </c>
      <c r="AR1" s="64"/>
      <c r="AS1" s="6" t="s">
        <v>27</v>
      </c>
      <c r="AU1" s="6" t="s">
        <v>28</v>
      </c>
      <c r="AW1" s="6" t="s">
        <v>29</v>
      </c>
      <c r="AY1" s="6" t="s">
        <v>49</v>
      </c>
      <c r="BB1" s="6" t="s">
        <v>31</v>
      </c>
      <c r="BD1" s="6" t="s">
        <v>32</v>
      </c>
      <c r="BE1" s="6" t="s">
        <v>33</v>
      </c>
      <c r="BF1" s="6" t="s">
        <v>34</v>
      </c>
      <c r="BG1" s="6" t="s">
        <v>35</v>
      </c>
      <c r="BH1" s="7" t="s">
        <v>36</v>
      </c>
    </row>
    <row r="2" spans="1:60" s="10" customFormat="1">
      <c r="C2" s="10" t="s">
        <v>37</v>
      </c>
      <c r="D2" s="10" t="s">
        <v>38</v>
      </c>
      <c r="E2" s="10" t="s">
        <v>37</v>
      </c>
      <c r="F2" s="11" t="s">
        <v>38</v>
      </c>
      <c r="G2" s="12" t="s">
        <v>39</v>
      </c>
      <c r="H2" s="12" t="s">
        <v>40</v>
      </c>
      <c r="I2" s="12" t="s">
        <v>39</v>
      </c>
      <c r="J2" s="13" t="s">
        <v>40</v>
      </c>
      <c r="K2" s="10" t="s">
        <v>37</v>
      </c>
      <c r="L2" s="11" t="s">
        <v>38</v>
      </c>
      <c r="M2" s="11" t="s">
        <v>37</v>
      </c>
      <c r="N2" s="11" t="s">
        <v>38</v>
      </c>
      <c r="O2" s="10" t="s">
        <v>37</v>
      </c>
      <c r="P2" s="10" t="s">
        <v>38</v>
      </c>
      <c r="Q2" s="11" t="s">
        <v>37</v>
      </c>
      <c r="R2" s="11" t="s">
        <v>38</v>
      </c>
      <c r="S2" s="11" t="s">
        <v>37</v>
      </c>
      <c r="T2" s="10" t="s">
        <v>38</v>
      </c>
      <c r="U2" s="10" t="s">
        <v>37</v>
      </c>
      <c r="V2" s="10" t="s">
        <v>38</v>
      </c>
      <c r="W2" s="10" t="s">
        <v>37</v>
      </c>
      <c r="X2" s="11" t="s">
        <v>38</v>
      </c>
      <c r="AC2" s="6"/>
      <c r="AI2" s="14"/>
      <c r="AJ2" s="14"/>
      <c r="AK2" s="14"/>
      <c r="AM2" s="14"/>
      <c r="AN2" s="14"/>
      <c r="AO2" s="14"/>
      <c r="AP2" s="14"/>
      <c r="AQ2" s="14"/>
      <c r="AR2" s="14"/>
      <c r="AS2" s="10" t="s">
        <v>41</v>
      </c>
      <c r="AT2" s="10" t="s">
        <v>39</v>
      </c>
      <c r="AU2" s="10" t="s">
        <v>41</v>
      </c>
      <c r="AV2" s="10" t="s">
        <v>39</v>
      </c>
      <c r="AW2" s="10" t="s">
        <v>42</v>
      </c>
      <c r="AX2" s="10" t="s">
        <v>43</v>
      </c>
      <c r="BH2" s="14"/>
    </row>
    <row r="3" spans="1:60">
      <c r="A3" s="10">
        <v>2014</v>
      </c>
      <c r="B3" s="10">
        <v>1</v>
      </c>
      <c r="C3" s="11">
        <v>73541829.264479399</v>
      </c>
      <c r="D3" s="11"/>
      <c r="E3" s="11">
        <v>13367097.642000001</v>
      </c>
      <c r="F3" s="11"/>
      <c r="G3" s="12"/>
      <c r="H3" s="12"/>
      <c r="I3" s="12"/>
      <c r="J3" s="15"/>
      <c r="K3" s="16">
        <v>2431521.2590999999</v>
      </c>
      <c r="L3" s="11"/>
      <c r="M3" s="11">
        <v>552644.92299999902</v>
      </c>
      <c r="N3" s="11"/>
      <c r="O3" s="11">
        <v>15657663.7612308</v>
      </c>
      <c r="P3" s="11"/>
      <c r="Q3" s="11">
        <v>16188956.83674</v>
      </c>
      <c r="R3" s="11"/>
      <c r="S3" s="11">
        <v>61899879.651203699</v>
      </c>
      <c r="T3" s="11"/>
      <c r="U3" s="11">
        <v>147745.90426000001</v>
      </c>
      <c r="V3" s="16"/>
      <c r="W3" s="16">
        <v>371095.07358448301</v>
      </c>
      <c r="X3" s="11"/>
      <c r="Y3" s="11">
        <f t="shared" ref="Y3:Y8" si="0">Q3+U3-M3-K3-E3</f>
        <v>-14561.083099998534</v>
      </c>
      <c r="Z3" s="11"/>
      <c r="AA3" s="11">
        <f t="shared" ref="AA3:AA8" si="1">S3-O3-C3</f>
        <v>-27299613.374506503</v>
      </c>
      <c r="AB3" s="11"/>
      <c r="AC3" s="17"/>
      <c r="AD3" s="11">
        <v>3917648861.1710801</v>
      </c>
      <c r="AE3" s="11">
        <v>87.364011981999994</v>
      </c>
      <c r="AF3" s="11">
        <f>AD3*100/AE3</f>
        <v>4484282225.9333181</v>
      </c>
      <c r="AG3" s="11"/>
      <c r="AH3" s="18">
        <f>AA3/AF3</f>
        <v>-6.087844609027615E-3</v>
      </c>
      <c r="AI3" s="14">
        <v>2014</v>
      </c>
      <c r="AJ3" s="19">
        <f>(SUM(AA3:AA6)/AVERAGE(AF3:AF6))</f>
        <v>-2.0764450566254731E-2</v>
      </c>
      <c r="AK3" s="19"/>
      <c r="AM3" s="19"/>
      <c r="AN3" s="19"/>
      <c r="AO3" s="16" t="s">
        <v>44</v>
      </c>
      <c r="AP3" s="19" t="s">
        <v>45</v>
      </c>
      <c r="AQ3" s="19" t="s">
        <v>44</v>
      </c>
      <c r="AR3" s="19" t="s">
        <v>45</v>
      </c>
      <c r="AS3" s="10">
        <v>10923418</v>
      </c>
      <c r="BB3" s="18">
        <f>S3/AF3</f>
        <v>1.3803743059084649E-2</v>
      </c>
      <c r="BC3" s="10">
        <v>2014</v>
      </c>
      <c r="BD3" s="18">
        <f>(SUM(S3:S6)/AVERAGE(AF3:AF6))</f>
        <v>5.6918105137217651E-2</v>
      </c>
      <c r="BE3" s="18">
        <f>(SUM(O3:O6)/AVERAGE(AF3:AF6))</f>
        <v>1.3201759021596645E-2</v>
      </c>
      <c r="BF3" s="18">
        <f>(SUM(C3:C6)/AVERAGE(AF3:AF6))</f>
        <v>6.4480796681875729E-2</v>
      </c>
      <c r="BG3" s="18">
        <f>(SUM(H3:H6)+SUM(J3:J6))/AVERAGE(AF3:AF6)</f>
        <v>0</v>
      </c>
      <c r="BH3" s="19">
        <f t="shared" ref="BH3:BH29" si="2">AJ3-BG3</f>
        <v>-2.0764450566254731E-2</v>
      </c>
    </row>
    <row r="4" spans="1:60">
      <c r="A4" s="10">
        <v>2014</v>
      </c>
      <c r="B4" s="10">
        <v>2</v>
      </c>
      <c r="C4" s="11">
        <v>76536005.645554796</v>
      </c>
      <c r="D4" s="11"/>
      <c r="E4" s="11">
        <v>13911324.754000001</v>
      </c>
      <c r="F4" s="11"/>
      <c r="G4" s="12"/>
      <c r="H4" s="12"/>
      <c r="I4" s="12"/>
      <c r="J4" s="15"/>
      <c r="K4" s="16">
        <v>2156056.4542999999</v>
      </c>
      <c r="L4" s="11"/>
      <c r="M4" s="11">
        <v>571465.44299999997</v>
      </c>
      <c r="N4" s="11"/>
      <c r="O4" s="11">
        <v>14331816.6540251</v>
      </c>
      <c r="P4" s="11"/>
      <c r="Q4" s="11">
        <v>18889074.98367</v>
      </c>
      <c r="R4" s="11"/>
      <c r="S4" s="11">
        <v>72224015.420081005</v>
      </c>
      <c r="T4" s="11"/>
      <c r="U4" s="11">
        <v>150093.53833000001</v>
      </c>
      <c r="V4" s="16"/>
      <c r="W4" s="16">
        <v>376991.65286577999</v>
      </c>
      <c r="X4" s="11"/>
      <c r="Y4" s="11">
        <f t="shared" si="0"/>
        <v>2400321.8706999999</v>
      </c>
      <c r="Z4" s="11"/>
      <c r="AA4" s="11">
        <f t="shared" si="1"/>
        <v>-18643806.879498892</v>
      </c>
      <c r="AB4" s="11"/>
      <c r="AC4" s="17"/>
      <c r="AD4" s="11">
        <v>4702629524.92031</v>
      </c>
      <c r="AE4" s="11">
        <v>92.542254682000006</v>
      </c>
      <c r="AF4" s="11">
        <f>AD4*100/AE4</f>
        <v>5081602497.2374029</v>
      </c>
      <c r="AG4" s="11"/>
      <c r="AH4" s="18">
        <f>AA4/AF4</f>
        <v>-3.6688833669368155E-3</v>
      </c>
      <c r="AI4" s="14">
        <v>2015</v>
      </c>
      <c r="AJ4" s="19">
        <f>SUM(AB14:AB17)/AVERAGE(AF14:AF17)</f>
        <v>-3.2822266915484892E-2</v>
      </c>
      <c r="AK4" s="19"/>
      <c r="AM4" s="19"/>
      <c r="AN4" s="19"/>
      <c r="AO4" s="11">
        <v>545118865</v>
      </c>
      <c r="AP4" s="11">
        <f>AO4</f>
        <v>545118865</v>
      </c>
      <c r="AQ4" s="21">
        <f>AO4/AF17</f>
        <v>9.6335892011156887E-2</v>
      </c>
      <c r="AR4" s="21">
        <f>AP4/AF17</f>
        <v>9.6335892011156887E-2</v>
      </c>
      <c r="AS4" s="10">
        <v>10933469</v>
      </c>
      <c r="AU4" s="10">
        <f t="shared" ref="AU4:AU12" si="3">(AS4-AS3)/AS3</f>
        <v>9.2013324034656552E-4</v>
      </c>
      <c r="BB4" s="18">
        <f>S4/AF4</f>
        <v>1.4212842397520341E-2</v>
      </c>
      <c r="BC4" s="10">
        <v>2015</v>
      </c>
      <c r="BD4" s="18">
        <f>SUM(T14:T17)/AVERAGE(AF14:AF17)</f>
        <v>5.8016302548056821E-2</v>
      </c>
      <c r="BE4" s="18">
        <f>SUM(P14:P17)/AVERAGE(AF14:AF17)</f>
        <v>1.2830632772659245E-2</v>
      </c>
      <c r="BF4" s="18">
        <f>SUM(D14:D17)/AVERAGE(AF14:AF17)</f>
        <v>7.8007936690882476E-2</v>
      </c>
      <c r="BG4" s="18">
        <f>(SUM(H14:H17)+SUM(J14:J17))/AVERAGE(AF14:AF17)</f>
        <v>0</v>
      </c>
      <c r="BH4" s="19">
        <f t="shared" si="2"/>
        <v>-3.2822266915484892E-2</v>
      </c>
    </row>
    <row r="5" spans="1:60">
      <c r="A5" s="10">
        <v>2014</v>
      </c>
      <c r="B5" s="10">
        <v>3</v>
      </c>
      <c r="C5" s="11">
        <v>79948619.698482305</v>
      </c>
      <c r="D5" s="11"/>
      <c r="E5" s="11">
        <v>14531608.437999999</v>
      </c>
      <c r="F5" s="11"/>
      <c r="G5" s="12"/>
      <c r="H5" s="12"/>
      <c r="I5" s="12"/>
      <c r="J5" s="15"/>
      <c r="K5" s="16">
        <v>2697105.9034000002</v>
      </c>
      <c r="L5" s="11"/>
      <c r="M5" s="11">
        <v>618357.67000000004</v>
      </c>
      <c r="N5" s="11"/>
      <c r="O5" s="11">
        <v>17397319.126396801</v>
      </c>
      <c r="P5" s="11"/>
      <c r="Q5" s="11">
        <v>16666086.76898</v>
      </c>
      <c r="R5" s="11"/>
      <c r="S5" s="11">
        <v>63724227.302598797</v>
      </c>
      <c r="T5" s="11"/>
      <c r="U5" s="11">
        <v>145660.84302</v>
      </c>
      <c r="V5" s="16"/>
      <c r="W5" s="16">
        <v>365858.00147638301</v>
      </c>
      <c r="X5" s="11"/>
      <c r="Y5" s="11">
        <f t="shared" si="0"/>
        <v>-1035324.3993999995</v>
      </c>
      <c r="Z5" s="11"/>
      <c r="AA5" s="11">
        <f t="shared" si="1"/>
        <v>-33621711.522280306</v>
      </c>
      <c r="AB5" s="11"/>
      <c r="AC5" s="17"/>
      <c r="AD5" s="11">
        <v>4685503118.6782703</v>
      </c>
      <c r="AE5" s="11">
        <v>96.348619912999993</v>
      </c>
      <c r="AF5" s="11">
        <f>AD5*100/AE5</f>
        <v>4863072374.995245</v>
      </c>
      <c r="AG5" s="11"/>
      <c r="AH5" s="18">
        <f>AA5/AF5</f>
        <v>-6.9136769781908049E-3</v>
      </c>
      <c r="AI5" s="14">
        <v>2016</v>
      </c>
      <c r="AJ5" s="19">
        <f>SUM(AB18:AB21)/AVERAGE(AF18:AF21)</f>
        <v>-3.0568238624316419E-2</v>
      </c>
      <c r="AK5" s="19"/>
      <c r="AM5" s="19"/>
      <c r="AN5" s="19"/>
      <c r="AO5" s="11">
        <v>527406836</v>
      </c>
      <c r="AP5" s="11">
        <f>AO5</f>
        <v>527406836</v>
      </c>
      <c r="AQ5" s="21">
        <f>AO5/AF21</f>
        <v>9.6733053127945015E-2</v>
      </c>
      <c r="AR5" s="21">
        <f>AP5/AF21</f>
        <v>9.6733053127945015E-2</v>
      </c>
      <c r="AS5" s="10">
        <v>10927942</v>
      </c>
      <c r="AU5" s="10">
        <f t="shared" si="3"/>
        <v>-5.0551202001853203E-4</v>
      </c>
      <c r="BB5" s="18">
        <f>S5/AF5</f>
        <v>1.3103697084635945E-2</v>
      </c>
      <c r="BC5" s="10">
        <v>2016</v>
      </c>
      <c r="BD5" s="18">
        <f>SUM(T18:T21)/AVERAGE(AF18:AF21)</f>
        <v>5.6853574673360364E-2</v>
      </c>
      <c r="BE5" s="18">
        <f>SUM(P18:P21)/AVERAGE(AF18:AF21)</f>
        <v>1.268066569713725E-2</v>
      </c>
      <c r="BF5" s="18">
        <f>SUM(D18:D21)/AVERAGE(AF18:AF21)</f>
        <v>7.4741147600539543E-2</v>
      </c>
      <c r="BG5" s="18">
        <f>(SUM(H18:H21)+SUM(J18:J21))/AVERAGE(AF18:AF21)</f>
        <v>2.3570041187072876E-5</v>
      </c>
      <c r="BH5" s="19">
        <f t="shared" si="2"/>
        <v>-3.0591808665503491E-2</v>
      </c>
    </row>
    <row r="6" spans="1:60">
      <c r="A6" s="10">
        <v>2014</v>
      </c>
      <c r="B6" s="10">
        <v>4</v>
      </c>
      <c r="C6" s="11">
        <v>83342500.446047202</v>
      </c>
      <c r="D6" s="11"/>
      <c r="E6" s="11">
        <v>15148485.804</v>
      </c>
      <c r="F6" s="11"/>
      <c r="G6" s="12"/>
      <c r="H6" s="12"/>
      <c r="I6" s="12"/>
      <c r="J6" s="15"/>
      <c r="K6" s="16">
        <v>2598760.7445</v>
      </c>
      <c r="L6" s="11"/>
      <c r="M6" s="11">
        <v>597485.603</v>
      </c>
      <c r="N6" s="11"/>
      <c r="O6" s="11">
        <v>16772169.366415</v>
      </c>
      <c r="P6" s="11"/>
      <c r="Q6" s="11">
        <v>20600306.344000001</v>
      </c>
      <c r="R6" s="11"/>
      <c r="S6" s="11">
        <v>78767056.8481365</v>
      </c>
      <c r="T6" s="11"/>
      <c r="U6" s="11">
        <v>143630.44399999999</v>
      </c>
      <c r="V6" s="16"/>
      <c r="W6" s="16">
        <v>360758.22508998099</v>
      </c>
      <c r="X6" s="11"/>
      <c r="Y6" s="11">
        <f t="shared" si="0"/>
        <v>2399204.6364999991</v>
      </c>
      <c r="Z6" s="11"/>
      <c r="AA6" s="11">
        <f t="shared" si="1"/>
        <v>-21347612.964325704</v>
      </c>
      <c r="AB6" s="11"/>
      <c r="AC6" s="17"/>
      <c r="AD6" s="11">
        <v>5010564196.8707304</v>
      </c>
      <c r="AE6" s="11">
        <v>100</v>
      </c>
      <c r="AF6" s="11">
        <f>AD6*100/AE6</f>
        <v>5010564196.8707304</v>
      </c>
      <c r="AG6" s="11"/>
      <c r="AH6" s="18">
        <f>AA6/AF6</f>
        <v>-4.260520796771354E-3</v>
      </c>
      <c r="AI6" s="14">
        <v>2017</v>
      </c>
      <c r="AJ6" s="19">
        <f>SUM(AB22:AB25)/AVERAGE(AF22:AF25)</f>
        <v>-3.5811975136766108E-2</v>
      </c>
      <c r="AK6" s="19"/>
      <c r="AM6" s="19"/>
      <c r="AN6" s="11">
        <v>46349018</v>
      </c>
      <c r="AO6" s="11">
        <v>580675520</v>
      </c>
      <c r="AP6" s="11">
        <f>AO6</f>
        <v>580675520</v>
      </c>
      <c r="AQ6" s="21">
        <f>AO6/AF25</f>
        <v>0.10103933176461725</v>
      </c>
      <c r="AR6" s="21">
        <f>AP6/AF25</f>
        <v>0.10103933176461725</v>
      </c>
      <c r="AS6" s="10">
        <v>11163575</v>
      </c>
      <c r="AU6" s="10">
        <f t="shared" si="3"/>
        <v>2.1562431425789046E-2</v>
      </c>
      <c r="BB6" s="18">
        <f>S6/AF6</f>
        <v>1.5720197118186657E-2</v>
      </c>
      <c r="BC6" s="10">
        <v>2017</v>
      </c>
      <c r="BD6" s="18">
        <f>SUM(T22:T25)/AVERAGE(AF22:AF25)</f>
        <v>5.635727251093392E-2</v>
      </c>
      <c r="BE6" s="18">
        <f>SUM(P22:P25)/AVERAGE(AF22:AF25)</f>
        <v>1.5577359269079334E-2</v>
      </c>
      <c r="BF6" s="18">
        <f>SUM(D22:D25)/AVERAGE(AF22:AF25)</f>
        <v>7.6591888378620687E-2</v>
      </c>
      <c r="BG6" s="18">
        <f>(SUM(H22:H25)+SUM(J22:J25))/AVERAGE(AF22:AF25)</f>
        <v>4.6394536051195531E-4</v>
      </c>
      <c r="BH6" s="19">
        <f t="shared" si="2"/>
        <v>-3.6275920497278062E-2</v>
      </c>
    </row>
    <row r="7" spans="1:60">
      <c r="A7" s="10">
        <v>2015</v>
      </c>
      <c r="B7" s="10">
        <v>1</v>
      </c>
      <c r="C7" s="11">
        <v>87220448.7038403</v>
      </c>
      <c r="D7" s="11"/>
      <c r="E7" s="11">
        <v>15853348.733999999</v>
      </c>
      <c r="F7" s="11"/>
      <c r="G7" s="12"/>
      <c r="H7" s="12"/>
      <c r="I7" s="12"/>
      <c r="J7" s="15"/>
      <c r="K7" s="16">
        <v>3002195.4358999999</v>
      </c>
      <c r="L7" s="11"/>
      <c r="M7" s="11">
        <v>654530.51300000004</v>
      </c>
      <c r="N7" s="11"/>
      <c r="O7" s="11">
        <v>19179435.069263499</v>
      </c>
      <c r="P7" s="11"/>
      <c r="Q7" s="11">
        <v>18139908.10636</v>
      </c>
      <c r="R7" s="11"/>
      <c r="S7" s="11">
        <v>69359510.930272505</v>
      </c>
      <c r="T7" s="11"/>
      <c r="U7" s="11">
        <v>167252.22263999999</v>
      </c>
      <c r="V7" s="16"/>
      <c r="W7" s="16">
        <v>420089.31603637501</v>
      </c>
      <c r="X7" s="11"/>
      <c r="Y7" s="11">
        <f t="shared" si="0"/>
        <v>-1202914.3538999986</v>
      </c>
      <c r="Z7" s="11"/>
      <c r="AA7" s="11">
        <f t="shared" si="1"/>
        <v>-37040372.842831299</v>
      </c>
      <c r="AB7" s="11"/>
      <c r="AC7" s="17"/>
      <c r="AD7" s="11"/>
      <c r="AE7" s="11"/>
      <c r="AF7" s="11"/>
      <c r="AG7" s="11"/>
      <c r="AH7" s="18"/>
      <c r="AI7" s="14">
        <f t="shared" ref="AI7:AI29" si="4">AI6+1</f>
        <v>2018</v>
      </c>
      <c r="AJ7" s="19">
        <f>SUM(AB26:AB29)/AVERAGE(AF26:AF29)</f>
        <v>-3.16905533474875E-2</v>
      </c>
      <c r="AK7" s="11">
        <v>35454286</v>
      </c>
      <c r="AL7" s="19">
        <f>AK7/AVERAGE(AF26:AF29)</f>
        <v>6.1854613095074307E-3</v>
      </c>
      <c r="AM7" s="19">
        <f>(AF29-AF25)/AF25</f>
        <v>4.6700613798662631E-3</v>
      </c>
      <c r="AN7" s="11">
        <f>+ (((((((((((AN6*((1+AM7)^(1/12))-AK7/12)*((1+AM7)^(1/12))-AK7/12)*((1+AM7)^(1/12))-AK7/12)*((1+AM7)^(1/12))-AK7/12)*((1+AM7)^(1/12))-AK7/12)*((1+AM7)^(1/12))-AK7/12)*((1+AM7)^(1/12))-AK7/12)*((1+AM7)^(1/12))-AK7/12)*((1+AM7)^(1/12))-AK7/12)*((1+AM7)^(1/12))-AK7/12)*((1+AM7)^(1/12))-AK7/12)*((1+AM7)^(1/12))-AK7/12</f>
        <v>11035360.657037707</v>
      </c>
      <c r="AO7" s="11">
        <f t="shared" ref="AO7:AO29" si="5">AO6*(1+AM7)</f>
        <v>583387310.32018578</v>
      </c>
      <c r="AP7" s="11">
        <f>AO7</f>
        <v>583387310.32018578</v>
      </c>
      <c r="AQ7" s="21">
        <f>AO7/AF29</f>
        <v>0.10103933176461725</v>
      </c>
      <c r="AR7" s="21">
        <f>AP7/AF29</f>
        <v>0.10103933176461725</v>
      </c>
      <c r="AS7" s="10">
        <v>11012334</v>
      </c>
      <c r="AU7" s="10">
        <f t="shared" si="3"/>
        <v>-1.3547721048140941E-2</v>
      </c>
      <c r="BB7" s="18">
        <f t="shared" ref="BB7:BB38" si="6">T14/AF14</f>
        <v>1.3827254222720351E-2</v>
      </c>
      <c r="BC7" s="10">
        <f t="shared" ref="BC7:BC29" si="7">BC6+1</f>
        <v>2018</v>
      </c>
      <c r="BD7" s="18">
        <f>SUM(T26:T29)/AVERAGE(AF26:AF29)</f>
        <v>5.6179448778704157E-2</v>
      </c>
      <c r="BE7" s="18">
        <f>SUM(P26:P29)/AVERAGE(AF26:AF29)</f>
        <v>1.3694140687052802E-2</v>
      </c>
      <c r="BF7" s="18">
        <f>SUM(D26:D29)/AVERAGE(AF26:AF29)</f>
        <v>7.4175861439138846E-2</v>
      </c>
      <c r="BG7" s="18">
        <f>(SUM(H26:H29)+SUM(J26:J29))/AVERAGE(AF26:AF29)</f>
        <v>9.0531620697092985E-4</v>
      </c>
      <c r="BH7" s="19">
        <f t="shared" si="2"/>
        <v>-3.259586955445843E-2</v>
      </c>
    </row>
    <row r="8" spans="1:60">
      <c r="A8" s="10">
        <v>2015</v>
      </c>
      <c r="B8" s="10">
        <v>2</v>
      </c>
      <c r="C8" s="11">
        <v>94524704.7581871</v>
      </c>
      <c r="D8" s="11"/>
      <c r="E8" s="11">
        <v>17180984.028999999</v>
      </c>
      <c r="F8" s="11"/>
      <c r="G8" s="12"/>
      <c r="H8" s="12"/>
      <c r="I8" s="12"/>
      <c r="J8" s="15"/>
      <c r="K8" s="16">
        <v>2371185.1833000001</v>
      </c>
      <c r="L8" s="11"/>
      <c r="M8" s="11">
        <v>696491.069000002</v>
      </c>
      <c r="N8" s="16"/>
      <c r="O8" s="16">
        <v>16135978.221071601</v>
      </c>
      <c r="P8" s="16"/>
      <c r="Q8" s="11">
        <v>21552530.200959999</v>
      </c>
      <c r="R8" s="11"/>
      <c r="S8" s="11">
        <v>82407967.299702004</v>
      </c>
      <c r="T8" s="16"/>
      <c r="U8" s="16">
        <v>188439.08603999999</v>
      </c>
      <c r="V8" s="16"/>
      <c r="W8" s="16">
        <v>473304.60259085899</v>
      </c>
      <c r="X8" s="11"/>
      <c r="Y8" s="11">
        <f t="shared" si="0"/>
        <v>1492309.0056999996</v>
      </c>
      <c r="Z8" s="11"/>
      <c r="AA8" s="11">
        <f t="shared" si="1"/>
        <v>-28252715.679556698</v>
      </c>
      <c r="AB8" s="11"/>
      <c r="AC8" s="17"/>
      <c r="AD8" s="11"/>
      <c r="AE8" s="11"/>
      <c r="AF8" s="11"/>
      <c r="AG8" s="11"/>
      <c r="AH8" s="18"/>
      <c r="AI8" s="14">
        <f t="shared" si="4"/>
        <v>2019</v>
      </c>
      <c r="AJ8" s="19">
        <f>SUM(AB30:AB33)/AVERAGE(AF30:AF33)</f>
        <v>-3.0669838728880822E-2</v>
      </c>
      <c r="AK8" s="11">
        <v>34374528</v>
      </c>
      <c r="AL8" s="19">
        <f>AK8/AVERAGE(AF30:AF33)</f>
        <v>5.9002692047941526E-3</v>
      </c>
      <c r="AM8" s="19">
        <f>(AF33-AF29)/AF29</f>
        <v>1.3086135997691704E-2</v>
      </c>
      <c r="AN8" s="11">
        <f>((((AN7*((1+AM8)^(1/12))-AK8/12)*((1+AM8)^(1/12))-AK8/12)*((1+AM8)^(1/12))-AK8/12)*((1+AM8)^(1/12))-AK8/12)*((1+AM8)^(1/12))-AK8/12</f>
        <v>-3258502.5482300175</v>
      </c>
      <c r="AO8" s="11">
        <f t="shared" si="5"/>
        <v>591021596.00236332</v>
      </c>
      <c r="AP8" s="11">
        <f>((((((((AO7*((1+AM8)^(4/12)))*((1+AM8)^(1/12))+AN8)*((1+AM8)^(1/12))-AK8/12)*((1+AM8)^(1/12))-AK8/12)*((1+AM8)^(1/12))-AK8/12)*((1+AM8)^(1/12))-AK8/12)*((1+AM8)^(1/12))-AK8/12)*((1+AM8)^(1/12))-AK8/12)*((1+AM8)^(1/12))-AK8/12</f>
        <v>567621150.89845514</v>
      </c>
      <c r="AQ8" s="21">
        <f>AO8/AF33</f>
        <v>0.10103933176461725</v>
      </c>
      <c r="AR8" s="21">
        <f>AP8/AF33</f>
        <v>9.7038859781383602E-2</v>
      </c>
      <c r="AS8" s="10">
        <v>11082939</v>
      </c>
      <c r="AU8" s="10">
        <f t="shared" si="3"/>
        <v>6.4114473825439729E-3</v>
      </c>
      <c r="BB8" s="18">
        <f t="shared" si="6"/>
        <v>1.4927503834836226E-2</v>
      </c>
      <c r="BC8" s="10">
        <f t="shared" si="7"/>
        <v>2019</v>
      </c>
      <c r="BD8" s="18">
        <f>SUM(T30:T33)/AVERAGE(AF30:AF33)</f>
        <v>5.6359086171352164E-2</v>
      </c>
      <c r="BE8" s="18">
        <f>SUM(P30:P33)/AVERAGE(AF30:AF33)</f>
        <v>1.2741235250572525E-2</v>
      </c>
      <c r="BF8" s="18">
        <f>SUM(D30:D33)/AVERAGE(AF30:AF33)</f>
        <v>7.4287689649660468E-2</v>
      </c>
      <c r="BG8" s="18">
        <f>(SUM(H30:H33)+SUM(J30:J33))/AVERAGE(AF30:AF33)</f>
        <v>1.3257994489082531E-3</v>
      </c>
      <c r="BH8" s="19">
        <f t="shared" si="2"/>
        <v>-3.1995638177789075E-2</v>
      </c>
    </row>
    <row r="9" spans="1:60">
      <c r="A9" s="10">
        <v>2016</v>
      </c>
      <c r="B9" s="10">
        <v>2</v>
      </c>
      <c r="C9" s="11">
        <v>97915025.902647793</v>
      </c>
      <c r="D9" s="11"/>
      <c r="E9" s="11">
        <v>17797214.875</v>
      </c>
      <c r="F9" s="11"/>
      <c r="G9" s="12"/>
      <c r="H9" s="12"/>
      <c r="I9" s="12"/>
      <c r="J9" s="15"/>
      <c r="K9" s="16"/>
      <c r="L9" s="11"/>
      <c r="M9" s="11">
        <v>732730.52299999795</v>
      </c>
      <c r="N9" s="16"/>
      <c r="O9" s="16"/>
      <c r="P9" s="16"/>
      <c r="Q9" s="11"/>
      <c r="R9" s="11"/>
      <c r="S9" s="11"/>
      <c r="T9" s="16"/>
      <c r="U9" s="16"/>
      <c r="V9" s="16"/>
      <c r="W9" s="16"/>
      <c r="X9" s="11"/>
      <c r="Y9" s="11"/>
      <c r="Z9" s="11"/>
      <c r="AA9" s="11"/>
      <c r="AB9" s="11"/>
      <c r="AC9" s="17"/>
      <c r="AD9" s="11"/>
      <c r="AE9" s="11"/>
      <c r="AF9" s="11"/>
      <c r="AG9" s="11"/>
      <c r="AH9" s="18"/>
      <c r="AI9" s="14">
        <f t="shared" si="4"/>
        <v>2020</v>
      </c>
      <c r="AJ9" s="19">
        <f>SUM(AB34:AB37)/AVERAGE(AF34:AF37)</f>
        <v>-3.4307336603773615E-2</v>
      </c>
      <c r="AK9" s="11">
        <v>32846590</v>
      </c>
      <c r="AL9" s="19">
        <f>AK9/AVERAGE(AF34:AF37)</f>
        <v>5.6493670962468262E-3</v>
      </c>
      <c r="AM9" s="19">
        <f>(AF37-AF33)/AF33</f>
        <v>-5.0666807159856402E-3</v>
      </c>
      <c r="AN9" s="19"/>
      <c r="AO9" s="11">
        <f t="shared" si="5"/>
        <v>588027078.27916718</v>
      </c>
      <c r="AP9" s="11">
        <f t="shared" ref="AP9:AP29" si="8">(((((((((((AP8*((1+AM9)^(1/12))-AK9/12)*((1+AM9)^(1/12))-AK9/12)*((1+AM9)^(1/12))-AK9/12)*((1+AM9)^(1/12))-AK9/12)*((1+AM9)^(1/12))-AK9/12)*((1+AM9)^(1/12))-AK9/12)*((1+AM9)^(1/12))-AK9/12)*((1+AM9)^(1/12))-AK9/12)*((1+AM9)^(1/12))-AK9/12)*((1+AM9)^(1/12))-AK9/12)*((1+AM9)^(1/12))-AK9/12)*((1+AM9)^(1/12))-AK9/12</f>
        <v>531974953.0090785</v>
      </c>
      <c r="AQ9" s="21">
        <f>AO9/AF37</f>
        <v>0.10103933176461727</v>
      </c>
      <c r="AR9" s="21">
        <f>AP9/AF37</f>
        <v>9.1408024822341338E-2</v>
      </c>
      <c r="AS9" s="10">
        <v>11339977</v>
      </c>
      <c r="AU9" s="10">
        <f t="shared" si="3"/>
        <v>2.3192223651145243E-2</v>
      </c>
      <c r="BB9" s="18">
        <f t="shared" si="6"/>
        <v>1.3592051892300453E-2</v>
      </c>
      <c r="BC9" s="10">
        <f t="shared" si="7"/>
        <v>2020</v>
      </c>
      <c r="BD9" s="18">
        <f>SUM(T34:T37)/AVERAGE(AF34:AF37)</f>
        <v>5.5957294258163974E-2</v>
      </c>
      <c r="BE9" s="18">
        <f>SUM(P34:P37)/AVERAGE(AF34:AF37)</f>
        <v>1.2827101412228594E-2</v>
      </c>
      <c r="BF9" s="18">
        <f>SUM(D34:D37)/AVERAGE(AF34:AF37)</f>
        <v>7.7437529449708997E-2</v>
      </c>
      <c r="BG9" s="18">
        <f>(SUM(H34:H37)+SUM(J34:J37))/AVERAGE(AF34:AF37)</f>
        <v>1.7829194705879881E-3</v>
      </c>
      <c r="BH9" s="19">
        <f t="shared" si="2"/>
        <v>-3.6090256074361601E-2</v>
      </c>
    </row>
    <row r="10" spans="1:60">
      <c r="A10" s="10">
        <v>2016</v>
      </c>
      <c r="B10" s="10">
        <v>3</v>
      </c>
      <c r="C10" s="11">
        <v>100917465.84456199</v>
      </c>
      <c r="D10" s="11"/>
      <c r="E10" s="11">
        <v>18342943.715</v>
      </c>
      <c r="F10" s="11"/>
      <c r="G10" s="12"/>
      <c r="H10" s="12"/>
      <c r="I10" s="12"/>
      <c r="J10" s="15"/>
      <c r="K10" s="16"/>
      <c r="L10" s="11"/>
      <c r="M10" s="11">
        <v>775294.91</v>
      </c>
      <c r="N10" s="16"/>
      <c r="O10" s="16"/>
      <c r="P10" s="16"/>
      <c r="Q10" s="11"/>
      <c r="R10" s="11"/>
      <c r="S10" s="11"/>
      <c r="T10" s="16"/>
      <c r="U10" s="11"/>
      <c r="V10" s="16"/>
      <c r="W10" s="16"/>
      <c r="X10" s="11"/>
      <c r="Y10" s="11"/>
      <c r="Z10" s="11"/>
      <c r="AA10" s="11"/>
      <c r="AB10" s="11"/>
      <c r="AC10" s="17"/>
      <c r="AD10" s="11"/>
      <c r="AE10" s="11"/>
      <c r="AF10" s="11"/>
      <c r="AG10" s="11"/>
      <c r="AH10" s="18"/>
      <c r="AI10" s="14">
        <f t="shared" si="4"/>
        <v>2021</v>
      </c>
      <c r="AJ10" s="19">
        <f>SUM(AB38:AB41)/AVERAGE(AF38:AF41)</f>
        <v>-3.5663222430784111E-2</v>
      </c>
      <c r="AK10" s="11">
        <v>31057760</v>
      </c>
      <c r="AL10" s="19">
        <f>AK10/AVERAGE(AF38:AF41)</f>
        <v>5.3362886504881493E-3</v>
      </c>
      <c r="AM10" s="19">
        <f>(AF41-AF37)/AF37</f>
        <v>2.8719318446439159E-3</v>
      </c>
      <c r="AN10" s="19"/>
      <c r="AO10" s="11">
        <f t="shared" si="5"/>
        <v>589715851.97079003</v>
      </c>
      <c r="AP10" s="11">
        <f t="shared" si="8"/>
        <v>502404128.59099531</v>
      </c>
      <c r="AQ10" s="21">
        <f>AO10/AF41</f>
        <v>0.10103933176461727</v>
      </c>
      <c r="AR10" s="21">
        <f>AP10/AF41</f>
        <v>8.6079723410815476E-2</v>
      </c>
      <c r="AS10" s="10">
        <v>11479064</v>
      </c>
      <c r="AU10" s="10">
        <f t="shared" si="3"/>
        <v>1.2265192424993455E-2</v>
      </c>
      <c r="BB10" s="18">
        <f t="shared" si="6"/>
        <v>1.5585340256804801E-2</v>
      </c>
      <c r="BC10" s="10">
        <f t="shared" si="7"/>
        <v>2021</v>
      </c>
      <c r="BD10" s="18">
        <f>SUM(T38:T41)/AVERAGE(AF38:AF41)</f>
        <v>5.572581591083884E-2</v>
      </c>
      <c r="BE10" s="18">
        <f>SUM(P38:P41)/AVERAGE(AF38:AF41)</f>
        <v>1.2600592334119864E-2</v>
      </c>
      <c r="BF10" s="18">
        <f>SUM(D38:D41)/AVERAGE(AF38:AF41)</f>
        <v>7.8788446007503093E-2</v>
      </c>
      <c r="BG10" s="18">
        <f>(SUM(H38:H41)+SUM(J38:J41))/AVERAGE(AF38:AF41)</f>
        <v>2.2148226382957773E-3</v>
      </c>
      <c r="BH10" s="19">
        <f t="shared" si="2"/>
        <v>-3.7878045069079887E-2</v>
      </c>
    </row>
    <row r="11" spans="1:60">
      <c r="A11" s="10">
        <v>2016</v>
      </c>
      <c r="B11" s="10">
        <v>4</v>
      </c>
      <c r="C11" s="11">
        <v>108710229.285033</v>
      </c>
      <c r="D11" s="11"/>
      <c r="E11" s="11">
        <v>19759371.113000002</v>
      </c>
      <c r="F11" s="11"/>
      <c r="G11" s="12"/>
      <c r="H11" s="12"/>
      <c r="I11" s="12"/>
      <c r="J11" s="15"/>
      <c r="K11" s="16"/>
      <c r="L11" s="11"/>
      <c r="M11" s="11">
        <v>832906.25299999898</v>
      </c>
      <c r="N11" s="16"/>
      <c r="O11" s="16"/>
      <c r="P11" s="11"/>
      <c r="Q11" s="11"/>
      <c r="R11" s="11"/>
      <c r="S11" s="11"/>
      <c r="T11" s="16"/>
      <c r="U11" s="16"/>
      <c r="V11" s="16"/>
      <c r="W11" s="16"/>
      <c r="X11" s="11"/>
      <c r="Y11" s="11"/>
      <c r="Z11" s="11"/>
      <c r="AA11" s="11"/>
      <c r="AB11" s="11"/>
      <c r="AC11" s="17"/>
      <c r="AD11" s="11"/>
      <c r="AE11" s="11"/>
      <c r="AF11" s="11"/>
      <c r="AG11" s="11"/>
      <c r="AH11" s="18"/>
      <c r="AI11" s="14">
        <f t="shared" si="4"/>
        <v>2022</v>
      </c>
      <c r="AJ11" s="19">
        <f>SUM(AB42:AB45)/AVERAGE(AF42:AF45)</f>
        <v>-3.7140187170987486E-2</v>
      </c>
      <c r="AK11" s="11">
        <v>29301799</v>
      </c>
      <c r="AL11" s="19">
        <f>AK11/AVERAGE(AF42:AF45)</f>
        <v>5.0087932923144939E-3</v>
      </c>
      <c r="AM11" s="19">
        <f>(AF45-AF41)/AF41</f>
        <v>2.7943867401580024E-3</v>
      </c>
      <c r="AN11" s="19"/>
      <c r="AO11" s="11">
        <f t="shared" si="5"/>
        <v>591363746.12799823</v>
      </c>
      <c r="AP11" s="11">
        <f t="shared" si="8"/>
        <v>474468731.34511989</v>
      </c>
      <c r="AQ11" s="21">
        <f>AO11/AF45</f>
        <v>0.10103933176461728</v>
      </c>
      <c r="AR11" s="21">
        <f>AP11/AF45</f>
        <v>8.1066862607333756E-2</v>
      </c>
      <c r="AS11" s="10">
        <v>11462881</v>
      </c>
      <c r="AU11" s="10">
        <f t="shared" si="3"/>
        <v>-1.4097839336029488E-3</v>
      </c>
      <c r="BB11" s="18">
        <f t="shared" si="6"/>
        <v>1.3648937813796651E-2</v>
      </c>
      <c r="BC11" s="10">
        <f t="shared" si="7"/>
        <v>2022</v>
      </c>
      <c r="BD11" s="18">
        <f>SUM(T42:T45)/AVERAGE(AF42:AF45)</f>
        <v>5.5775058184481106E-2</v>
      </c>
      <c r="BE11" s="18">
        <f>SUM(P42:P45)/AVERAGE(AF42:AF45)</f>
        <v>1.2546786384943436E-2</v>
      </c>
      <c r="BF11" s="18">
        <f>SUM(D42:D45)/AVERAGE(AF42:AF45)</f>
        <v>8.0368458970525164E-2</v>
      </c>
      <c r="BG11" s="18">
        <f>(SUM(H42:H45)+SUM(J42:J45))/AVERAGE(AF42:AF45)</f>
        <v>2.7741091108051058E-3</v>
      </c>
      <c r="BH11" s="19">
        <f t="shared" si="2"/>
        <v>-3.9914296281792591E-2</v>
      </c>
    </row>
    <row r="12" spans="1:60" ht="11.5" customHeight="1">
      <c r="A12" s="10">
        <v>2017</v>
      </c>
      <c r="B12" s="10">
        <v>1</v>
      </c>
      <c r="C12" s="11">
        <v>106787377.90249901</v>
      </c>
      <c r="D12" s="11"/>
      <c r="E12" s="11">
        <v>19409869.568</v>
      </c>
      <c r="F12" s="11"/>
      <c r="G12" s="12"/>
      <c r="H12" s="12"/>
      <c r="I12" s="12"/>
      <c r="J12" s="15"/>
      <c r="K12" s="16"/>
      <c r="L12" s="11"/>
      <c r="M12" s="11">
        <v>832988.16000000003</v>
      </c>
      <c r="N12" s="16"/>
      <c r="O12" s="16"/>
      <c r="P12" s="16"/>
      <c r="Q12" s="11"/>
      <c r="R12" s="11"/>
      <c r="S12" s="11"/>
      <c r="T12" s="16"/>
      <c r="U12" s="16"/>
      <c r="V12" s="16"/>
      <c r="W12" s="16"/>
      <c r="X12" s="11"/>
      <c r="Y12" s="11"/>
      <c r="Z12" s="11"/>
      <c r="AA12" s="11"/>
      <c r="AB12" s="11"/>
      <c r="AC12" s="17"/>
      <c r="AD12" s="11"/>
      <c r="AE12" s="11"/>
      <c r="AF12" s="11"/>
      <c r="AG12" s="11"/>
      <c r="AH12" s="18"/>
      <c r="AI12" s="14">
        <f t="shared" si="4"/>
        <v>2023</v>
      </c>
      <c r="AJ12" s="19">
        <f>SUM(AB46:AB49)/AVERAGE(AF46:AF49)</f>
        <v>-3.8794589567431377E-2</v>
      </c>
      <c r="AK12" s="11">
        <v>27587484</v>
      </c>
      <c r="AL12" s="19">
        <f>AK12/AVERAGE(AF46:AF49)</f>
        <v>4.6949089704219436E-3</v>
      </c>
      <c r="AM12" s="19">
        <f>(AF49-AF45)/AF45</f>
        <v>1.2898446127660919E-2</v>
      </c>
      <c r="AN12" s="19"/>
      <c r="AO12" s="11">
        <f t="shared" si="5"/>
        <v>598991419.54928195</v>
      </c>
      <c r="AP12" s="11">
        <f t="shared" si="8"/>
        <v>452838442.75550818</v>
      </c>
      <c r="AQ12" s="21">
        <f>AO12/AF49</f>
        <v>0.10103933176461727</v>
      </c>
      <c r="AR12" s="21">
        <f>AP12/AF49</f>
        <v>7.6385891617237092E-2</v>
      </c>
      <c r="AS12" s="10">
        <v>11332510</v>
      </c>
      <c r="AU12" s="10">
        <f t="shared" si="3"/>
        <v>-1.1373318801791626E-2</v>
      </c>
      <c r="BB12" s="18">
        <f t="shared" si="6"/>
        <v>1.4371126013635339E-2</v>
      </c>
      <c r="BC12" s="10">
        <f t="shared" si="7"/>
        <v>2023</v>
      </c>
      <c r="BD12" s="18">
        <f>SUM(T46:T49)/AVERAGE(AF46:AF49)</f>
        <v>5.5548852731084827E-2</v>
      </c>
      <c r="BE12" s="18">
        <f>SUM(P46:P49)/AVERAGE(AF46:AF49)</f>
        <v>1.2545209797117457E-2</v>
      </c>
      <c r="BF12" s="18">
        <f>SUM(D46:D49)/AVERAGE(AF46:AF49)</f>
        <v>8.179823250139874E-2</v>
      </c>
      <c r="BG12" s="18">
        <f>(SUM(H46:H49)+SUM(J46:J49))/AVERAGE(AF46:AF49)</f>
        <v>3.213711264503134E-3</v>
      </c>
      <c r="BH12" s="19">
        <f t="shared" si="2"/>
        <v>-4.2008300831934513E-2</v>
      </c>
    </row>
    <row r="13" spans="1:60">
      <c r="C13" s="22"/>
      <c r="E13" s="23"/>
      <c r="F13" s="23"/>
      <c r="G13" s="24"/>
      <c r="H13" s="24"/>
      <c r="I13" s="24"/>
      <c r="J13" s="24"/>
      <c r="K13" s="23"/>
      <c r="L13" s="23"/>
      <c r="M13" s="23"/>
      <c r="N13" s="23"/>
      <c r="O13" s="22"/>
      <c r="P13" s="23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5"/>
      <c r="AD13" s="23"/>
      <c r="AE13" s="23"/>
      <c r="AF13" s="23"/>
      <c r="AG13" s="23"/>
      <c r="AH13" s="20"/>
      <c r="AI13" s="26">
        <f t="shared" si="4"/>
        <v>2024</v>
      </c>
      <c r="AJ13" s="27">
        <f>SUM(AB50:AB53)/AVERAGE(AF50:AF53)</f>
        <v>-4.0147901095670076E-2</v>
      </c>
      <c r="AK13" s="23">
        <v>25946868</v>
      </c>
      <c r="AL13" s="27">
        <f>AK13/AVERAGE(AF50:AF53)</f>
        <v>4.3845942470218235E-3</v>
      </c>
      <c r="AM13" s="27">
        <f>(AF53-AF49)/AF49</f>
        <v>-2.9664876403014814E-3</v>
      </c>
      <c r="AN13" s="27"/>
      <c r="AO13" s="23">
        <f t="shared" si="5"/>
        <v>597214518.90654242</v>
      </c>
      <c r="AP13" s="23">
        <f t="shared" si="8"/>
        <v>425583532.43975073</v>
      </c>
      <c r="AQ13" s="28">
        <f>AO13/AF53</f>
        <v>0.10103933176461728</v>
      </c>
      <c r="AR13" s="28">
        <f>AP13/AF53</f>
        <v>7.2002060175075669E-2</v>
      </c>
      <c r="BB13" s="20">
        <f t="shared" si="6"/>
        <v>1.3371306482896883E-2</v>
      </c>
      <c r="BC13">
        <f t="shared" si="7"/>
        <v>2024</v>
      </c>
      <c r="BD13" s="20">
        <f>SUM(T50:T53)/AVERAGE(AF50:AF53)</f>
        <v>5.5267118856808586E-2</v>
      </c>
      <c r="BE13" s="20">
        <f>SUM(P50:P53)/AVERAGE(AF50:AF53)</f>
        <v>1.2515347922268881E-2</v>
      </c>
      <c r="BF13" s="20">
        <f>SUM(D50:D53)/AVERAGE(AF50:AF53)</f>
        <v>8.2899672030209787E-2</v>
      </c>
      <c r="BG13" s="20">
        <f>(SUM(H50:H53)+SUM(J50:J53))/AVERAGE(AF50:AF53)</f>
        <v>3.7600248117556304E-3</v>
      </c>
      <c r="BH13" s="27">
        <f t="shared" si="2"/>
        <v>-4.3907925907425704E-2</v>
      </c>
    </row>
    <row r="14" spans="1:60" s="29" customFormat="1">
      <c r="A14" s="29">
        <v>2015</v>
      </c>
      <c r="B14" s="29">
        <v>1</v>
      </c>
      <c r="C14" s="30"/>
      <c r="D14" s="51">
        <v>94935467.946732298</v>
      </c>
      <c r="E14" s="30"/>
      <c r="F14" s="33">
        <v>17255645.071814399</v>
      </c>
      <c r="G14" s="52">
        <v>0</v>
      </c>
      <c r="H14" s="52">
        <v>0</v>
      </c>
      <c r="I14" s="52">
        <v>0</v>
      </c>
      <c r="J14" s="52">
        <v>0</v>
      </c>
      <c r="K14" s="30"/>
      <c r="L14" s="51">
        <v>2539896.5458378801</v>
      </c>
      <c r="M14" s="33"/>
      <c r="N14" s="51">
        <v>705811.99728036299</v>
      </c>
      <c r="O14" s="30"/>
      <c r="P14" s="51">
        <v>17062704.611343101</v>
      </c>
      <c r="Q14" s="33"/>
      <c r="R14" s="51">
        <v>17864532.4008561</v>
      </c>
      <c r="S14" s="33"/>
      <c r="T14" s="33">
        <v>68306587.984066293</v>
      </c>
      <c r="U14" s="30"/>
      <c r="V14" s="51">
        <v>116424.766458671</v>
      </c>
      <c r="W14" s="33"/>
      <c r="X14" s="51">
        <v>292425.44715261302</v>
      </c>
      <c r="Y14" s="30"/>
      <c r="Z14" s="30">
        <f t="shared" ref="Z14:Z45" si="9">R14+V14-N14-L14-F14</f>
        <v>-2520396.4476178698</v>
      </c>
      <c r="AA14" s="30"/>
      <c r="AB14" s="30">
        <f t="shared" ref="AB14:AB45" si="10">T14-P14-D14</f>
        <v>-43691584.574009106</v>
      </c>
      <c r="AC14" s="17"/>
      <c r="AD14" s="30">
        <v>5092693740.32864</v>
      </c>
      <c r="AE14" s="30">
        <v>103.09103866</v>
      </c>
      <c r="AF14" s="30">
        <f t="shared" ref="AF14:AF25" si="11">AD14*100/AE14</f>
        <v>4939996537.5502996</v>
      </c>
      <c r="AG14" s="30"/>
      <c r="AH14" s="34">
        <f t="shared" ref="AH14:AH45" si="12">AB14/AF14</f>
        <v>-8.8444565177115235E-3</v>
      </c>
      <c r="AI14" s="35">
        <f t="shared" si="4"/>
        <v>2025</v>
      </c>
      <c r="AJ14" s="36">
        <f>SUM(AB54:AB57)/AVERAGE(AF54:AF57)</f>
        <v>-4.2810633504478064E-2</v>
      </c>
      <c r="AK14" s="30">
        <v>24286256</v>
      </c>
      <c r="AL14" s="36">
        <f>AK14/AVERAGE(AF54:AF57)</f>
        <v>4.1175819453007981E-3</v>
      </c>
      <c r="AM14" s="36">
        <f>(AF57-AF53)/AF53</f>
        <v>7.6194591925555024E-4</v>
      </c>
      <c r="AN14" s="36"/>
      <c r="AO14" s="30">
        <f t="shared" si="5"/>
        <v>597669564.07214344</v>
      </c>
      <c r="AP14" s="30">
        <f t="shared" si="8"/>
        <v>401613067.86903971</v>
      </c>
      <c r="AQ14" s="37">
        <f>AO14/AF57</f>
        <v>0.10103933176461728</v>
      </c>
      <c r="AR14" s="37">
        <f>AP14/AF57</f>
        <v>6.7894901204183608E-2</v>
      </c>
      <c r="AT14" s="29">
        <v>11004289</v>
      </c>
      <c r="AV14" s="29">
        <f>(AT14-AS6)/AS6</f>
        <v>-1.4268368331829186E-2</v>
      </c>
      <c r="AW14" s="53">
        <v>6368.9065332603705</v>
      </c>
      <c r="BB14" s="34">
        <f t="shared" si="6"/>
        <v>1.5435953799932029E-2</v>
      </c>
      <c r="BC14" s="29">
        <f t="shared" si="7"/>
        <v>2025</v>
      </c>
      <c r="BD14" s="34">
        <f>SUM(T54:T57)/AVERAGE(AF54:AF57)</f>
        <v>5.5042000545658491E-2</v>
      </c>
      <c r="BE14" s="34">
        <f>SUM(P54:P57)/AVERAGE(AF54:AF57)</f>
        <v>1.2539968310211033E-2</v>
      </c>
      <c r="BF14" s="34">
        <f>SUM(D54:D57)/AVERAGE(AF54:AF57)</f>
        <v>8.5312665739925533E-2</v>
      </c>
      <c r="BG14" s="34">
        <f>(SUM(H54:H57)+SUM(J54:J57))/AVERAGE(AF54:AF57)</f>
        <v>5.2046846381523116E-3</v>
      </c>
      <c r="BH14" s="36">
        <f t="shared" si="2"/>
        <v>-4.8015318142630374E-2</v>
      </c>
    </row>
    <row r="15" spans="1:60" s="39" customFormat="1">
      <c r="A15" s="39">
        <v>2015</v>
      </c>
      <c r="B15" s="39">
        <v>2</v>
      </c>
      <c r="C15" s="40"/>
      <c r="D15" s="54">
        <v>109339014.260114</v>
      </c>
      <c r="E15" s="40"/>
      <c r="F15" s="43">
        <v>19873660.112290099</v>
      </c>
      <c r="G15" s="55">
        <v>0</v>
      </c>
      <c r="H15" s="55">
        <v>0</v>
      </c>
      <c r="I15" s="55">
        <v>0</v>
      </c>
      <c r="J15" s="55">
        <v>0</v>
      </c>
      <c r="K15" s="40"/>
      <c r="L15" s="54">
        <v>2236649.19177722</v>
      </c>
      <c r="M15" s="43"/>
      <c r="N15" s="54">
        <v>815524.15203720704</v>
      </c>
      <c r="O15" s="40"/>
      <c r="P15" s="54">
        <v>16092756.5546983</v>
      </c>
      <c r="Q15" s="43"/>
      <c r="R15" s="54">
        <v>21768919.327668302</v>
      </c>
      <c r="S15" s="43"/>
      <c r="T15" s="43">
        <v>83235349.798584893</v>
      </c>
      <c r="U15" s="40"/>
      <c r="V15" s="54">
        <v>117941.839121197</v>
      </c>
      <c r="W15" s="43"/>
      <c r="X15" s="54">
        <v>296235.896296694</v>
      </c>
      <c r="Y15" s="40"/>
      <c r="Z15" s="40">
        <f t="shared" si="9"/>
        <v>-1038972.28931503</v>
      </c>
      <c r="AA15" s="40"/>
      <c r="AB15" s="40">
        <f t="shared" si="10"/>
        <v>-42196421.016227409</v>
      </c>
      <c r="AC15" s="17"/>
      <c r="AD15" s="40">
        <v>5951478855.3666</v>
      </c>
      <c r="AE15" s="40">
        <v>106.73436665</v>
      </c>
      <c r="AF15" s="40">
        <f t="shared" si="11"/>
        <v>5575972427.7771788</v>
      </c>
      <c r="AG15" s="40"/>
      <c r="AH15" s="44">
        <f t="shared" si="12"/>
        <v>-7.5675447758712664E-3</v>
      </c>
      <c r="AI15" s="45">
        <f t="shared" si="4"/>
        <v>2026</v>
      </c>
      <c r="AJ15" s="46">
        <f>SUM(AB58:AB61)/AVERAGE(AF58:AF61)</f>
        <v>-4.4905147455591522E-2</v>
      </c>
      <c r="AK15" s="40">
        <v>22693230</v>
      </c>
      <c r="AL15" s="46">
        <f>AK15/AVERAGE(AF58:AF61)</f>
        <v>3.8291564196164256E-3</v>
      </c>
      <c r="AM15" s="46">
        <f>(AF61-AF57)/AF57</f>
        <v>4.9766001176089715E-3</v>
      </c>
      <c r="AN15" s="46"/>
      <c r="AO15" s="40">
        <f t="shared" si="5"/>
        <v>600643926.49499619</v>
      </c>
      <c r="AP15" s="40">
        <f t="shared" si="8"/>
        <v>380866789.97021079</v>
      </c>
      <c r="AQ15" s="47">
        <f>AO15/AF61</f>
        <v>0.10103933176461728</v>
      </c>
      <c r="AR15" s="47">
        <f>AP15/AF61</f>
        <v>6.4068783937409099E-2</v>
      </c>
      <c r="AT15" s="39">
        <v>11039157</v>
      </c>
      <c r="AV15" s="39">
        <f t="shared" ref="AV15:AV46" si="13">(AT15-AT14)/AT14</f>
        <v>3.1685827226093388E-3</v>
      </c>
      <c r="AW15" s="56">
        <v>6691.6267211455697</v>
      </c>
      <c r="AX15" s="44">
        <f t="shared" ref="AX15:AX46" si="14">(AW15-AW14)/AW14</f>
        <v>5.0671208032313883E-2</v>
      </c>
      <c r="BB15" s="44">
        <f t="shared" si="6"/>
        <v>1.3822787597134715E-2</v>
      </c>
      <c r="BC15" s="39">
        <f t="shared" si="7"/>
        <v>2026</v>
      </c>
      <c r="BD15" s="44">
        <f>SUM(T58:T61)/AVERAGE(AF58:AF61)</f>
        <v>5.4500720022635035E-2</v>
      </c>
      <c r="BE15" s="44">
        <f>SUM(P58:P61)/AVERAGE(AF58:AF61)</f>
        <v>1.2595250787515265E-2</v>
      </c>
      <c r="BF15" s="44">
        <f>SUM(D58:D61)/AVERAGE(AF58:AF61)</f>
        <v>8.6810616690711301E-2</v>
      </c>
      <c r="BG15" s="44">
        <f>(SUM(H58:H61)+SUM(J58:J61))/AVERAGE(AF58:AF61)</f>
        <v>6.7616721792077778E-3</v>
      </c>
      <c r="BH15" s="46">
        <f t="shared" si="2"/>
        <v>-5.1666819634799299E-2</v>
      </c>
    </row>
    <row r="16" spans="1:60" s="39" customFormat="1">
      <c r="A16" s="39">
        <v>2015</v>
      </c>
      <c r="B16" s="39">
        <v>3</v>
      </c>
      <c r="C16" s="40"/>
      <c r="D16" s="54">
        <v>106210928.692734</v>
      </c>
      <c r="E16" s="40"/>
      <c r="F16" s="43">
        <v>19305093.532566201</v>
      </c>
      <c r="G16" s="55">
        <v>0</v>
      </c>
      <c r="H16" s="55">
        <v>0</v>
      </c>
      <c r="I16" s="55">
        <v>0</v>
      </c>
      <c r="J16" s="55">
        <v>0</v>
      </c>
      <c r="K16" s="40"/>
      <c r="L16" s="54">
        <v>2734803.8185367598</v>
      </c>
      <c r="M16" s="43"/>
      <c r="N16" s="54">
        <v>793894.77475975105</v>
      </c>
      <c r="O16" s="40"/>
      <c r="P16" s="54">
        <v>18558684.828998402</v>
      </c>
      <c r="Q16" s="43"/>
      <c r="R16" s="54">
        <v>20018134.0063628</v>
      </c>
      <c r="S16" s="43"/>
      <c r="T16" s="43">
        <v>76541070.379033193</v>
      </c>
      <c r="U16" s="40"/>
      <c r="V16" s="54">
        <v>123359.29092606</v>
      </c>
      <c r="W16" s="43"/>
      <c r="X16" s="54">
        <v>309842.97333581402</v>
      </c>
      <c r="Y16" s="40"/>
      <c r="Z16" s="40">
        <f t="shared" si="9"/>
        <v>-2692298.8285738509</v>
      </c>
      <c r="AA16" s="40"/>
      <c r="AB16" s="40">
        <f t="shared" si="10"/>
        <v>-48228543.142699212</v>
      </c>
      <c r="AC16" s="17"/>
      <c r="AD16" s="40">
        <v>6221730755.7715998</v>
      </c>
      <c r="AE16" s="40">
        <v>110.48458934999999</v>
      </c>
      <c r="AF16" s="40">
        <f t="shared" si="11"/>
        <v>5631310929.7641611</v>
      </c>
      <c r="AG16" s="40"/>
      <c r="AH16" s="44">
        <f t="shared" si="12"/>
        <v>-8.5643545071873734E-3</v>
      </c>
      <c r="AI16" s="45">
        <f t="shared" si="4"/>
        <v>2027</v>
      </c>
      <c r="AJ16" s="46">
        <f>SUM(AB62:AB65)/AVERAGE(AF62:AF65)</f>
        <v>-4.5750882056283027E-2</v>
      </c>
      <c r="AK16" s="40">
        <v>21139690</v>
      </c>
      <c r="AL16" s="46">
        <f>AK16/AVERAGE(AF62:AF65)</f>
        <v>3.5378602588136622E-3</v>
      </c>
      <c r="AM16" s="46">
        <f>(AF65-AF61)/AF61</f>
        <v>2.6216000656649131E-3</v>
      </c>
      <c r="AN16" s="46"/>
      <c r="AO16" s="40">
        <f t="shared" si="5"/>
        <v>602218574.65213668</v>
      </c>
      <c r="AP16" s="40">
        <f t="shared" si="8"/>
        <v>360700191.63189191</v>
      </c>
      <c r="AQ16" s="47">
        <f>AO16/AF65</f>
        <v>0.10103933176461728</v>
      </c>
      <c r="AR16" s="47">
        <f>AP16/AF65</f>
        <v>6.0517738681354454E-2</v>
      </c>
      <c r="AT16" s="39">
        <v>11069835</v>
      </c>
      <c r="AV16" s="39">
        <f t="shared" si="13"/>
        <v>2.7790165499050334E-3</v>
      </c>
      <c r="AW16" s="56">
        <v>6984.1911310188098</v>
      </c>
      <c r="AX16" s="44">
        <f t="shared" si="14"/>
        <v>4.3720969812726586E-2</v>
      </c>
      <c r="BB16" s="44">
        <f t="shared" si="6"/>
        <v>1.4452352919984635E-2</v>
      </c>
      <c r="BC16" s="39">
        <f t="shared" si="7"/>
        <v>2027</v>
      </c>
      <c r="BD16" s="44">
        <f>SUM(T62:T65)/AVERAGE(AF62:AF65)</f>
        <v>5.4586453378585469E-2</v>
      </c>
      <c r="BE16" s="44">
        <f>SUM(P62:P65)/AVERAGE(AF62:AF65)</f>
        <v>1.247739407208609E-2</v>
      </c>
      <c r="BF16" s="44">
        <f>SUM(D62:D65)/AVERAGE(AF62:AF65)</f>
        <v>8.7859941362782398E-2</v>
      </c>
      <c r="BG16" s="44">
        <f>(SUM(H62:H65)+SUM(J62:J65))/AVERAGE(AF62:AF65)</f>
        <v>8.2754265553044368E-3</v>
      </c>
      <c r="BH16" s="46">
        <f t="shared" si="2"/>
        <v>-5.4026308611587463E-2</v>
      </c>
    </row>
    <row r="17" spans="1:60" s="39" customFormat="1">
      <c r="A17" s="39">
        <v>2015</v>
      </c>
      <c r="B17" s="39">
        <v>4</v>
      </c>
      <c r="C17" s="40"/>
      <c r="D17" s="54">
        <v>114771012.910385</v>
      </c>
      <c r="E17" s="40"/>
      <c r="F17" s="43">
        <v>20860990.166767199</v>
      </c>
      <c r="G17" s="55">
        <v>0</v>
      </c>
      <c r="H17" s="55">
        <v>0</v>
      </c>
      <c r="I17" s="55">
        <v>0</v>
      </c>
      <c r="J17" s="55">
        <v>0</v>
      </c>
      <c r="K17" s="40"/>
      <c r="L17" s="54">
        <v>2602828.7029223</v>
      </c>
      <c r="M17" s="43"/>
      <c r="N17" s="54">
        <v>858883.92639526003</v>
      </c>
      <c r="O17" s="40"/>
      <c r="P17" s="54">
        <v>18231416.464090601</v>
      </c>
      <c r="Q17" s="43"/>
      <c r="R17" s="54">
        <v>23064733.3455511</v>
      </c>
      <c r="S17" s="43"/>
      <c r="T17" s="43">
        <v>88190007.006363899</v>
      </c>
      <c r="U17" s="40"/>
      <c r="V17" s="54">
        <v>115904.1045511</v>
      </c>
      <c r="W17" s="43"/>
      <c r="X17" s="54">
        <v>291117.69455178798</v>
      </c>
      <c r="Y17" s="40"/>
      <c r="Z17" s="40">
        <f t="shared" si="9"/>
        <v>-1142065.345982559</v>
      </c>
      <c r="AA17" s="40"/>
      <c r="AB17" s="40">
        <f t="shared" si="10"/>
        <v>-44812422.3681117</v>
      </c>
      <c r="AC17" s="17"/>
      <c r="AD17" s="40">
        <v>6552140231.3025303</v>
      </c>
      <c r="AE17" s="40">
        <v>115.79241048</v>
      </c>
      <c r="AF17" s="40">
        <f t="shared" si="11"/>
        <v>5658523044.9401817</v>
      </c>
      <c r="AG17" s="40"/>
      <c r="AH17" s="44">
        <f t="shared" si="12"/>
        <v>-7.9194556622302192E-3</v>
      </c>
      <c r="AI17" s="45">
        <f t="shared" si="4"/>
        <v>2028</v>
      </c>
      <c r="AJ17" s="46">
        <f>SUM(AB66:AB69)/AVERAGE(AF66:AF69)</f>
        <v>-4.6620442960865725E-2</v>
      </c>
      <c r="AK17" s="40">
        <v>19630172</v>
      </c>
      <c r="AL17" s="46">
        <f>AK17/AVERAGE(AF66:AF69)</f>
        <v>3.2497588091296749E-3</v>
      </c>
      <c r="AM17" s="46">
        <f>(AF69-AF65)/AF65</f>
        <v>1.8045831530581469E-2</v>
      </c>
      <c r="AN17" s="46"/>
      <c r="AO17" s="40">
        <f t="shared" si="5"/>
        <v>613086109.59489596</v>
      </c>
      <c r="AP17" s="40">
        <f t="shared" si="8"/>
        <v>347417317.54867655</v>
      </c>
      <c r="AQ17" s="47">
        <f>AO17/AF69</f>
        <v>0.10103933176461727</v>
      </c>
      <c r="AR17" s="47">
        <f>AP17/AF69</f>
        <v>5.725592711889807E-2</v>
      </c>
      <c r="AT17" s="39">
        <v>11079853</v>
      </c>
      <c r="AV17" s="39">
        <f t="shared" si="13"/>
        <v>9.0498187190685316E-4</v>
      </c>
      <c r="AW17" s="56">
        <v>6967.8308273951197</v>
      </c>
      <c r="AX17" s="44">
        <f t="shared" si="14"/>
        <v>-2.3424765039761273E-3</v>
      </c>
      <c r="BB17" s="44">
        <f t="shared" si="6"/>
        <v>1.3110011929386739E-2</v>
      </c>
      <c r="BC17" s="39">
        <f t="shared" si="7"/>
        <v>2028</v>
      </c>
      <c r="BD17" s="44">
        <f>SUM(T66:T69)/AVERAGE(AF66:AF69)</f>
        <v>5.4574302058319139E-2</v>
      </c>
      <c r="BE17" s="44">
        <f>SUM(P66:P69)/AVERAGE(AF66:AF69)</f>
        <v>1.233084099885416E-2</v>
      </c>
      <c r="BF17" s="44">
        <f>SUM(D66:D69)/AVERAGE(AF66:AF69)</f>
        <v>8.8863904020330689E-2</v>
      </c>
      <c r="BG17" s="44">
        <f>(SUM(H66:H69)+SUM(J66:J69))/AVERAGE(AF66:AF69)</f>
        <v>9.9007516793488109E-3</v>
      </c>
      <c r="BH17" s="46">
        <f t="shared" si="2"/>
        <v>-5.6521194640214538E-2</v>
      </c>
    </row>
    <row r="18" spans="1:60" s="29" customFormat="1">
      <c r="A18" s="29">
        <f t="shared" ref="A18:A49" si="15">A14+1</f>
        <v>2016</v>
      </c>
      <c r="B18" s="29">
        <f t="shared" ref="B18:B49" si="16">B14</f>
        <v>1</v>
      </c>
      <c r="C18" s="30"/>
      <c r="D18" s="51">
        <v>100240264.60821301</v>
      </c>
      <c r="E18" s="30"/>
      <c r="F18" s="33">
        <v>18219854.6591102</v>
      </c>
      <c r="G18" s="52">
        <v>0</v>
      </c>
      <c r="H18" s="52">
        <v>0</v>
      </c>
      <c r="I18" s="52">
        <v>0</v>
      </c>
      <c r="J18" s="52">
        <v>0</v>
      </c>
      <c r="K18" s="30"/>
      <c r="L18" s="51">
        <v>2640788.5999428201</v>
      </c>
      <c r="M18" s="33"/>
      <c r="N18" s="51">
        <v>746581.10841980204</v>
      </c>
      <c r="O18" s="30"/>
      <c r="P18" s="51">
        <v>17810533.580371</v>
      </c>
      <c r="Q18" s="33"/>
      <c r="R18" s="51">
        <v>18956103.483738702</v>
      </c>
      <c r="S18" s="33"/>
      <c r="T18" s="33">
        <v>72480304.627789095</v>
      </c>
      <c r="U18" s="30"/>
      <c r="V18" s="51">
        <v>109424.910354893</v>
      </c>
      <c r="W18" s="33"/>
      <c r="X18" s="51">
        <v>274843.82673443703</v>
      </c>
      <c r="Y18" s="30"/>
      <c r="Z18" s="30">
        <f t="shared" si="9"/>
        <v>-2541695.9733792264</v>
      </c>
      <c r="AA18" s="30"/>
      <c r="AB18" s="30">
        <f t="shared" si="10"/>
        <v>-45570493.560794912</v>
      </c>
      <c r="AC18" s="17"/>
      <c r="AD18" s="30">
        <v>6962845278.2518702</v>
      </c>
      <c r="AE18" s="30">
        <v>131.11898839</v>
      </c>
      <c r="AF18" s="30">
        <f t="shared" si="11"/>
        <v>5310325654.3908043</v>
      </c>
      <c r="AG18" s="30"/>
      <c r="AH18" s="34">
        <f t="shared" si="12"/>
        <v>-8.5814875634068286E-3</v>
      </c>
      <c r="AI18" s="35">
        <f t="shared" si="4"/>
        <v>2029</v>
      </c>
      <c r="AJ18" s="36">
        <f>SUM(AB70:AB73)/AVERAGE(AF70:AF73)</f>
        <v>-4.8828764690742946E-2</v>
      </c>
      <c r="AK18" s="30">
        <v>18201329</v>
      </c>
      <c r="AL18" s="36">
        <f>AK18/AVERAGE(AF70:AF73)</f>
        <v>3.0112885817348924E-3</v>
      </c>
      <c r="AM18" s="36">
        <f>(AF73-AF69)/AF69</f>
        <v>-1.044761135772591E-2</v>
      </c>
      <c r="AN18" s="36"/>
      <c r="AO18" s="30">
        <f t="shared" si="5"/>
        <v>606680824.19302833</v>
      </c>
      <c r="AP18" s="30">
        <f t="shared" si="8"/>
        <v>325673629.56631523</v>
      </c>
      <c r="AQ18" s="37">
        <f>AO18/AF73</f>
        <v>0.10103933176461727</v>
      </c>
      <c r="AR18" s="37">
        <f>AP18/AF73</f>
        <v>5.4239139581356378E-2</v>
      </c>
      <c r="AT18" s="29">
        <v>11091626</v>
      </c>
      <c r="AV18" s="29">
        <f t="shared" si="13"/>
        <v>1.0625592234842828E-3</v>
      </c>
      <c r="AW18" s="53">
        <v>6546.8359095504502</v>
      </c>
      <c r="AX18" s="34">
        <f t="shared" si="14"/>
        <v>-6.0419796099162169E-2</v>
      </c>
      <c r="BB18" s="34">
        <f t="shared" si="6"/>
        <v>1.4944456185155736E-2</v>
      </c>
      <c r="BC18" s="29">
        <f t="shared" si="7"/>
        <v>2029</v>
      </c>
      <c r="BD18" s="34">
        <f>SUM(T70:T73)/AVERAGE(AF70:AF73)</f>
        <v>5.4471949568424535E-2</v>
      </c>
      <c r="BE18" s="34">
        <f>SUM(P70:P73)/AVERAGE(AF70:AF73)</f>
        <v>1.2442980138988745E-2</v>
      </c>
      <c r="BF18" s="34">
        <f>SUM(D70:D73)/AVERAGE(AF70:AF73)</f>
        <v>9.0857734120178751E-2</v>
      </c>
      <c r="BG18" s="34">
        <f>(SUM(H70:H73)+SUM(J70:J73))/AVERAGE(AF70:AF73)</f>
        <v>1.1387773119443707E-2</v>
      </c>
      <c r="BH18" s="36">
        <f t="shared" si="2"/>
        <v>-6.0216537810186654E-2</v>
      </c>
    </row>
    <row r="19" spans="1:60" s="39" customFormat="1">
      <c r="A19" s="39">
        <f t="shared" si="15"/>
        <v>2016</v>
      </c>
      <c r="B19" s="39">
        <f t="shared" si="16"/>
        <v>2</v>
      </c>
      <c r="C19" s="40"/>
      <c r="D19" s="54">
        <v>103301064.511197</v>
      </c>
      <c r="E19" s="40"/>
      <c r="F19" s="43">
        <v>18776191.272854801</v>
      </c>
      <c r="G19" s="55">
        <v>0</v>
      </c>
      <c r="H19" s="55">
        <v>0</v>
      </c>
      <c r="I19" s="55">
        <v>0</v>
      </c>
      <c r="J19" s="55">
        <v>0</v>
      </c>
      <c r="K19" s="40"/>
      <c r="L19" s="54">
        <v>2248745.6258871201</v>
      </c>
      <c r="M19" s="43"/>
      <c r="N19" s="54">
        <v>770770.993377637</v>
      </c>
      <c r="O19" s="40"/>
      <c r="P19" s="54">
        <v>15909306.3341702</v>
      </c>
      <c r="Q19" s="43"/>
      <c r="R19" s="54">
        <v>21350096.797455899</v>
      </c>
      <c r="S19" s="43"/>
      <c r="T19" s="43">
        <v>81633945.554257095</v>
      </c>
      <c r="U19" s="40"/>
      <c r="V19" s="54">
        <v>106122.576781039</v>
      </c>
      <c r="W19" s="43"/>
      <c r="X19" s="54">
        <v>266549.31688610301</v>
      </c>
      <c r="Y19" s="40"/>
      <c r="Z19" s="40">
        <f t="shared" si="9"/>
        <v>-339488.51788261905</v>
      </c>
      <c r="AA19" s="40"/>
      <c r="AB19" s="40">
        <f t="shared" si="10"/>
        <v>-37576425.291110106</v>
      </c>
      <c r="AC19" s="17"/>
      <c r="AD19" s="40">
        <v>8401125356.75455</v>
      </c>
      <c r="AE19" s="40">
        <v>147.89635652000001</v>
      </c>
      <c r="AF19" s="40">
        <f t="shared" si="11"/>
        <v>5680414010.4820404</v>
      </c>
      <c r="AG19" s="40"/>
      <c r="AH19" s="44">
        <f t="shared" si="12"/>
        <v>-6.6150856648424768E-3</v>
      </c>
      <c r="AI19" s="45">
        <f t="shared" si="4"/>
        <v>2030</v>
      </c>
      <c r="AJ19" s="46">
        <f>SUM(AB74:AB77)/AVERAGE(AF74:AF77)</f>
        <v>-5.1834933608312241E-2</v>
      </c>
      <c r="AK19" s="40">
        <v>16802344</v>
      </c>
      <c r="AL19" s="46">
        <f>AK19/AVERAGE(AF74:AF77)</f>
        <v>2.7975556863461606E-3</v>
      </c>
      <c r="AM19" s="46">
        <f>(AF77-AF73)/AF73</f>
        <v>-3.4200051154760517E-3</v>
      </c>
      <c r="AN19" s="46"/>
      <c r="AO19" s="40">
        <f t="shared" si="5"/>
        <v>604605972.67082691</v>
      </c>
      <c r="AP19" s="40">
        <f t="shared" si="8"/>
        <v>307783834.09227121</v>
      </c>
      <c r="AQ19" s="47">
        <f>AO19/AF77</f>
        <v>0.10103933176461727</v>
      </c>
      <c r="AR19" s="47">
        <f>AP19/AF77</f>
        <v>5.1435603236367838E-2</v>
      </c>
      <c r="AT19" s="39">
        <v>11171229</v>
      </c>
      <c r="AV19" s="39">
        <f t="shared" si="13"/>
        <v>7.1768557648806408E-3</v>
      </c>
      <c r="AW19" s="56">
        <v>6356.20465033455</v>
      </c>
      <c r="AX19" s="44">
        <f t="shared" si="14"/>
        <v>-2.9118075028856223E-2</v>
      </c>
      <c r="BB19" s="44">
        <f t="shared" si="6"/>
        <v>1.3121604601888331E-2</v>
      </c>
      <c r="BC19" s="39">
        <f t="shared" si="7"/>
        <v>2030</v>
      </c>
      <c r="BD19" s="44">
        <f>SUM(T74:T77)/AVERAGE(AF74:AF77)</f>
        <v>5.4141111401697022E-2</v>
      </c>
      <c r="BE19" s="44">
        <f>SUM(P74:P77)/AVERAGE(AF74:AF77)</f>
        <v>1.2619966216421669E-2</v>
      </c>
      <c r="BF19" s="44">
        <f>SUM(D74:D77)/AVERAGE(AF74:AF77)</f>
        <v>9.335607879358758E-2</v>
      </c>
      <c r="BG19" s="44">
        <f>(SUM(H74:H77)+SUM(J74:J77))/AVERAGE(AF74:AF77)</f>
        <v>1.2927000892555742E-2</v>
      </c>
      <c r="BH19" s="46">
        <f t="shared" si="2"/>
        <v>-6.4761934500867979E-2</v>
      </c>
    </row>
    <row r="20" spans="1:60" s="39" customFormat="1">
      <c r="A20" s="39">
        <f t="shared" si="15"/>
        <v>2016</v>
      </c>
      <c r="B20" s="39">
        <f t="shared" si="16"/>
        <v>3</v>
      </c>
      <c r="C20" s="40"/>
      <c r="D20" s="54">
        <v>97904122.827609494</v>
      </c>
      <c r="E20" s="40"/>
      <c r="F20" s="43">
        <v>17795233.237049598</v>
      </c>
      <c r="G20" s="55">
        <v>0</v>
      </c>
      <c r="H20" s="55">
        <v>0</v>
      </c>
      <c r="I20" s="55">
        <v>0</v>
      </c>
      <c r="J20" s="55">
        <v>0</v>
      </c>
      <c r="K20" s="40"/>
      <c r="L20" s="54">
        <v>1926072.42011175</v>
      </c>
      <c r="M20" s="43"/>
      <c r="N20" s="54">
        <v>731080.45248197403</v>
      </c>
      <c r="O20" s="40"/>
      <c r="P20" s="54">
        <v>14016587.8900728</v>
      </c>
      <c r="Q20" s="43"/>
      <c r="R20" s="54">
        <v>18954291.2400463</v>
      </c>
      <c r="S20" s="43"/>
      <c r="T20" s="43">
        <v>72473375.356961206</v>
      </c>
      <c r="U20" s="40"/>
      <c r="V20" s="54">
        <v>115976.965700388</v>
      </c>
      <c r="W20" s="43"/>
      <c r="X20" s="54">
        <v>291300.70075234701</v>
      </c>
      <c r="Y20" s="40"/>
      <c r="Z20" s="40">
        <f t="shared" si="9"/>
        <v>-1382117.9038966335</v>
      </c>
      <c r="AA20" s="40"/>
      <c r="AB20" s="40">
        <f t="shared" si="10"/>
        <v>-39447335.360721089</v>
      </c>
      <c r="AC20" s="17"/>
      <c r="AD20" s="40">
        <v>8448889759.2748203</v>
      </c>
      <c r="AE20" s="40">
        <v>155.88165151000001</v>
      </c>
      <c r="AF20" s="40">
        <f t="shared" si="11"/>
        <v>5420066876.0125456</v>
      </c>
      <c r="AG20" s="40"/>
      <c r="AH20" s="44">
        <f t="shared" si="12"/>
        <v>-7.2780163535070344E-3</v>
      </c>
      <c r="AI20" s="45">
        <f t="shared" si="4"/>
        <v>2031</v>
      </c>
      <c r="AJ20" s="46">
        <f>SUM(AB78:AB81)/AVERAGE(AF78:AF81)</f>
        <v>-5.4547659573701258E-2</v>
      </c>
      <c r="AK20" s="40">
        <v>15451944</v>
      </c>
      <c r="AL20" s="46">
        <f>AK20/AVERAGE(AF78:AF81)</f>
        <v>2.5775969924613389E-3</v>
      </c>
      <c r="AM20" s="46">
        <f>(AF81-AF77)/AF77</f>
        <v>1.5823762176876502E-3</v>
      </c>
      <c r="AN20" s="46"/>
      <c r="AO20" s="40">
        <f t="shared" si="5"/>
        <v>605562686.78305316</v>
      </c>
      <c r="AP20" s="40">
        <f t="shared" si="8"/>
        <v>292807716.49931389</v>
      </c>
      <c r="AQ20" s="47">
        <f>AO20/AF81</f>
        <v>0.10103933176461727</v>
      </c>
      <c r="AR20" s="47">
        <f>AP20/AF81</f>
        <v>4.8855546512913253E-2</v>
      </c>
      <c r="AT20" s="39">
        <v>11262070</v>
      </c>
      <c r="AV20" s="39">
        <f t="shared" si="13"/>
        <v>8.1316925827946054E-3</v>
      </c>
      <c r="AW20" s="56">
        <v>6421.7509021330998</v>
      </c>
      <c r="AX20" s="44">
        <f t="shared" si="14"/>
        <v>1.0312168252024391E-2</v>
      </c>
      <c r="BB20" s="44">
        <f t="shared" si="6"/>
        <v>1.4953541626149609E-2</v>
      </c>
      <c r="BC20" s="39">
        <f t="shared" si="7"/>
        <v>2031</v>
      </c>
      <c r="BD20" s="44">
        <f>SUM(T78:T81)/AVERAGE(AF78:AF81)</f>
        <v>5.375102009925186E-2</v>
      </c>
      <c r="BE20" s="44">
        <f>SUM(P78:P81)/AVERAGE(AF78:AF81)</f>
        <v>1.301536183484338E-2</v>
      </c>
      <c r="BF20" s="44">
        <f>SUM(D78:D81)/AVERAGE(AF78:AF81)</f>
        <v>9.5283317838109741E-2</v>
      </c>
      <c r="BG20" s="44">
        <f>(SUM(H78:H81)+SUM(J78:J81))/AVERAGE(AF78:AF81)</f>
        <v>1.4406770920561024E-2</v>
      </c>
      <c r="BH20" s="46">
        <f t="shared" si="2"/>
        <v>-6.8954430494262281E-2</v>
      </c>
    </row>
    <row r="21" spans="1:60">
      <c r="A21" s="39">
        <f t="shared" si="15"/>
        <v>2016</v>
      </c>
      <c r="B21" s="39">
        <f t="shared" si="16"/>
        <v>4</v>
      </c>
      <c r="C21" s="40"/>
      <c r="D21" s="54">
        <v>107070882.147548</v>
      </c>
      <c r="E21" s="40"/>
      <c r="F21" s="43">
        <v>19461400.252441101</v>
      </c>
      <c r="G21" s="57">
        <v>22714</v>
      </c>
      <c r="H21" s="57">
        <v>124965.72628654201</v>
      </c>
      <c r="I21" s="58">
        <v>702</v>
      </c>
      <c r="J21" s="57">
        <v>3862.1968765145998</v>
      </c>
      <c r="K21" s="40"/>
      <c r="L21" s="54">
        <v>3308222.0510012801</v>
      </c>
      <c r="M21" s="43"/>
      <c r="N21" s="54">
        <v>800938.06766757404</v>
      </c>
      <c r="O21" s="40"/>
      <c r="P21" s="54">
        <v>21572904.882643901</v>
      </c>
      <c r="Q21" s="43"/>
      <c r="R21" s="54">
        <v>22010676.469193101</v>
      </c>
      <c r="S21" s="43"/>
      <c r="T21" s="43">
        <v>84159729.182707697</v>
      </c>
      <c r="U21" s="40"/>
      <c r="V21" s="54">
        <v>116561.02930682201</v>
      </c>
      <c r="W21" s="43"/>
      <c r="X21" s="54">
        <v>292767.70014149899</v>
      </c>
      <c r="Y21" s="40"/>
      <c r="Z21" s="40">
        <f t="shared" si="9"/>
        <v>-1443322.8726100326</v>
      </c>
      <c r="AA21" s="40"/>
      <c r="AB21" s="40">
        <f t="shared" si="10"/>
        <v>-44484057.847484209</v>
      </c>
      <c r="AC21" s="17"/>
      <c r="AD21" s="40">
        <v>8942134800.3519897</v>
      </c>
      <c r="AE21" s="40">
        <v>164.01000929</v>
      </c>
      <c r="AF21" s="40">
        <f t="shared" si="11"/>
        <v>5452188460.364418</v>
      </c>
      <c r="AG21" s="40"/>
      <c r="AH21" s="44">
        <f t="shared" si="12"/>
        <v>-8.1589362089862436E-3</v>
      </c>
      <c r="AI21" s="45">
        <f t="shared" si="4"/>
        <v>2032</v>
      </c>
      <c r="AJ21" s="46">
        <f>SUM(AB82:AB85)/AVERAGE(AF82:AF85)</f>
        <v>-5.76769942804293E-2</v>
      </c>
      <c r="AK21" s="40">
        <v>14150159</v>
      </c>
      <c r="AL21" s="46">
        <f>AK21/AVERAGE(AF82:AF85)</f>
        <v>2.3791246487362429E-3</v>
      </c>
      <c r="AM21" s="46">
        <f>(AF85-AF81)/AF81</f>
        <v>-5.187728289975017E-3</v>
      </c>
      <c r="AN21" s="46"/>
      <c r="AO21" s="40">
        <f t="shared" si="5"/>
        <v>602421192.10147536</v>
      </c>
      <c r="AP21" s="40">
        <f t="shared" si="8"/>
        <v>277172227.17881918</v>
      </c>
      <c r="AQ21" s="47">
        <f>AO21/AF85</f>
        <v>0.10103933176461725</v>
      </c>
      <c r="AR21" s="47">
        <f>AP21/AF85</f>
        <v>4.6487900799381573E-2</v>
      </c>
      <c r="AT21" s="39">
        <v>11267048</v>
      </c>
      <c r="AV21" s="39">
        <f t="shared" si="13"/>
        <v>4.4201465627544492E-4</v>
      </c>
      <c r="AW21" s="56">
        <v>6485.7556979742603</v>
      </c>
      <c r="AX21" s="44">
        <f t="shared" si="14"/>
        <v>9.9668761396366559E-3</v>
      </c>
      <c r="BB21" s="44">
        <f t="shared" si="6"/>
        <v>1.313612285765646E-2</v>
      </c>
      <c r="BC21" s="39">
        <f t="shared" si="7"/>
        <v>2032</v>
      </c>
      <c r="BD21" s="44">
        <f>SUM(T82:T85)/AVERAGE(AF82:AF85)</f>
        <v>5.3341736274583856E-2</v>
      </c>
      <c r="BE21" s="44">
        <f>SUM(P82:P85)/AVERAGE(AF82:AF85)</f>
        <v>1.3149698567756312E-2</v>
      </c>
      <c r="BF21" s="44">
        <f>SUM(D82:D85)/AVERAGE(AF82:AF85)</f>
        <v>9.7869031987256841E-2</v>
      </c>
      <c r="BG21" s="44">
        <f>(SUM(H82:H85)+SUM(J82:J85))/AVERAGE(AF82:AF85)</f>
        <v>1.6236693694930585E-2</v>
      </c>
      <c r="BH21" s="46">
        <f t="shared" si="2"/>
        <v>-7.3913687975359882E-2</v>
      </c>
    </row>
    <row r="22" spans="1:60" s="29" customFormat="1">
      <c r="A22" s="29">
        <f t="shared" si="15"/>
        <v>2017</v>
      </c>
      <c r="B22" s="29">
        <f t="shared" si="16"/>
        <v>1</v>
      </c>
      <c r="C22" s="30"/>
      <c r="D22" s="51">
        <v>102493934.180282</v>
      </c>
      <c r="E22" s="30"/>
      <c r="F22" s="33">
        <v>18629485.7810276</v>
      </c>
      <c r="G22" s="59">
        <v>68797</v>
      </c>
      <c r="H22" s="59">
        <v>378500.79560338298</v>
      </c>
      <c r="I22" s="59">
        <v>2128</v>
      </c>
      <c r="J22" s="59">
        <v>11707.6281384944</v>
      </c>
      <c r="K22" s="30"/>
      <c r="L22" s="51">
        <v>3669517.0411676099</v>
      </c>
      <c r="M22" s="33"/>
      <c r="N22" s="51">
        <v>767468.07415965595</v>
      </c>
      <c r="O22" s="30"/>
      <c r="P22" s="51">
        <v>23263524.2751051</v>
      </c>
      <c r="Q22" s="33"/>
      <c r="R22" s="51">
        <v>19236463.486876301</v>
      </c>
      <c r="S22" s="33"/>
      <c r="T22" s="33">
        <v>73552285.3990639</v>
      </c>
      <c r="U22" s="30"/>
      <c r="V22" s="51">
        <v>87135.567113885394</v>
      </c>
      <c r="W22" s="33"/>
      <c r="X22" s="51">
        <v>218859.42270899701</v>
      </c>
      <c r="Y22" s="30"/>
      <c r="Z22" s="30">
        <f t="shared" si="9"/>
        <v>-3742871.84236468</v>
      </c>
      <c r="AA22" s="30"/>
      <c r="AB22" s="30">
        <f t="shared" si="10"/>
        <v>-52205173.0563232</v>
      </c>
      <c r="AC22" s="17"/>
      <c r="AD22" s="30">
        <v>9157377218.4824009</v>
      </c>
      <c r="AE22" s="30">
        <v>172.09591728000001</v>
      </c>
      <c r="AF22" s="30">
        <f t="shared" si="11"/>
        <v>5321089171.2110472</v>
      </c>
      <c r="AG22" s="30"/>
      <c r="AH22" s="34">
        <f t="shared" si="12"/>
        <v>-9.8109938353920928E-3</v>
      </c>
      <c r="AI22" s="35">
        <f t="shared" si="4"/>
        <v>2033</v>
      </c>
      <c r="AJ22" s="36">
        <f>SUM(AB86:AB89)/AVERAGE(AF86:AF89)</f>
        <v>-5.9760080841714837E-2</v>
      </c>
      <c r="AK22" s="30">
        <v>12897734</v>
      </c>
      <c r="AL22" s="36">
        <f>AK22/AVERAGE(AF86:AF89)</f>
        <v>2.17543673710657E-3</v>
      </c>
      <c r="AM22" s="36">
        <f>(AF89-AF85)/AF85</f>
        <v>-8.0523276339845816E-3</v>
      </c>
      <c r="AN22" s="36"/>
      <c r="AO22" s="30">
        <f t="shared" si="5"/>
        <v>597570299.28901875</v>
      </c>
      <c r="AP22" s="30">
        <f t="shared" si="8"/>
        <v>262090282.10549456</v>
      </c>
      <c r="AQ22" s="37">
        <f>AO22/AF89</f>
        <v>0.10103933176461727</v>
      </c>
      <c r="AR22" s="37">
        <f>AP22/AF89</f>
        <v>4.4315165926831449E-2</v>
      </c>
      <c r="AT22" s="29">
        <v>11118502</v>
      </c>
      <c r="AV22" s="29">
        <f t="shared" si="13"/>
        <v>-1.3184109981602989E-2</v>
      </c>
      <c r="AW22" s="53">
        <v>6583.2437564605498</v>
      </c>
      <c r="AX22" s="34">
        <f t="shared" si="14"/>
        <v>1.5031102469175418E-2</v>
      </c>
      <c r="BB22" s="34">
        <f t="shared" si="6"/>
        <v>1.4966038180013394E-2</v>
      </c>
      <c r="BC22" s="29">
        <f t="shared" si="7"/>
        <v>2033</v>
      </c>
      <c r="BD22" s="34">
        <f>SUM(T86:T89)/AVERAGE(AF86:AF89)</f>
        <v>5.3349487581470033E-2</v>
      </c>
      <c r="BE22" s="34">
        <f>SUM(P86:P89)/AVERAGE(AF86:AF89)</f>
        <v>1.3202167776938809E-2</v>
      </c>
      <c r="BF22" s="34">
        <f>SUM(D86:D89)/AVERAGE(AF86:AF89)</f>
        <v>9.990740064624605E-2</v>
      </c>
      <c r="BG22" s="34">
        <f>(SUM(H86:H89)+SUM(J86:J89))/AVERAGE(AF86:AF89)</f>
        <v>1.783544492781736E-2</v>
      </c>
      <c r="BH22" s="36">
        <f t="shared" si="2"/>
        <v>-7.75955257695322E-2</v>
      </c>
    </row>
    <row r="23" spans="1:60" s="39" customFormat="1">
      <c r="A23" s="39">
        <f t="shared" si="15"/>
        <v>2017</v>
      </c>
      <c r="B23" s="39">
        <f t="shared" si="16"/>
        <v>2</v>
      </c>
      <c r="C23" s="40"/>
      <c r="D23" s="54">
        <v>109624897.348455</v>
      </c>
      <c r="E23" s="40"/>
      <c r="F23" s="43">
        <v>19925622.747658599</v>
      </c>
      <c r="G23" s="57">
        <v>101425</v>
      </c>
      <c r="H23" s="57">
        <v>558010.42478702799</v>
      </c>
      <c r="I23" s="57">
        <v>3137</v>
      </c>
      <c r="J23" s="57">
        <v>17258.8484353651</v>
      </c>
      <c r="K23" s="40"/>
      <c r="L23" s="54">
        <v>3385199.3744059298</v>
      </c>
      <c r="M23" s="43"/>
      <c r="N23" s="54">
        <v>823073.95504081994</v>
      </c>
      <c r="O23" s="40"/>
      <c r="P23" s="54">
        <v>22094125.700910401</v>
      </c>
      <c r="Q23" s="43"/>
      <c r="R23" s="54">
        <v>21829486.596085601</v>
      </c>
      <c r="S23" s="43"/>
      <c r="T23" s="43">
        <v>83466933.998846605</v>
      </c>
      <c r="U23" s="40"/>
      <c r="V23" s="54">
        <v>95916.769477631504</v>
      </c>
      <c r="W23" s="43"/>
      <c r="X23" s="54">
        <v>240915.27135583601</v>
      </c>
      <c r="Y23" s="40"/>
      <c r="Z23" s="40">
        <f t="shared" si="9"/>
        <v>-2208492.7115421183</v>
      </c>
      <c r="AA23" s="40"/>
      <c r="AB23" s="40">
        <f t="shared" si="10"/>
        <v>-48252089.050518796</v>
      </c>
      <c r="AC23" s="17"/>
      <c r="AD23" s="40">
        <v>10595155405.883801</v>
      </c>
      <c r="AE23" s="40">
        <v>183.45579240999999</v>
      </c>
      <c r="AF23" s="40">
        <f t="shared" si="11"/>
        <v>5775318002.6090412</v>
      </c>
      <c r="AG23" s="40"/>
      <c r="AH23" s="44">
        <f t="shared" si="12"/>
        <v>-8.3548800306269839E-3</v>
      </c>
      <c r="AI23" s="45">
        <f t="shared" si="4"/>
        <v>2034</v>
      </c>
      <c r="AJ23" s="46">
        <f>SUM(AB90:AB93)/AVERAGE(AF90:AF93)</f>
        <v>-6.3871791125756638E-2</v>
      </c>
      <c r="AK23" s="40">
        <v>11734173</v>
      </c>
      <c r="AL23" s="46">
        <f>AK23/AVERAGE(AF90:AF93)</f>
        <v>1.9957136746260595E-3</v>
      </c>
      <c r="AM23" s="46">
        <f>(AF93-AF89)/AF89</f>
        <v>-7.0360681381553269E-3</v>
      </c>
      <c r="AN23" s="46"/>
      <c r="AO23" s="40">
        <f t="shared" si="5"/>
        <v>593365753.94588327</v>
      </c>
      <c r="AP23" s="40">
        <f t="shared" si="8"/>
        <v>248549913.38422272</v>
      </c>
      <c r="AQ23" s="47">
        <f>AO23/AF93</f>
        <v>0.10103933176461725</v>
      </c>
      <c r="AR23" s="47">
        <f>AP23/AF93</f>
        <v>4.2323502816756377E-2</v>
      </c>
      <c r="AT23" s="39">
        <v>11135499</v>
      </c>
      <c r="AV23" s="39">
        <f t="shared" si="13"/>
        <v>1.5287131305997876E-3</v>
      </c>
      <c r="AW23" s="56">
        <v>6550.8123021847196</v>
      </c>
      <c r="AX23" s="44">
        <f t="shared" si="14"/>
        <v>-4.9263638831545924E-3</v>
      </c>
      <c r="BB23" s="44">
        <f t="shared" si="6"/>
        <v>1.3169587945757301E-2</v>
      </c>
      <c r="BC23" s="39">
        <f t="shared" si="7"/>
        <v>2034</v>
      </c>
      <c r="BD23" s="44">
        <f>SUM(T90:T93)/AVERAGE(AF90:AF93)</f>
        <v>5.2675855012951626E-2</v>
      </c>
      <c r="BE23" s="44">
        <f>SUM(P90:P93)/AVERAGE(AF90:AF93)</f>
        <v>1.3494598929988054E-2</v>
      </c>
      <c r="BF23" s="44">
        <f>SUM(D90:D93)/AVERAGE(AF90:AF93)</f>
        <v>0.10305304720872022</v>
      </c>
      <c r="BG23" s="44">
        <f>(SUM(H90:H93)+SUM(J90:J93))/AVERAGE(AF90:AF93)</f>
        <v>1.9413109525471164E-2</v>
      </c>
      <c r="BH23" s="46">
        <f t="shared" si="2"/>
        <v>-8.3284900651227803E-2</v>
      </c>
    </row>
    <row r="24" spans="1:60" s="39" customFormat="1">
      <c r="A24" s="39">
        <f t="shared" si="15"/>
        <v>2017</v>
      </c>
      <c r="B24" s="39">
        <f t="shared" si="16"/>
        <v>3</v>
      </c>
      <c r="C24" s="40"/>
      <c r="D24" s="54">
        <v>105154028.960752</v>
      </c>
      <c r="E24" s="40"/>
      <c r="F24" s="43">
        <v>19112989.495518502</v>
      </c>
      <c r="G24" s="57">
        <v>122031</v>
      </c>
      <c r="H24" s="57">
        <v>671378.55703412101</v>
      </c>
      <c r="I24" s="57">
        <v>3774</v>
      </c>
      <c r="J24" s="57">
        <v>20763.434489980202</v>
      </c>
      <c r="K24" s="40"/>
      <c r="L24" s="54">
        <v>3008282.7897310699</v>
      </c>
      <c r="M24" s="43"/>
      <c r="N24" s="54">
        <v>789476.62349494896</v>
      </c>
      <c r="O24" s="40"/>
      <c r="P24" s="54">
        <v>19953461.145896502</v>
      </c>
      <c r="Q24" s="43"/>
      <c r="R24" s="54">
        <v>19581742.018173099</v>
      </c>
      <c r="S24" s="43"/>
      <c r="T24" s="43">
        <v>74872487.789354593</v>
      </c>
      <c r="U24" s="40"/>
      <c r="V24" s="54">
        <v>103318.53099442201</v>
      </c>
      <c r="W24" s="43"/>
      <c r="X24" s="54">
        <v>259506.36229895399</v>
      </c>
      <c r="Y24" s="40"/>
      <c r="Z24" s="40">
        <f t="shared" si="9"/>
        <v>-3225688.3595770001</v>
      </c>
      <c r="AA24" s="40"/>
      <c r="AB24" s="40">
        <f t="shared" si="10"/>
        <v>-50235002.317293905</v>
      </c>
      <c r="AC24" s="17"/>
      <c r="AD24" s="40">
        <v>10937239663.7218</v>
      </c>
      <c r="AE24" s="40">
        <v>191.50871928999999</v>
      </c>
      <c r="AF24" s="40">
        <f t="shared" si="11"/>
        <v>5711092269.986743</v>
      </c>
      <c r="AG24" s="40"/>
      <c r="AH24" s="44">
        <f t="shared" si="12"/>
        <v>-8.7960410973031804E-3</v>
      </c>
      <c r="AI24" s="45">
        <f t="shared" si="4"/>
        <v>2035</v>
      </c>
      <c r="AJ24" s="46">
        <f>SUM(AB94:AB97)/AVERAGE(AF94:AF97)</f>
        <v>-6.717902554949802E-2</v>
      </c>
      <c r="AK24" s="40">
        <v>10619434</v>
      </c>
      <c r="AL24" s="46">
        <f>AK24/AVERAGE(AF94:AF97)</f>
        <v>1.8187903979270698E-3</v>
      </c>
      <c r="AM24" s="46">
        <f>(AF97-AF93)/AF93</f>
        <v>-5.5442511664832101E-3</v>
      </c>
      <c r="AN24" s="46"/>
      <c r="AO24" s="40">
        <f t="shared" si="5"/>
        <v>590075985.17241764</v>
      </c>
      <c r="AP24" s="40">
        <f t="shared" si="8"/>
        <v>236579468.52985629</v>
      </c>
      <c r="AQ24" s="47">
        <f>AO24/AF97</f>
        <v>0.10103933176461725</v>
      </c>
      <c r="AR24" s="47">
        <f>AP24/AF97</f>
        <v>4.0509751303470488E-2</v>
      </c>
      <c r="AT24" s="39">
        <v>11142497</v>
      </c>
      <c r="AV24" s="39">
        <f t="shared" si="13"/>
        <v>6.2844062937817151E-4</v>
      </c>
      <c r="AW24" s="56">
        <v>6730.9197858612497</v>
      </c>
      <c r="AX24" s="44">
        <f t="shared" si="14"/>
        <v>2.7493916077623477E-2</v>
      </c>
      <c r="BB24" s="44">
        <f t="shared" si="6"/>
        <v>1.5042829754097101E-2</v>
      </c>
      <c r="BC24" s="39">
        <f t="shared" si="7"/>
        <v>2035</v>
      </c>
      <c r="BD24" s="44">
        <f>SUM(T94:T97)/AVERAGE(AF94:AF97)</f>
        <v>5.2278398707970013E-2</v>
      </c>
      <c r="BE24" s="44">
        <f>SUM(P94:P97)/AVERAGE(AF94:AF97)</f>
        <v>1.3587649447992411E-2</v>
      </c>
      <c r="BF24" s="44">
        <f>SUM(D94:D97)/AVERAGE(AF94:AF97)</f>
        <v>0.10586977480947563</v>
      </c>
      <c r="BG24" s="44">
        <f>(SUM(H94:H97)+SUM(J94:J97))/AVERAGE(AF94:AF97)</f>
        <v>2.1017294747444459E-2</v>
      </c>
      <c r="BH24" s="46">
        <f t="shared" si="2"/>
        <v>-8.8196320296942479E-2</v>
      </c>
    </row>
    <row r="25" spans="1:60">
      <c r="A25" s="39">
        <f t="shared" si="15"/>
        <v>2017</v>
      </c>
      <c r="B25" s="39">
        <f t="shared" si="16"/>
        <v>4</v>
      </c>
      <c r="C25" s="40"/>
      <c r="D25" s="54">
        <v>114600535.52053501</v>
      </c>
      <c r="E25" s="40"/>
      <c r="F25" s="43">
        <v>20830003.883182898</v>
      </c>
      <c r="G25" s="57">
        <v>168974</v>
      </c>
      <c r="H25" s="57">
        <v>929645.09260993998</v>
      </c>
      <c r="I25" s="57">
        <v>5226</v>
      </c>
      <c r="J25" s="57">
        <v>28751.910080719801</v>
      </c>
      <c r="K25" s="40"/>
      <c r="L25" s="54">
        <v>3427329.4687653901</v>
      </c>
      <c r="M25" s="43"/>
      <c r="N25" s="54">
        <v>861449.46977992705</v>
      </c>
      <c r="O25" s="40"/>
      <c r="P25" s="54">
        <v>22523869.720306899</v>
      </c>
      <c r="Q25" s="43"/>
      <c r="R25" s="54">
        <v>22462196.867012601</v>
      </c>
      <c r="S25" s="43"/>
      <c r="T25" s="43">
        <v>85886156.557811007</v>
      </c>
      <c r="U25" s="40"/>
      <c r="V25" s="54">
        <v>105653.158471952</v>
      </c>
      <c r="W25" s="43"/>
      <c r="X25" s="54">
        <v>265370.27343073097</v>
      </c>
      <c r="Y25" s="40"/>
      <c r="Z25" s="40">
        <f t="shared" si="9"/>
        <v>-2550932.7962436602</v>
      </c>
      <c r="AA25" s="40"/>
      <c r="AB25" s="40">
        <f t="shared" si="10"/>
        <v>-51238248.683030903</v>
      </c>
      <c r="AC25" s="17"/>
      <c r="AD25" s="40">
        <v>11544217084.2855</v>
      </c>
      <c r="AE25" s="40">
        <v>200.87293846</v>
      </c>
      <c r="AF25" s="40">
        <f t="shared" si="11"/>
        <v>5747024548.3486614</v>
      </c>
      <c r="AG25" s="40"/>
      <c r="AH25" s="44">
        <f t="shared" si="12"/>
        <v>-8.9156133320769607E-3</v>
      </c>
      <c r="AI25" s="45">
        <f t="shared" si="4"/>
        <v>2036</v>
      </c>
      <c r="AJ25" s="46">
        <f>SUM(AB98:AB101)/AVERAGE(AF98:AF101)</f>
        <v>-6.8919543400057418E-2</v>
      </c>
      <c r="AK25" s="40">
        <v>9565382</v>
      </c>
      <c r="AL25" s="46">
        <f>AK25/AVERAGE(AF98:AF101)</f>
        <v>1.6314915036077559E-3</v>
      </c>
      <c r="AM25" s="46">
        <f>(AF101-AF97)/AF97</f>
        <v>3.2863475878179465E-3</v>
      </c>
      <c r="AN25" s="46"/>
      <c r="AO25" s="40">
        <f t="shared" si="5"/>
        <v>592015179.96291828</v>
      </c>
      <c r="AP25" s="40">
        <f t="shared" si="8"/>
        <v>227777169.64441368</v>
      </c>
      <c r="AQ25" s="47">
        <f>AO25/AF101</f>
        <v>0.10103933176461725</v>
      </c>
      <c r="AR25" s="47">
        <f>AP25/AF101</f>
        <v>3.887476840298075E-2</v>
      </c>
      <c r="AS25" s="39"/>
      <c r="AT25" s="39">
        <v>11181611</v>
      </c>
      <c r="AU25" s="39"/>
      <c r="AV25" s="39">
        <f t="shared" si="13"/>
        <v>3.5103442253563094E-3</v>
      </c>
      <c r="AW25" s="56">
        <v>6722.1618287807796</v>
      </c>
      <c r="AX25" s="44">
        <f t="shared" si="14"/>
        <v>-1.3011530903795283E-3</v>
      </c>
      <c r="AY25" s="39">
        <v>100</v>
      </c>
      <c r="AZ25">
        <v>100</v>
      </c>
      <c r="BB25" s="44">
        <f t="shared" si="6"/>
        <v>1.3094020064936714E-2</v>
      </c>
      <c r="BC25" s="39">
        <f t="shared" si="7"/>
        <v>2036</v>
      </c>
      <c r="BD25" s="44">
        <f>SUM(T98:T101)/AVERAGE(AF98:AF101)</f>
        <v>5.2052650420786328E-2</v>
      </c>
      <c r="BE25" s="44">
        <f>SUM(P98:P101)/AVERAGE(AF98:AF101)</f>
        <v>1.3595002048763653E-2</v>
      </c>
      <c r="BF25" s="44">
        <f>SUM(D98:D101)/AVERAGE(AF98:AF101)</f>
        <v>0.10737719177208009</v>
      </c>
      <c r="BG25" s="44">
        <f>(SUM(H98:H101)+SUM(J98:J101))/AVERAGE(AF98:AF101)</f>
        <v>2.2773287794247237E-2</v>
      </c>
      <c r="BH25" s="46">
        <f t="shared" si="2"/>
        <v>-9.1692831194304658E-2</v>
      </c>
    </row>
    <row r="26" spans="1:60" s="29" customFormat="1">
      <c r="A26" s="29">
        <f t="shared" si="15"/>
        <v>2018</v>
      </c>
      <c r="B26" s="29">
        <f t="shared" si="16"/>
        <v>1</v>
      </c>
      <c r="C26" s="30">
        <f>D26*0.081</f>
        <v>8708565.1420347039</v>
      </c>
      <c r="D26" s="51">
        <v>107513149.90166301</v>
      </c>
      <c r="E26" s="30"/>
      <c r="F26" s="33">
        <v>19541787.651974499</v>
      </c>
      <c r="G26" s="59">
        <v>183168</v>
      </c>
      <c r="H26" s="59">
        <v>1007736.29270289</v>
      </c>
      <c r="I26" s="59">
        <v>5665</v>
      </c>
      <c r="J26" s="59">
        <v>31167.1585547795</v>
      </c>
      <c r="K26" s="30"/>
      <c r="L26" s="51">
        <v>3677262.4433084</v>
      </c>
      <c r="M26" s="33"/>
      <c r="N26" s="51">
        <v>810651.37271382695</v>
      </c>
      <c r="O26" s="30"/>
      <c r="P26" s="51">
        <v>23541296.971145999</v>
      </c>
      <c r="Q26" s="33"/>
      <c r="R26" s="51">
        <v>19522016.8592554</v>
      </c>
      <c r="S26" s="33"/>
      <c r="T26" s="33">
        <v>74644123.467751801</v>
      </c>
      <c r="U26" s="30"/>
      <c r="V26" s="51">
        <v>94328.107617803296</v>
      </c>
      <c r="W26" s="33"/>
      <c r="X26" s="51">
        <v>236925.010787871</v>
      </c>
      <c r="Y26" s="30"/>
      <c r="Z26" s="30">
        <f t="shared" si="9"/>
        <v>-4413356.5011235233</v>
      </c>
      <c r="AA26" s="30"/>
      <c r="AB26" s="30">
        <f t="shared" si="10"/>
        <v>-56410323.405057207</v>
      </c>
      <c r="AC26" s="17"/>
      <c r="AD26" s="30"/>
      <c r="AE26" s="30"/>
      <c r="AF26" s="30">
        <f>AZ26/100*AF25</f>
        <v>5688642946.6873102</v>
      </c>
      <c r="AG26" s="34">
        <f t="shared" ref="AG26:AG57" si="17">(AF26-AF25)/AF25</f>
        <v>-1.0158578786326301E-2</v>
      </c>
      <c r="AH26" s="34">
        <f t="shared" si="12"/>
        <v>-9.9163058630541839E-3</v>
      </c>
      <c r="AI26" s="35">
        <f t="shared" si="4"/>
        <v>2037</v>
      </c>
      <c r="AJ26" s="36">
        <f>SUM(AB102:AB105)/AVERAGE(AF102:AF105)</f>
        <v>-7.1140581644413906E-2</v>
      </c>
      <c r="AK26" s="30">
        <v>8568343</v>
      </c>
      <c r="AL26" s="36">
        <f>AK26/AVERAGE(AF102:AF105)</f>
        <v>1.4636248550341411E-3</v>
      </c>
      <c r="AM26" s="36">
        <f>(AF105-AF101)/AF101</f>
        <v>3.0835229180254374E-4</v>
      </c>
      <c r="AN26" s="36"/>
      <c r="AO26" s="30">
        <f t="shared" si="5"/>
        <v>592197729.20044172</v>
      </c>
      <c r="AP26" s="30">
        <f t="shared" si="8"/>
        <v>219277851.37617695</v>
      </c>
      <c r="AQ26" s="37">
        <f>AO26/AF105</f>
        <v>0.10103933176461724</v>
      </c>
      <c r="AR26" s="37">
        <f>AP26/AF105</f>
        <v>3.7412652027125418E-2</v>
      </c>
      <c r="AT26" s="29">
        <v>11203608</v>
      </c>
      <c r="AV26" s="29">
        <f t="shared" si="13"/>
        <v>1.9672478321773133E-3</v>
      </c>
      <c r="AW26" s="53">
        <v>6640.8100989575996</v>
      </c>
      <c r="AX26" s="34">
        <f t="shared" si="14"/>
        <v>-1.2102018947963207E-2</v>
      </c>
      <c r="AY26" s="29">
        <f t="shared" ref="AY26:AY57" si="18">AY25*((1+AX26))</f>
        <v>98.789798105203673</v>
      </c>
      <c r="AZ26" s="29">
        <f>AZ25*(1+AV26)*(1+AX26)</f>
        <v>98.98414212136737</v>
      </c>
      <c r="BB26" s="34">
        <f t="shared" si="6"/>
        <v>1.5044665918099571E-2</v>
      </c>
      <c r="BC26" s="29">
        <f t="shared" si="7"/>
        <v>2037</v>
      </c>
      <c r="BD26" s="34">
        <f>SUM(T102:T105)/AVERAGE(AF102:AF105)</f>
        <v>5.2177386453263412E-2</v>
      </c>
      <c r="BE26" s="34">
        <f>SUM(P102:P105)/AVERAGE(AF102:AF105)</f>
        <v>1.3751444187563855E-2</v>
      </c>
      <c r="BF26" s="34">
        <f>SUM(D102:D105)/AVERAGE(AF102:AF105)</f>
        <v>0.10956652391011347</v>
      </c>
      <c r="BG26" s="34">
        <f>(SUM(H102:H105)+SUM(J102:J105))/AVERAGE(AF102:AF105)</f>
        <v>2.4575087873988617E-2</v>
      </c>
      <c r="BH26" s="36">
        <f t="shared" si="2"/>
        <v>-9.5715669518402519E-2</v>
      </c>
    </row>
    <row r="27" spans="1:60" s="39" customFormat="1">
      <c r="A27" s="39">
        <f t="shared" si="15"/>
        <v>2018</v>
      </c>
      <c r="B27" s="39">
        <f t="shared" si="16"/>
        <v>2</v>
      </c>
      <c r="C27" s="40">
        <f>D27*0.081</f>
        <v>8603940.1686724983</v>
      </c>
      <c r="D27" s="54">
        <v>106221483.563858</v>
      </c>
      <c r="E27" s="40"/>
      <c r="F27" s="43">
        <v>19307012.005333401</v>
      </c>
      <c r="G27" s="57">
        <v>219481</v>
      </c>
      <c r="H27" s="57">
        <v>1207519.70463576</v>
      </c>
      <c r="I27" s="57">
        <v>6788</v>
      </c>
      <c r="J27" s="57">
        <v>37345.573216212397</v>
      </c>
      <c r="K27" s="40"/>
      <c r="L27" s="54">
        <v>2747400.8313832702</v>
      </c>
      <c r="M27" s="43"/>
      <c r="N27" s="54">
        <v>801995.89075169002</v>
      </c>
      <c r="O27" s="40"/>
      <c r="P27" s="54">
        <v>18668620.738514699</v>
      </c>
      <c r="Q27" s="43"/>
      <c r="R27" s="54">
        <v>22276321.279821198</v>
      </c>
      <c r="S27" s="43"/>
      <c r="T27" s="43">
        <v>85175445.140031502</v>
      </c>
      <c r="U27" s="40"/>
      <c r="V27" s="54">
        <v>97883.359066994497</v>
      </c>
      <c r="W27" s="43"/>
      <c r="X27" s="54">
        <v>245854.77742080399</v>
      </c>
      <c r="Y27" s="40"/>
      <c r="Z27" s="40">
        <f t="shared" si="9"/>
        <v>-482204.08858016878</v>
      </c>
      <c r="AA27" s="40"/>
      <c r="AB27" s="40">
        <f t="shared" si="10"/>
        <v>-39714659.1623412</v>
      </c>
      <c r="AC27" s="17"/>
      <c r="AD27" s="40"/>
      <c r="AE27" s="40"/>
      <c r="AF27" s="40">
        <f>AZ27/100*AF25</f>
        <v>5696004817.4195204</v>
      </c>
      <c r="AG27" s="44">
        <f t="shared" si="17"/>
        <v>1.2941347877172052E-3</v>
      </c>
      <c r="AH27" s="44">
        <f t="shared" si="12"/>
        <v>-6.9723710627641747E-3</v>
      </c>
      <c r="AI27" s="45">
        <f t="shared" si="4"/>
        <v>2038</v>
      </c>
      <c r="AJ27" s="46">
        <f>SUM(AB106:AB109)/AVERAGE(AF106:AF109)</f>
        <v>-7.5299013806241946E-2</v>
      </c>
      <c r="AK27" s="40">
        <v>7625832</v>
      </c>
      <c r="AL27" s="46">
        <f>AK27/AVERAGE(AF106:AF109)</f>
        <v>1.3157560408970522E-3</v>
      </c>
      <c r="AM27" s="46">
        <f>(AF109-AF105)/AF105</f>
        <v>-1.3663158436608761E-2</v>
      </c>
      <c r="AN27" s="46"/>
      <c r="AO27" s="40">
        <f t="shared" si="5"/>
        <v>584106437.80057609</v>
      </c>
      <c r="AP27" s="40">
        <f t="shared" si="8"/>
        <v>208703865.0753926</v>
      </c>
      <c r="AQ27" s="47">
        <f>AO27/AF109</f>
        <v>0.10103933176461723</v>
      </c>
      <c r="AR27" s="47">
        <f>AP27/AF109</f>
        <v>3.6101809018427682E-2</v>
      </c>
      <c r="AT27" s="39">
        <v>11276429</v>
      </c>
      <c r="AV27" s="39">
        <f t="shared" si="13"/>
        <v>6.4997811419321349E-3</v>
      </c>
      <c r="AW27" s="56">
        <v>6606.4636345783902</v>
      </c>
      <c r="AX27" s="44">
        <f t="shared" si="14"/>
        <v>-5.17202929573318E-3</v>
      </c>
      <c r="AY27" s="39">
        <f t="shared" si="18"/>
        <v>98.278854375283998</v>
      </c>
      <c r="AZ27" s="39">
        <f t="shared" ref="AZ27:AZ90" si="19">AZ26*(1+AV27)*(1+AX27)</f>
        <v>99.112240943118962</v>
      </c>
      <c r="BB27" s="44">
        <f t="shared" si="6"/>
        <v>1.3121216614222244E-2</v>
      </c>
      <c r="BC27" s="39">
        <f t="shared" si="7"/>
        <v>2038</v>
      </c>
      <c r="BD27" s="44">
        <f>SUM(T106:T109)/AVERAGE(AF106:AF109)</f>
        <v>5.1617734797148027E-2</v>
      </c>
      <c r="BE27" s="44">
        <f>SUM(P106:P109)/AVERAGE(AF106:AF109)</f>
        <v>1.4127227100979932E-2</v>
      </c>
      <c r="BF27" s="44">
        <f>SUM(D106:D109)/AVERAGE(AF106:AF109)</f>
        <v>0.11278952150241005</v>
      </c>
      <c r="BG27" s="44">
        <f>(SUM(H106:H109)+SUM(J106:J109))/AVERAGE(AF106:AF109)</f>
        <v>2.6911505444211482E-2</v>
      </c>
      <c r="BH27" s="46">
        <f t="shared" si="2"/>
        <v>-0.10221051925045344</v>
      </c>
    </row>
    <row r="28" spans="1:60" s="39" customFormat="1">
      <c r="A28" s="39">
        <f t="shared" si="15"/>
        <v>2018</v>
      </c>
      <c r="B28" s="39">
        <f t="shared" si="16"/>
        <v>3</v>
      </c>
      <c r="C28" s="40">
        <f>D28*0.081</f>
        <v>8543798.4066677913</v>
      </c>
      <c r="D28" s="54">
        <v>105478992.67491101</v>
      </c>
      <c r="E28" s="40"/>
      <c r="F28" s="43">
        <v>19172055.497235399</v>
      </c>
      <c r="G28" s="57">
        <v>248434</v>
      </c>
      <c r="H28" s="57">
        <v>1366810.5681197001</v>
      </c>
      <c r="I28" s="57">
        <v>7684</v>
      </c>
      <c r="J28" s="57">
        <v>42275.100853473203</v>
      </c>
      <c r="K28" s="40"/>
      <c r="L28" s="54">
        <v>2626493.1461475901</v>
      </c>
      <c r="M28" s="43"/>
      <c r="N28" s="54">
        <v>797733.78756801796</v>
      </c>
      <c r="O28" s="40"/>
      <c r="P28" s="54">
        <v>18017781.350862999</v>
      </c>
      <c r="Q28" s="43"/>
      <c r="R28" s="54">
        <v>19819637.525536999</v>
      </c>
      <c r="S28" s="43"/>
      <c r="T28" s="43">
        <v>75782101.880568594</v>
      </c>
      <c r="U28" s="40"/>
      <c r="V28" s="54">
        <v>95711.224462535494</v>
      </c>
      <c r="W28" s="43"/>
      <c r="X28" s="54">
        <v>240399.001538187</v>
      </c>
      <c r="Y28" s="40"/>
      <c r="Z28" s="40">
        <f t="shared" si="9"/>
        <v>-2680933.6809514724</v>
      </c>
      <c r="AA28" s="40"/>
      <c r="AB28" s="40">
        <f t="shared" si="10"/>
        <v>-47714672.145205408</v>
      </c>
      <c r="AC28" s="17"/>
      <c r="AD28" s="40"/>
      <c r="AE28" s="40"/>
      <c r="AF28" s="40">
        <f>AZ28/100*AF25</f>
        <v>5768985468.6764431</v>
      </c>
      <c r="AG28" s="44">
        <f t="shared" si="17"/>
        <v>1.2812603499514838E-2</v>
      </c>
      <c r="AH28" s="44">
        <f t="shared" si="12"/>
        <v>-8.2708948400510365E-3</v>
      </c>
      <c r="AI28" s="45">
        <f t="shared" si="4"/>
        <v>2039</v>
      </c>
      <c r="AJ28" s="46">
        <f>SUM(AB110:AB113)/AVERAGE(AF110:AF113)</f>
        <v>-7.8537802635351817E-2</v>
      </c>
      <c r="AK28" s="40">
        <v>6769869</v>
      </c>
      <c r="AL28" s="46">
        <f>AK28/AVERAGE(AF110:AF113)</f>
        <v>1.1740383723232728E-3</v>
      </c>
      <c r="AM28" s="46">
        <f>(AF113-AF109)/AF109</f>
        <v>-1.8761864377761558E-3</v>
      </c>
      <c r="AN28" s="46"/>
      <c r="AO28" s="40">
        <f t="shared" si="5"/>
        <v>583010545.22375691</v>
      </c>
      <c r="AP28" s="40">
        <f t="shared" si="8"/>
        <v>201548252.22567704</v>
      </c>
      <c r="AQ28" s="47">
        <f>AO28/AF113</f>
        <v>0.10103933176461723</v>
      </c>
      <c r="AR28" s="47">
        <f>AP28/AF113</f>
        <v>3.4929558118701277E-2</v>
      </c>
      <c r="AT28" s="39">
        <v>11306949</v>
      </c>
      <c r="AV28" s="39">
        <f t="shared" si="13"/>
        <v>2.7065305869437921E-3</v>
      </c>
      <c r="AW28" s="56">
        <v>6673.0488229148204</v>
      </c>
      <c r="AX28" s="44">
        <f t="shared" si="14"/>
        <v>1.0078794347390608E-2</v>
      </c>
      <c r="AY28" s="39">
        <f t="shared" si="18"/>
        <v>99.269386737229638</v>
      </c>
      <c r="AZ28" s="39">
        <f>AZ27*(1+AV28)*(1+AX28)</f>
        <v>100.38212678827155</v>
      </c>
      <c r="BB28" s="44">
        <f t="shared" si="6"/>
        <v>1.4918279417550426E-2</v>
      </c>
      <c r="BC28" s="39">
        <f t="shared" si="7"/>
        <v>2039</v>
      </c>
      <c r="BD28" s="44">
        <f>SUM(T110:T113)/AVERAGE(AF110:AF113)</f>
        <v>5.1430259604050059E-2</v>
      </c>
      <c r="BE28" s="44">
        <f>SUM(P110:P113)/AVERAGE(AF110:AF113)</f>
        <v>1.4156134351051484E-2</v>
      </c>
      <c r="BF28" s="44">
        <f>SUM(D110:D113)/AVERAGE(AF110:AF113)</f>
        <v>0.11581192788835039</v>
      </c>
      <c r="BG28" s="44">
        <f>(SUM(H110:H113)+SUM(J110:J113))/AVERAGE(AF110:AF113)</f>
        <v>2.9217053821209305E-2</v>
      </c>
      <c r="BH28" s="46">
        <f t="shared" si="2"/>
        <v>-0.10775485645656112</v>
      </c>
    </row>
    <row r="29" spans="1:60" s="39" customFormat="1">
      <c r="A29" s="39">
        <f t="shared" si="15"/>
        <v>2018</v>
      </c>
      <c r="B29" s="39">
        <f t="shared" si="16"/>
        <v>4</v>
      </c>
      <c r="C29" s="40">
        <f>D29*0.081</f>
        <v>8582199.4123925399</v>
      </c>
      <c r="D29" s="54">
        <v>105953079.16534001</v>
      </c>
      <c r="E29" s="40"/>
      <c r="F29" s="43">
        <v>19258226.328739401</v>
      </c>
      <c r="G29" s="57">
        <v>263812</v>
      </c>
      <c r="H29" s="57">
        <v>1451415.78687617</v>
      </c>
      <c r="I29" s="57">
        <v>8159</v>
      </c>
      <c r="J29" s="57">
        <v>44888.410705815702</v>
      </c>
      <c r="K29" s="40"/>
      <c r="L29" s="54">
        <v>2669342.1441023899</v>
      </c>
      <c r="M29" s="43"/>
      <c r="N29" s="54">
        <v>802326.44013181305</v>
      </c>
      <c r="O29" s="40"/>
      <c r="P29" s="54">
        <v>18265392.424300399</v>
      </c>
      <c r="Q29" s="43"/>
      <c r="R29" s="54">
        <v>22599686.915083598</v>
      </c>
      <c r="S29" s="43"/>
      <c r="T29" s="43">
        <v>86411861.673106506</v>
      </c>
      <c r="U29" s="40"/>
      <c r="V29" s="54">
        <v>101899.929736465</v>
      </c>
      <c r="W29" s="43"/>
      <c r="X29" s="54">
        <v>255943.24493305801</v>
      </c>
      <c r="Y29" s="40"/>
      <c r="Z29" s="40">
        <f t="shared" si="9"/>
        <v>-28308.068153541535</v>
      </c>
      <c r="AA29" s="40"/>
      <c r="AB29" s="40">
        <f t="shared" si="10"/>
        <v>-37806609.916533902</v>
      </c>
      <c r="AC29" s="17"/>
      <c r="AD29" s="40"/>
      <c r="AE29" s="40"/>
      <c r="AF29" s="40">
        <f>AZ29/100*AF25</f>
        <v>5773863505.7410479</v>
      </c>
      <c r="AG29" s="44">
        <f t="shared" si="17"/>
        <v>8.4556237679758088E-4</v>
      </c>
      <c r="AH29" s="44">
        <f t="shared" si="12"/>
        <v>-6.5478877148623564E-3</v>
      </c>
      <c r="AI29" s="45">
        <f t="shared" si="4"/>
        <v>2040</v>
      </c>
      <c r="AJ29" s="46">
        <f>SUM(AB114:AB117)/AVERAGE(AF114:AF117)</f>
        <v>-8.0480919653436719E-2</v>
      </c>
      <c r="AK29" s="40">
        <v>5968393</v>
      </c>
      <c r="AL29" s="46">
        <f>AK29/AVERAGE(AF114:AF117)</f>
        <v>1.0303153959139433E-3</v>
      </c>
      <c r="AM29" s="46">
        <f>(AF117-AF113)/AF113</f>
        <v>5.533495616878846E-3</v>
      </c>
      <c r="AN29" s="46"/>
      <c r="AO29" s="40">
        <f t="shared" si="5"/>
        <v>586236631.52034676</v>
      </c>
      <c r="AP29" s="40">
        <f t="shared" si="8"/>
        <v>196680003.72590858</v>
      </c>
      <c r="AQ29" s="47">
        <f>AO29/AF117</f>
        <v>0.10103933176461724</v>
      </c>
      <c r="AR29" s="47">
        <f>AP29/AF117</f>
        <v>3.3898284548324942E-2</v>
      </c>
      <c r="AT29" s="39">
        <v>11331440</v>
      </c>
      <c r="AV29" s="39">
        <f t="shared" si="13"/>
        <v>2.1660131305093885E-3</v>
      </c>
      <c r="AW29" s="56">
        <v>6664.2564349947297</v>
      </c>
      <c r="AX29" s="44">
        <f t="shared" si="14"/>
        <v>-1.3175968216953902E-3</v>
      </c>
      <c r="AY29" s="39">
        <f t="shared" si="18"/>
        <v>99.138589708773011</v>
      </c>
      <c r="AZ29" s="39">
        <f t="shared" si="19"/>
        <v>100.46700613798663</v>
      </c>
      <c r="BB29" s="44">
        <f t="shared" si="6"/>
        <v>1.3000312191967487E-2</v>
      </c>
      <c r="BC29" s="39">
        <f t="shared" si="7"/>
        <v>2040</v>
      </c>
      <c r="BD29" s="44">
        <f>SUM(T114:T117)/AVERAGE(AF114:AF117)</f>
        <v>5.1321994628166043E-2</v>
      </c>
      <c r="BE29" s="44">
        <f>SUM(P114:P117)/AVERAGE(AF114:AF117)</f>
        <v>1.4124231684855623E-2</v>
      </c>
      <c r="BF29" s="44">
        <f>SUM(D114:D117)/AVERAGE(AF114:AF117)</f>
        <v>0.11767868259674714</v>
      </c>
      <c r="BG29" s="44">
        <f>(SUM(H114:H117)+SUM(J114:J117))/AVERAGE(AF114:AF117)</f>
        <v>3.0954927147083044E-2</v>
      </c>
      <c r="BH29" s="46">
        <f t="shared" si="2"/>
        <v>-0.11143584680051977</v>
      </c>
    </row>
    <row r="30" spans="1:60" s="29" customFormat="1">
      <c r="A30" s="29">
        <f t="shared" si="15"/>
        <v>2019</v>
      </c>
      <c r="B30" s="29">
        <f t="shared" si="16"/>
        <v>1</v>
      </c>
      <c r="C30" s="30"/>
      <c r="D30" s="51">
        <v>106822442.432539</v>
      </c>
      <c r="E30" s="30"/>
      <c r="F30" s="33">
        <v>19416243.3934015</v>
      </c>
      <c r="G30" s="59">
        <v>296529</v>
      </c>
      <c r="H30" s="59">
        <v>1631415.06780057</v>
      </c>
      <c r="I30" s="59">
        <v>9171</v>
      </c>
      <c r="J30" s="59">
        <v>50456.136117543298</v>
      </c>
      <c r="K30" s="30"/>
      <c r="L30" s="51">
        <v>3099364.9192076898</v>
      </c>
      <c r="M30" s="33"/>
      <c r="N30" s="51">
        <v>809964.97742421599</v>
      </c>
      <c r="O30" s="30"/>
      <c r="P30" s="51">
        <v>20538807.627014</v>
      </c>
      <c r="Q30" s="33"/>
      <c r="R30" s="51">
        <v>20053339.982151002</v>
      </c>
      <c r="S30" s="33"/>
      <c r="T30" s="33">
        <v>76675683.478821099</v>
      </c>
      <c r="U30" s="30"/>
      <c r="V30" s="51">
        <v>104906.71363091801</v>
      </c>
      <c r="W30" s="33"/>
      <c r="X30" s="51">
        <v>263495.41919607198</v>
      </c>
      <c r="Y30" s="30"/>
      <c r="Z30" s="30">
        <f t="shared" si="9"/>
        <v>-3167326.5942514855</v>
      </c>
      <c r="AA30" s="30"/>
      <c r="AB30" s="30">
        <f t="shared" si="10"/>
        <v>-50685566.580731899</v>
      </c>
      <c r="AC30" s="17"/>
      <c r="AD30" s="30"/>
      <c r="AE30" s="30"/>
      <c r="AF30" s="30">
        <f>AZ30/100*AF25</f>
        <v>5822177868.7861567</v>
      </c>
      <c r="AG30" s="34">
        <f t="shared" si="17"/>
        <v>8.3677702108941477E-3</v>
      </c>
      <c r="AH30" s="34">
        <f t="shared" si="12"/>
        <v>-8.7056025636844964E-3</v>
      </c>
      <c r="AK30" s="30"/>
      <c r="AP30" s="49">
        <f>(AP29-AP6)/AP6</f>
        <v>-0.66129103612649531</v>
      </c>
      <c r="AT30" s="29">
        <v>11396969</v>
      </c>
      <c r="AV30" s="29">
        <f t="shared" si="13"/>
        <v>5.7829366788334051E-3</v>
      </c>
      <c r="AW30" s="53">
        <v>6681.3833844300698</v>
      </c>
      <c r="AX30" s="34">
        <f t="shared" si="14"/>
        <v>2.5699715493246338E-3</v>
      </c>
      <c r="AY30" s="29">
        <f t="shared" si="18"/>
        <v>99.393373063764727</v>
      </c>
      <c r="AZ30" s="29">
        <f t="shared" si="19"/>
        <v>101.30769095912579</v>
      </c>
      <c r="BB30" s="34">
        <f t="shared" si="6"/>
        <v>1.4918858156266869E-2</v>
      </c>
    </row>
    <row r="31" spans="1:60" s="39" customFormat="1">
      <c r="A31" s="39">
        <f t="shared" si="15"/>
        <v>2019</v>
      </c>
      <c r="B31" s="39">
        <f t="shared" si="16"/>
        <v>2</v>
      </c>
      <c r="C31" s="40"/>
      <c r="D31" s="54">
        <v>107895645.34816299</v>
      </c>
      <c r="E31" s="40"/>
      <c r="F31" s="43">
        <v>19611310.727060501</v>
      </c>
      <c r="G31" s="57">
        <v>320781</v>
      </c>
      <c r="H31" s="57">
        <v>1764842.4163037499</v>
      </c>
      <c r="I31" s="57">
        <v>9922</v>
      </c>
      <c r="J31" s="57">
        <v>54587.916536720601</v>
      </c>
      <c r="K31" s="40"/>
      <c r="L31" s="54">
        <v>2570974.4961156198</v>
      </c>
      <c r="M31" s="43"/>
      <c r="N31" s="54">
        <v>818565.30930258695</v>
      </c>
      <c r="O31" s="40"/>
      <c r="P31" s="54">
        <v>17844303.698213499</v>
      </c>
      <c r="Q31" s="43"/>
      <c r="R31" s="54">
        <v>22922401.445479199</v>
      </c>
      <c r="S31" s="43"/>
      <c r="T31" s="43">
        <v>87645788.650291204</v>
      </c>
      <c r="U31" s="40"/>
      <c r="V31" s="54">
        <v>110867.443508678</v>
      </c>
      <c r="W31" s="43"/>
      <c r="X31" s="54">
        <v>278467.05412289599</v>
      </c>
      <c r="Y31" s="40"/>
      <c r="Z31" s="40">
        <f t="shared" si="9"/>
        <v>32418.356509167701</v>
      </c>
      <c r="AA31" s="40"/>
      <c r="AB31" s="40">
        <f t="shared" si="10"/>
        <v>-38094160.396085292</v>
      </c>
      <c r="AC31" s="17"/>
      <c r="AD31" s="40"/>
      <c r="AE31" s="40"/>
      <c r="AF31" s="40">
        <f>AZ31/100*AF25</f>
        <v>5826416311.4935064</v>
      </c>
      <c r="AG31" s="44">
        <f t="shared" si="17"/>
        <v>7.2798234661859164E-4</v>
      </c>
      <c r="AH31" s="44">
        <f t="shared" si="12"/>
        <v>-6.5381803083550127E-3</v>
      </c>
      <c r="AT31" s="39">
        <v>11388448</v>
      </c>
      <c r="AV31" s="39">
        <f t="shared" si="13"/>
        <v>-7.4765492474358753E-4</v>
      </c>
      <c r="AW31" s="56">
        <v>6691.2500596447098</v>
      </c>
      <c r="AX31" s="44">
        <f t="shared" si="14"/>
        <v>1.4767413643157813E-3</v>
      </c>
      <c r="AY31" s="39">
        <f t="shared" si="18"/>
        <v>99.540151369106852</v>
      </c>
      <c r="AZ31" s="39">
        <f t="shared" si="19"/>
        <v>101.38144116972072</v>
      </c>
      <c r="BB31" s="44">
        <f t="shared" si="6"/>
        <v>1.3004445680993583E-2</v>
      </c>
    </row>
    <row r="32" spans="1:60" s="39" customFormat="1">
      <c r="A32" s="39">
        <f t="shared" si="15"/>
        <v>2019</v>
      </c>
      <c r="B32" s="39">
        <f t="shared" si="16"/>
        <v>3</v>
      </c>
      <c r="C32" s="40">
        <f>SUM(C26:C29)</f>
        <v>34438503.129767537</v>
      </c>
      <c r="D32" s="54">
        <v>108692331.720172</v>
      </c>
      <c r="E32" s="40"/>
      <c r="F32" s="43">
        <v>19756117.905729</v>
      </c>
      <c r="G32" s="57">
        <v>351904</v>
      </c>
      <c r="H32" s="57">
        <v>1936071.9795341799</v>
      </c>
      <c r="I32" s="57">
        <v>10883</v>
      </c>
      <c r="J32" s="57">
        <v>59875.054995880899</v>
      </c>
      <c r="K32" s="40"/>
      <c r="L32" s="54">
        <v>2523060.5455092499</v>
      </c>
      <c r="M32" s="43"/>
      <c r="N32" s="54">
        <v>825621.66507783195</v>
      </c>
      <c r="O32" s="40"/>
      <c r="P32" s="54">
        <v>17634499.968257599</v>
      </c>
      <c r="Q32" s="43"/>
      <c r="R32" s="54">
        <v>19881796.3554301</v>
      </c>
      <c r="S32" s="43"/>
      <c r="T32" s="43">
        <v>76019771.554076403</v>
      </c>
      <c r="U32" s="40"/>
      <c r="V32" s="54">
        <v>106695.63289279101</v>
      </c>
      <c r="W32" s="43"/>
      <c r="X32" s="54">
        <v>267988.66862216301</v>
      </c>
      <c r="Y32" s="40"/>
      <c r="Z32" s="40">
        <f t="shared" si="9"/>
        <v>-3116308.1279931888</v>
      </c>
      <c r="AA32" s="40"/>
      <c r="AB32" s="40">
        <f t="shared" si="10"/>
        <v>-50307060.134353198</v>
      </c>
      <c r="AC32" s="17"/>
      <c r="AD32" s="40"/>
      <c r="AE32" s="40"/>
      <c r="AF32" s="40">
        <f>AZ32/100*AF25</f>
        <v>5805686196.9871912</v>
      </c>
      <c r="AG32" s="44">
        <f t="shared" si="17"/>
        <v>-3.5579528475199887E-3</v>
      </c>
      <c r="AH32" s="44">
        <f t="shared" si="12"/>
        <v>-8.6651359421491981E-3</v>
      </c>
      <c r="AT32" s="39">
        <v>11380161</v>
      </c>
      <c r="AV32" s="39">
        <f t="shared" si="13"/>
        <v>-7.2766719398464127E-4</v>
      </c>
      <c r="AW32" s="56">
        <v>6672.2981198918596</v>
      </c>
      <c r="AX32" s="44">
        <f t="shared" si="14"/>
        <v>-2.8323466592812554E-3</v>
      </c>
      <c r="AY32" s="39">
        <f t="shared" si="18"/>
        <v>99.258219153912208</v>
      </c>
      <c r="AZ32" s="39">
        <f t="shared" si="19"/>
        <v>101.02073078242523</v>
      </c>
      <c r="BB32" s="44">
        <f t="shared" si="6"/>
        <v>1.4881066886114383E-2</v>
      </c>
    </row>
    <row r="33" spans="1:54" s="39" customFormat="1">
      <c r="A33" s="39">
        <f t="shared" si="15"/>
        <v>2019</v>
      </c>
      <c r="B33" s="39">
        <f t="shared" si="16"/>
        <v>4</v>
      </c>
      <c r="C33" s="40"/>
      <c r="D33" s="54">
        <v>109384115.677738</v>
      </c>
      <c r="E33" s="40"/>
      <c r="F33" s="43">
        <v>19881857.8288191</v>
      </c>
      <c r="G33" s="57">
        <v>392598</v>
      </c>
      <c r="H33" s="57">
        <v>2159958.3608630798</v>
      </c>
      <c r="I33" s="57">
        <v>12142</v>
      </c>
      <c r="J33" s="57">
        <v>66801.701530826598</v>
      </c>
      <c r="K33" s="40"/>
      <c r="L33" s="54">
        <v>2628636.5228833202</v>
      </c>
      <c r="M33" s="43"/>
      <c r="N33" s="54">
        <v>830990.92304842605</v>
      </c>
      <c r="O33" s="40"/>
      <c r="P33" s="54">
        <v>18211874.289905701</v>
      </c>
      <c r="Q33" s="43"/>
      <c r="R33" s="54">
        <v>23015716.224212602</v>
      </c>
      <c r="S33" s="43"/>
      <c r="T33" s="43">
        <v>88002585.794528604</v>
      </c>
      <c r="U33" s="40"/>
      <c r="V33" s="54">
        <v>103525.434602769</v>
      </c>
      <c r="W33" s="43"/>
      <c r="X33" s="54">
        <v>260026.04451115601</v>
      </c>
      <c r="Y33" s="40"/>
      <c r="Z33" s="40">
        <f t="shared" si="9"/>
        <v>-222243.61593547836</v>
      </c>
      <c r="AA33" s="40"/>
      <c r="AB33" s="40">
        <f t="shared" si="10"/>
        <v>-39593404.17311509</v>
      </c>
      <c r="AC33" s="17"/>
      <c r="AD33" s="40"/>
      <c r="AE33" s="40"/>
      <c r="AF33" s="40">
        <f>AZ33/100*AF25</f>
        <v>5849421068.8092842</v>
      </c>
      <c r="AG33" s="44">
        <f t="shared" si="17"/>
        <v>7.533109840622945E-3</v>
      </c>
      <c r="AH33" s="44">
        <f t="shared" si="12"/>
        <v>-6.7687731328212918E-3</v>
      </c>
      <c r="AT33" s="39">
        <v>11433407</v>
      </c>
      <c r="AV33" s="39">
        <f t="shared" si="13"/>
        <v>4.6788441745244198E-3</v>
      </c>
      <c r="AW33" s="56">
        <v>6691.25394000095</v>
      </c>
      <c r="AX33" s="44">
        <f t="shared" si="14"/>
        <v>2.8409731952141262E-3</v>
      </c>
      <c r="AY33" s="39">
        <f t="shared" si="18"/>
        <v>99.540209093933157</v>
      </c>
      <c r="AZ33" s="39">
        <f t="shared" si="19"/>
        <v>101.78173104358925</v>
      </c>
      <c r="BB33" s="44">
        <f t="shared" si="6"/>
        <v>1.2984936459266308E-2</v>
      </c>
    </row>
    <row r="34" spans="1:54" s="29" customFormat="1">
      <c r="A34" s="29">
        <f t="shared" si="15"/>
        <v>2020</v>
      </c>
      <c r="B34" s="29">
        <f t="shared" si="16"/>
        <v>1</v>
      </c>
      <c r="C34" s="30"/>
      <c r="D34" s="51">
        <v>111870815.004352</v>
      </c>
      <c r="E34" s="30"/>
      <c r="F34" s="33">
        <v>20333844.867050599</v>
      </c>
      <c r="G34" s="59">
        <v>427210</v>
      </c>
      <c r="H34" s="59">
        <v>2350383.3726720801</v>
      </c>
      <c r="I34" s="59">
        <v>13213</v>
      </c>
      <c r="J34" s="59">
        <v>72694.0275347399</v>
      </c>
      <c r="K34" s="30"/>
      <c r="L34" s="51">
        <v>3101013.8600978502</v>
      </c>
      <c r="M34" s="33"/>
      <c r="N34" s="51">
        <v>850026.16224349698</v>
      </c>
      <c r="O34" s="30"/>
      <c r="P34" s="51">
        <v>20767768.808047101</v>
      </c>
      <c r="Q34" s="33"/>
      <c r="R34" s="51">
        <v>20006095.357930701</v>
      </c>
      <c r="S34" s="33"/>
      <c r="T34" s="33">
        <v>76495039.563343003</v>
      </c>
      <c r="U34" s="30"/>
      <c r="V34" s="51">
        <v>101926.661447896</v>
      </c>
      <c r="W34" s="33"/>
      <c r="X34" s="51">
        <v>256010.387285206</v>
      </c>
      <c r="Y34" s="30"/>
      <c r="Z34" s="30">
        <f t="shared" si="9"/>
        <v>-4176862.8700133469</v>
      </c>
      <c r="AA34" s="30"/>
      <c r="AB34" s="30">
        <f t="shared" si="10"/>
        <v>-56143544.249056101</v>
      </c>
      <c r="AC34" s="17"/>
      <c r="AD34" s="30"/>
      <c r="AE34" s="30"/>
      <c r="AF34" s="30">
        <f>AZ34/100*AF25</f>
        <v>5829873998.1496162</v>
      </c>
      <c r="AG34" s="34">
        <f t="shared" si="17"/>
        <v>-3.3417103042723845E-3</v>
      </c>
      <c r="AH34" s="34">
        <f t="shared" si="12"/>
        <v>-9.6303186427143857E-3</v>
      </c>
      <c r="AT34" s="29">
        <v>11429512</v>
      </c>
      <c r="AV34" s="29">
        <f t="shared" si="13"/>
        <v>-3.4066835895897E-4</v>
      </c>
      <c r="AW34" s="53">
        <v>6671.1663630583898</v>
      </c>
      <c r="AX34" s="34">
        <f t="shared" si="14"/>
        <v>-3.0020646537526775E-3</v>
      </c>
      <c r="AY34" s="29">
        <f t="shared" si="18"/>
        <v>99.24138295058512</v>
      </c>
      <c r="AZ34" s="29">
        <f t="shared" si="19"/>
        <v>101.44160598417419</v>
      </c>
      <c r="BB34" s="34">
        <f t="shared" si="6"/>
        <v>1.4854280833445284E-2</v>
      </c>
    </row>
    <row r="35" spans="1:54" s="39" customFormat="1">
      <c r="A35" s="39">
        <f t="shared" si="15"/>
        <v>2020</v>
      </c>
      <c r="B35" s="39">
        <f t="shared" si="16"/>
        <v>2</v>
      </c>
      <c r="C35" s="40"/>
      <c r="D35" s="54">
        <v>112215964.943624</v>
      </c>
      <c r="E35" s="40"/>
      <c r="F35" s="43">
        <v>20396579.954130799</v>
      </c>
      <c r="G35" s="57">
        <v>450984</v>
      </c>
      <c r="H35" s="57">
        <v>2481180.9062080602</v>
      </c>
      <c r="I35" s="57">
        <v>13948</v>
      </c>
      <c r="J35" s="57">
        <v>76737.780674680398</v>
      </c>
      <c r="K35" s="40"/>
      <c r="L35" s="54">
        <v>2588271.6527687302</v>
      </c>
      <c r="M35" s="43"/>
      <c r="N35" s="54">
        <v>853236.89394615195</v>
      </c>
      <c r="O35" s="40"/>
      <c r="P35" s="54">
        <v>18124811.555251401</v>
      </c>
      <c r="Q35" s="43"/>
      <c r="R35" s="54">
        <v>22643126.532464098</v>
      </c>
      <c r="S35" s="43"/>
      <c r="T35" s="43">
        <v>86577956.815146595</v>
      </c>
      <c r="U35" s="40"/>
      <c r="V35" s="54">
        <v>105629.468784069</v>
      </c>
      <c r="W35" s="43"/>
      <c r="X35" s="54">
        <v>265310.771764695</v>
      </c>
      <c r="Y35" s="40"/>
      <c r="Z35" s="40">
        <f t="shared" si="9"/>
        <v>-1089332.4995975159</v>
      </c>
      <c r="AA35" s="40"/>
      <c r="AB35" s="40">
        <f t="shared" si="10"/>
        <v>-43762819.683728814</v>
      </c>
      <c r="AC35" s="17"/>
      <c r="AD35" s="40"/>
      <c r="AE35" s="40"/>
      <c r="AF35" s="40">
        <f>AZ35/100*AF25</f>
        <v>5803481379.5814161</v>
      </c>
      <c r="AG35" s="44">
        <f t="shared" si="17"/>
        <v>-4.5271336184241799E-3</v>
      </c>
      <c r="AH35" s="44">
        <f t="shared" si="12"/>
        <v>-7.5407874724473167E-3</v>
      </c>
      <c r="AT35" s="39">
        <v>11418550</v>
      </c>
      <c r="AV35" s="39">
        <f t="shared" si="13"/>
        <v>-9.5909606639373577E-4</v>
      </c>
      <c r="AW35" s="56">
        <v>6647.3405397057004</v>
      </c>
      <c r="AX35" s="44">
        <f t="shared" si="14"/>
        <v>-3.5714629280758207E-3</v>
      </c>
      <c r="AY35" s="39">
        <f t="shared" si="18"/>
        <v>98.886946030446126</v>
      </c>
      <c r="AZ35" s="39">
        <f t="shared" si="19"/>
        <v>100.9823662794163</v>
      </c>
      <c r="BB35" s="44">
        <f t="shared" si="6"/>
        <v>1.2995030084088716E-2</v>
      </c>
    </row>
    <row r="36" spans="1:54" s="39" customFormat="1">
      <c r="A36" s="39">
        <f t="shared" si="15"/>
        <v>2020</v>
      </c>
      <c r="B36" s="39">
        <f t="shared" si="16"/>
        <v>3</v>
      </c>
      <c r="C36" s="40"/>
      <c r="D36" s="54">
        <v>112823247.611082</v>
      </c>
      <c r="E36" s="40"/>
      <c r="F36" s="43">
        <v>20506960.767482799</v>
      </c>
      <c r="G36" s="57">
        <v>468505</v>
      </c>
      <c r="H36" s="57">
        <v>2577576.2786773099</v>
      </c>
      <c r="I36" s="57">
        <v>14490</v>
      </c>
      <c r="J36" s="57">
        <v>79719.704758827007</v>
      </c>
      <c r="K36" s="40"/>
      <c r="L36" s="54">
        <v>2544378.8923811298</v>
      </c>
      <c r="M36" s="43"/>
      <c r="N36" s="54">
        <v>858999.08711702796</v>
      </c>
      <c r="O36" s="40"/>
      <c r="P36" s="54">
        <v>17928753.699646998</v>
      </c>
      <c r="Q36" s="43"/>
      <c r="R36" s="54">
        <v>19732720.6320225</v>
      </c>
      <c r="S36" s="43"/>
      <c r="T36" s="43">
        <v>75449767.604980603</v>
      </c>
      <c r="U36" s="40"/>
      <c r="V36" s="54">
        <v>109263.800486929</v>
      </c>
      <c r="W36" s="43"/>
      <c r="X36" s="54">
        <v>274439.16519537498</v>
      </c>
      <c r="Y36" s="40"/>
      <c r="Z36" s="40">
        <f t="shared" si="9"/>
        <v>-4068354.3144715261</v>
      </c>
      <c r="AA36" s="40"/>
      <c r="AB36" s="40">
        <f t="shared" si="10"/>
        <v>-55302233.705748394</v>
      </c>
      <c r="AC36" s="17"/>
      <c r="AD36" s="40"/>
      <c r="AE36" s="40"/>
      <c r="AF36" s="40">
        <f>AZ36/100*AF25</f>
        <v>5803688903.0710211</v>
      </c>
      <c r="AG36" s="44">
        <f t="shared" si="17"/>
        <v>3.5758448426333689E-5</v>
      </c>
      <c r="AH36" s="44">
        <f t="shared" si="12"/>
        <v>-9.5288073894665894E-3</v>
      </c>
      <c r="AT36" s="39">
        <v>11453783</v>
      </c>
      <c r="AV36" s="39">
        <f t="shared" si="13"/>
        <v>3.0855931795192911E-3</v>
      </c>
      <c r="AW36" s="56">
        <v>6627.1296123578804</v>
      </c>
      <c r="AX36" s="44">
        <f t="shared" si="14"/>
        <v>-3.0404531296533764E-3</v>
      </c>
      <c r="AY36" s="39">
        <f t="shared" si="18"/>
        <v>98.586284905905984</v>
      </c>
      <c r="AZ36" s="39">
        <f t="shared" si="19"/>
        <v>100.98597725215288</v>
      </c>
      <c r="BB36" s="44">
        <f t="shared" si="6"/>
        <v>1.4870873819348849E-2</v>
      </c>
    </row>
    <row r="37" spans="1:54" s="39" customFormat="1">
      <c r="A37" s="39">
        <f t="shared" si="15"/>
        <v>2020</v>
      </c>
      <c r="B37" s="39">
        <f t="shared" si="16"/>
        <v>4</v>
      </c>
      <c r="C37" s="40"/>
      <c r="D37" s="54">
        <v>113327802.11523201</v>
      </c>
      <c r="E37" s="40"/>
      <c r="F37" s="43">
        <v>20598669.521137301</v>
      </c>
      <c r="G37" s="57">
        <v>480966</v>
      </c>
      <c r="H37" s="57">
        <v>2646133.0240879199</v>
      </c>
      <c r="I37" s="57">
        <v>14875</v>
      </c>
      <c r="J37" s="57">
        <v>81837.861165462498</v>
      </c>
      <c r="K37" s="40"/>
      <c r="L37" s="54">
        <v>2505789.2249428299</v>
      </c>
      <c r="M37" s="43"/>
      <c r="N37" s="54">
        <v>864375.17865253298</v>
      </c>
      <c r="O37" s="40"/>
      <c r="P37" s="54">
        <v>17758089.401287001</v>
      </c>
      <c r="Q37" s="43"/>
      <c r="R37" s="54">
        <v>22707614.1475861</v>
      </c>
      <c r="S37" s="43"/>
      <c r="T37" s="43">
        <v>86824530.800816506</v>
      </c>
      <c r="U37" s="40"/>
      <c r="V37" s="54">
        <v>111104.574400882</v>
      </c>
      <c r="W37" s="43"/>
      <c r="X37" s="54">
        <v>279062.65855737898</v>
      </c>
      <c r="Y37" s="40"/>
      <c r="Z37" s="40">
        <f t="shared" si="9"/>
        <v>-1150115.2027456798</v>
      </c>
      <c r="AA37" s="40"/>
      <c r="AB37" s="40">
        <f t="shared" si="10"/>
        <v>-44261360.715702504</v>
      </c>
      <c r="AC37" s="17"/>
      <c r="AD37" s="40"/>
      <c r="AE37" s="40"/>
      <c r="AF37" s="40">
        <f>AZ37/100*AF25</f>
        <v>5819783919.8802681</v>
      </c>
      <c r="AG37" s="44">
        <f t="shared" si="17"/>
        <v>2.7732390688154115E-3</v>
      </c>
      <c r="AH37" s="44">
        <f t="shared" si="12"/>
        <v>-7.6053271607742275E-3</v>
      </c>
      <c r="AT37" s="39">
        <v>11476895</v>
      </c>
      <c r="AV37" s="39">
        <f t="shared" si="13"/>
        <v>2.0178486007636082E-3</v>
      </c>
      <c r="AW37" s="56">
        <v>6632.1256017473997</v>
      </c>
      <c r="AX37" s="44">
        <f t="shared" si="14"/>
        <v>7.5386927399202861E-4</v>
      </c>
      <c r="AY37" s="39">
        <f t="shared" si="18"/>
        <v>98.660606076933576</v>
      </c>
      <c r="AZ37" s="39">
        <f t="shared" si="19"/>
        <v>101.26603550967106</v>
      </c>
      <c r="BB37" s="44">
        <f t="shared" si="6"/>
        <v>1.2999388096633417E-2</v>
      </c>
    </row>
    <row r="38" spans="1:54" s="29" customFormat="1">
      <c r="A38" s="29">
        <f t="shared" si="15"/>
        <v>2021</v>
      </c>
      <c r="B38" s="29">
        <f t="shared" si="16"/>
        <v>1</v>
      </c>
      <c r="C38" s="30"/>
      <c r="D38" s="51">
        <v>113750565.305961</v>
      </c>
      <c r="E38" s="30"/>
      <c r="F38" s="33">
        <v>20675511.735395201</v>
      </c>
      <c r="G38" s="59">
        <v>516449</v>
      </c>
      <c r="H38" s="59">
        <v>2841350.0209103799</v>
      </c>
      <c r="I38" s="59">
        <v>15972</v>
      </c>
      <c r="J38" s="59">
        <v>87873.231498135603</v>
      </c>
      <c r="K38" s="30"/>
      <c r="L38" s="51">
        <v>3029716.1878909799</v>
      </c>
      <c r="M38" s="33"/>
      <c r="N38" s="51">
        <v>868108.67276362295</v>
      </c>
      <c r="O38" s="30"/>
      <c r="P38" s="51">
        <v>20497289.485709298</v>
      </c>
      <c r="Q38" s="33"/>
      <c r="R38" s="51">
        <v>19792010.671773799</v>
      </c>
      <c r="S38" s="33"/>
      <c r="T38" s="33">
        <v>75676468.210738495</v>
      </c>
      <c r="U38" s="30"/>
      <c r="V38" s="51">
        <v>107218.09157525899</v>
      </c>
      <c r="W38" s="33"/>
      <c r="X38" s="51">
        <v>269300.93420350499</v>
      </c>
      <c r="Y38" s="30"/>
      <c r="Z38" s="30">
        <f t="shared" si="9"/>
        <v>-4674107.832700748</v>
      </c>
      <c r="AA38" s="30"/>
      <c r="AB38" s="30">
        <f t="shared" si="10"/>
        <v>-58571386.580931798</v>
      </c>
      <c r="AC38" s="17"/>
      <c r="AD38" s="30"/>
      <c r="AE38" s="30"/>
      <c r="AF38" s="30">
        <f>AZ38/100*AF25</f>
        <v>5819276735.5968199</v>
      </c>
      <c r="AG38" s="34">
        <f t="shared" si="17"/>
        <v>-8.714830145423229E-5</v>
      </c>
      <c r="AH38" s="34">
        <f t="shared" si="12"/>
        <v>-1.0065062935166421E-2</v>
      </c>
      <c r="AT38" s="29">
        <v>11510975</v>
      </c>
      <c r="AV38" s="29">
        <f t="shared" si="13"/>
        <v>2.9694442617101578E-3</v>
      </c>
      <c r="AW38" s="53">
        <v>6611.9139134369998</v>
      </c>
      <c r="AX38" s="34">
        <f t="shared" si="14"/>
        <v>-3.0475430539305035E-3</v>
      </c>
      <c r="AY38" s="29">
        <f t="shared" si="18"/>
        <v>98.359933632187236</v>
      </c>
      <c r="AZ38" s="29">
        <f t="shared" si="19"/>
        <v>101.25721034668138</v>
      </c>
      <c r="BB38" s="34">
        <f t="shared" si="6"/>
        <v>1.4914120055067299E-2</v>
      </c>
    </row>
    <row r="39" spans="1:54" s="39" customFormat="1">
      <c r="A39" s="39">
        <f t="shared" si="15"/>
        <v>2021</v>
      </c>
      <c r="B39" s="39">
        <f t="shared" si="16"/>
        <v>2</v>
      </c>
      <c r="C39" s="40"/>
      <c r="D39" s="54">
        <v>114111127.3664</v>
      </c>
      <c r="E39" s="40"/>
      <c r="F39" s="43">
        <v>20741048.157934401</v>
      </c>
      <c r="G39" s="57">
        <v>544874</v>
      </c>
      <c r="H39" s="57">
        <v>2997735.9841795098</v>
      </c>
      <c r="I39" s="57">
        <v>16852</v>
      </c>
      <c r="J39" s="57">
        <v>92714.731856159604</v>
      </c>
      <c r="K39" s="40"/>
      <c r="L39" s="54">
        <v>2515260.2643638598</v>
      </c>
      <c r="M39" s="43"/>
      <c r="N39" s="54">
        <v>871890.73556843004</v>
      </c>
      <c r="O39" s="40"/>
      <c r="P39" s="54">
        <v>17848583.046569701</v>
      </c>
      <c r="Q39" s="43"/>
      <c r="R39" s="54">
        <v>22601450.863428999</v>
      </c>
      <c r="S39" s="43"/>
      <c r="T39" s="43">
        <v>86418606.282489598</v>
      </c>
      <c r="U39" s="40"/>
      <c r="V39" s="54">
        <v>108731.143279989</v>
      </c>
      <c r="W39" s="43"/>
      <c r="X39" s="54">
        <v>273101.28386087599</v>
      </c>
      <c r="Y39" s="40"/>
      <c r="Z39" s="40">
        <f t="shared" si="9"/>
        <v>-1418017.1511577033</v>
      </c>
      <c r="AA39" s="40"/>
      <c r="AB39" s="40">
        <f t="shared" si="10"/>
        <v>-45541104.130480111</v>
      </c>
      <c r="AC39" s="17"/>
      <c r="AD39" s="40"/>
      <c r="AE39" s="40"/>
      <c r="AF39" s="40">
        <f>AZ39/100*AF25</f>
        <v>5807285656.5900755</v>
      </c>
      <c r="AG39" s="44">
        <f t="shared" si="17"/>
        <v>-2.0605789261394511E-3</v>
      </c>
      <c r="AH39" s="44">
        <f t="shared" si="12"/>
        <v>-7.8420637150508204E-3</v>
      </c>
      <c r="AT39" s="39">
        <v>11517864</v>
      </c>
      <c r="AV39" s="39">
        <f t="shared" si="13"/>
        <v>5.9847232749615038E-4</v>
      </c>
      <c r="AW39" s="56">
        <v>6594.3430111553298</v>
      </c>
      <c r="AX39" s="44">
        <f t="shared" si="14"/>
        <v>-2.6574608368632397E-3</v>
      </c>
      <c r="AY39" s="39">
        <f t="shared" si="18"/>
        <v>98.098545960643236</v>
      </c>
      <c r="AZ39" s="39">
        <f t="shared" si="19"/>
        <v>101.04856187292134</v>
      </c>
      <c r="BB39" s="44">
        <f t="shared" ref="BB39:BB70" si="20">T46/AF46</f>
        <v>1.2992194495313041E-2</v>
      </c>
    </row>
    <row r="40" spans="1:54" s="39" customFormat="1">
      <c r="A40" s="39">
        <f t="shared" si="15"/>
        <v>2021</v>
      </c>
      <c r="B40" s="39">
        <f t="shared" si="16"/>
        <v>3</v>
      </c>
      <c r="C40" s="40"/>
      <c r="D40" s="54">
        <v>114943997.923774</v>
      </c>
      <c r="E40" s="40"/>
      <c r="F40" s="43">
        <v>20892432.240613099</v>
      </c>
      <c r="G40" s="57">
        <v>584924</v>
      </c>
      <c r="H40" s="57">
        <v>3218079.2675191299</v>
      </c>
      <c r="I40" s="57">
        <v>18090</v>
      </c>
      <c r="J40" s="57">
        <v>99525.842587107007</v>
      </c>
      <c r="K40" s="40"/>
      <c r="L40" s="54">
        <v>2439090.6579311201</v>
      </c>
      <c r="M40" s="43"/>
      <c r="N40" s="54">
        <v>880113.86715174105</v>
      </c>
      <c r="O40" s="40"/>
      <c r="P40" s="54">
        <v>17498579.840450399</v>
      </c>
      <c r="Q40" s="43"/>
      <c r="R40" s="54">
        <v>19755807.728583001</v>
      </c>
      <c r="S40" s="43"/>
      <c r="T40" s="43">
        <v>75538043.119677693</v>
      </c>
      <c r="U40" s="40"/>
      <c r="V40" s="54">
        <v>107488.49291247901</v>
      </c>
      <c r="W40" s="43"/>
      <c r="X40" s="54">
        <v>269980.10440373298</v>
      </c>
      <c r="Y40" s="40"/>
      <c r="Z40" s="40">
        <f t="shared" si="9"/>
        <v>-4348340.54420048</v>
      </c>
      <c r="AA40" s="40"/>
      <c r="AB40" s="40">
        <f t="shared" si="10"/>
        <v>-56904534.64454671</v>
      </c>
      <c r="AC40" s="17"/>
      <c r="AD40" s="40"/>
      <c r="AE40" s="40"/>
      <c r="AF40" s="40">
        <f>AZ40/100*AF25</f>
        <v>5817359473.1587811</v>
      </c>
      <c r="AG40" s="44">
        <f t="shared" si="17"/>
        <v>1.7346859039513319E-3</v>
      </c>
      <c r="AH40" s="44">
        <f t="shared" si="12"/>
        <v>-9.7818494640228917E-3</v>
      </c>
      <c r="AT40" s="39">
        <v>11548745</v>
      </c>
      <c r="AV40" s="39">
        <f t="shared" si="13"/>
        <v>2.6811394890580405E-3</v>
      </c>
      <c r="AW40" s="56">
        <v>6588.1184604596701</v>
      </c>
      <c r="AX40" s="44">
        <f t="shared" si="14"/>
        <v>-9.4392279642261593E-4</v>
      </c>
      <c r="AY40" s="39">
        <f t="shared" si="18"/>
        <v>98.005948506815074</v>
      </c>
      <c r="AZ40" s="39">
        <f t="shared" si="19"/>
        <v>101.22384938881684</v>
      </c>
      <c r="BB40" s="44">
        <f t="shared" si="20"/>
        <v>1.4833340931756558E-2</v>
      </c>
    </row>
    <row r="41" spans="1:54" s="39" customFormat="1">
      <c r="A41" s="39">
        <f t="shared" si="15"/>
        <v>2021</v>
      </c>
      <c r="B41" s="39">
        <f t="shared" si="16"/>
        <v>4</v>
      </c>
      <c r="C41" s="40"/>
      <c r="D41" s="54">
        <v>115751334.172408</v>
      </c>
      <c r="E41" s="40"/>
      <c r="F41" s="43">
        <v>21039175.160423301</v>
      </c>
      <c r="G41" s="57">
        <v>626465</v>
      </c>
      <c r="H41" s="57">
        <v>3446625.5929426202</v>
      </c>
      <c r="I41" s="57">
        <v>19375</v>
      </c>
      <c r="J41" s="57">
        <v>106595.533450813</v>
      </c>
      <c r="K41" s="40"/>
      <c r="L41" s="54">
        <v>2430885.31926435</v>
      </c>
      <c r="M41" s="43"/>
      <c r="N41" s="54">
        <v>886714.57918738201</v>
      </c>
      <c r="O41" s="40"/>
      <c r="P41" s="54">
        <v>17492317.469197199</v>
      </c>
      <c r="Q41" s="43"/>
      <c r="R41" s="54">
        <v>22674255.082436401</v>
      </c>
      <c r="S41" s="43"/>
      <c r="T41" s="43">
        <v>86696979.5239297</v>
      </c>
      <c r="U41" s="40"/>
      <c r="V41" s="54">
        <v>106856.894780595</v>
      </c>
      <c r="W41" s="43"/>
      <c r="X41" s="54">
        <v>268393.71199123398</v>
      </c>
      <c r="Y41" s="40"/>
      <c r="Z41" s="40">
        <f t="shared" si="9"/>
        <v>-1575663.0816580355</v>
      </c>
      <c r="AA41" s="40"/>
      <c r="AB41" s="40">
        <f t="shared" si="10"/>
        <v>-46546672.117675498</v>
      </c>
      <c r="AC41" s="17"/>
      <c r="AD41" s="40"/>
      <c r="AE41" s="40"/>
      <c r="AF41" s="40">
        <f>AZ41/100*AF25</f>
        <v>5836497942.6487188</v>
      </c>
      <c r="AG41" s="44">
        <f t="shared" si="17"/>
        <v>3.2898894383684599E-3</v>
      </c>
      <c r="AH41" s="44">
        <f t="shared" si="12"/>
        <v>-7.9751029770005703E-3</v>
      </c>
      <c r="AT41" s="39">
        <v>11547569</v>
      </c>
      <c r="AV41" s="39">
        <f t="shared" si="13"/>
        <v>-1.0182924638131676E-4</v>
      </c>
      <c r="AW41" s="56">
        <v>6610.4657805501201</v>
      </c>
      <c r="AX41" s="44">
        <f t="shared" si="14"/>
        <v>3.3920640960804433E-3</v>
      </c>
      <c r="AY41" s="39">
        <f t="shared" si="18"/>
        <v>98.338390965947355</v>
      </c>
      <c r="AZ41" s="39">
        <f t="shared" si="19"/>
        <v>101.55686466183212</v>
      </c>
      <c r="BB41" s="44">
        <f t="shared" si="20"/>
        <v>1.2947000482012963E-2</v>
      </c>
    </row>
    <row r="42" spans="1:54" s="29" customFormat="1">
      <c r="A42" s="29">
        <f t="shared" si="15"/>
        <v>2022</v>
      </c>
      <c r="B42" s="29">
        <f t="shared" si="16"/>
        <v>1</v>
      </c>
      <c r="C42" s="30"/>
      <c r="D42" s="51">
        <v>116259953.624127</v>
      </c>
      <c r="E42" s="30"/>
      <c r="F42" s="33">
        <v>21131622.766416099</v>
      </c>
      <c r="G42" s="59">
        <v>664483</v>
      </c>
      <c r="H42" s="59">
        <v>3655789.41181916</v>
      </c>
      <c r="I42" s="59">
        <v>20551</v>
      </c>
      <c r="J42" s="59">
        <v>113065.538474717</v>
      </c>
      <c r="K42" s="30"/>
      <c r="L42" s="51">
        <v>2981160.8108801702</v>
      </c>
      <c r="M42" s="33"/>
      <c r="N42" s="51">
        <v>891042.93045692903</v>
      </c>
      <c r="O42" s="30"/>
      <c r="P42" s="51">
        <v>20371512.922706202</v>
      </c>
      <c r="Q42" s="33"/>
      <c r="R42" s="51">
        <v>19860501.671890099</v>
      </c>
      <c r="S42" s="33"/>
      <c r="T42" s="33">
        <v>75938349.485914603</v>
      </c>
      <c r="U42" s="30"/>
      <c r="V42" s="51">
        <v>104387.24878571001</v>
      </c>
      <c r="W42" s="33"/>
      <c r="X42" s="51">
        <v>262190.673270781</v>
      </c>
      <c r="Y42" s="30"/>
      <c r="Z42" s="30">
        <f t="shared" si="9"/>
        <v>-5038937.5870773867</v>
      </c>
      <c r="AA42" s="30"/>
      <c r="AB42" s="30">
        <f t="shared" si="10"/>
        <v>-60693117.060918599</v>
      </c>
      <c r="AC42" s="17"/>
      <c r="AD42" s="30"/>
      <c r="AE42" s="30"/>
      <c r="AF42" s="30">
        <f>AZ42/100*AF25</f>
        <v>5843645531.7555981</v>
      </c>
      <c r="AG42" s="34">
        <f t="shared" si="17"/>
        <v>1.2246366189303437E-3</v>
      </c>
      <c r="AH42" s="34">
        <f t="shared" si="12"/>
        <v>-1.0386173619036173E-2</v>
      </c>
      <c r="AT42" s="29">
        <v>11594559</v>
      </c>
      <c r="AV42" s="29">
        <f t="shared" si="13"/>
        <v>4.069254749636049E-3</v>
      </c>
      <c r="AW42" s="53">
        <v>6591.7377389107496</v>
      </c>
      <c r="AX42" s="34">
        <f t="shared" si="14"/>
        <v>-2.8330895675269634E-3</v>
      </c>
      <c r="AY42" s="29">
        <f t="shared" si="18"/>
        <v>98.059789496414339</v>
      </c>
      <c r="AZ42" s="29">
        <f t="shared" si="19"/>
        <v>101.68123491720077</v>
      </c>
      <c r="BB42" s="34">
        <f t="shared" si="20"/>
        <v>1.476576394235425E-2</v>
      </c>
    </row>
    <row r="43" spans="1:54" s="39" customFormat="1">
      <c r="A43" s="39">
        <f t="shared" si="15"/>
        <v>2022</v>
      </c>
      <c r="B43" s="39">
        <f t="shared" si="16"/>
        <v>2</v>
      </c>
      <c r="C43" s="40"/>
      <c r="D43" s="54">
        <v>117043492.617511</v>
      </c>
      <c r="E43" s="40"/>
      <c r="F43" s="43">
        <v>21274040.253391001</v>
      </c>
      <c r="G43" s="57">
        <v>697106</v>
      </c>
      <c r="H43" s="57">
        <v>3835271.5324780401</v>
      </c>
      <c r="I43" s="57">
        <v>21560</v>
      </c>
      <c r="J43" s="57">
        <v>118616.75877158801</v>
      </c>
      <c r="K43" s="40"/>
      <c r="L43" s="54">
        <v>2473924.7790653598</v>
      </c>
      <c r="M43" s="43"/>
      <c r="N43" s="54">
        <v>899218.64190448797</v>
      </c>
      <c r="O43" s="40"/>
      <c r="P43" s="54">
        <v>17784443.094480202</v>
      </c>
      <c r="Q43" s="43"/>
      <c r="R43" s="54">
        <v>22688498.2123941</v>
      </c>
      <c r="S43" s="43"/>
      <c r="T43" s="43">
        <v>86751439.365799502</v>
      </c>
      <c r="U43" s="40"/>
      <c r="V43" s="54">
        <v>100868.881462509</v>
      </c>
      <c r="W43" s="43"/>
      <c r="X43" s="54">
        <v>253353.54892834599</v>
      </c>
      <c r="Y43" s="40"/>
      <c r="Z43" s="40">
        <f t="shared" si="9"/>
        <v>-1857816.5805042386</v>
      </c>
      <c r="AA43" s="40"/>
      <c r="AB43" s="40">
        <f t="shared" si="10"/>
        <v>-48076496.346191704</v>
      </c>
      <c r="AC43" s="17"/>
      <c r="AD43" s="40"/>
      <c r="AE43" s="40"/>
      <c r="AF43" s="40">
        <f>AZ43/100*AF25</f>
        <v>5833647734.4677038</v>
      </c>
      <c r="AG43" s="44">
        <f t="shared" si="17"/>
        <v>-1.7108835971593617E-3</v>
      </c>
      <c r="AH43" s="44">
        <f t="shared" si="12"/>
        <v>-8.2412409069774744E-3</v>
      </c>
      <c r="AT43" s="39">
        <v>11564873</v>
      </c>
      <c r="AV43" s="39">
        <f t="shared" si="13"/>
        <v>-2.5603388623922653E-3</v>
      </c>
      <c r="AW43" s="56">
        <v>6597.3514983666</v>
      </c>
      <c r="AX43" s="44">
        <f t="shared" si="14"/>
        <v>8.5163574131789683E-4</v>
      </c>
      <c r="AY43" s="39">
        <f t="shared" si="18"/>
        <v>98.143300717935603</v>
      </c>
      <c r="AZ43" s="39">
        <f t="shared" si="19"/>
        <v>101.50727016024202</v>
      </c>
      <c r="BB43" s="44">
        <f t="shared" si="20"/>
        <v>1.2927413977743586E-2</v>
      </c>
    </row>
    <row r="44" spans="1:54" s="39" customFormat="1">
      <c r="A44" s="39">
        <f t="shared" si="15"/>
        <v>2022</v>
      </c>
      <c r="B44" s="39">
        <f t="shared" si="16"/>
        <v>3</v>
      </c>
      <c r="C44" s="40"/>
      <c r="D44" s="54">
        <v>117914923.694389</v>
      </c>
      <c r="E44" s="40"/>
      <c r="F44" s="43">
        <v>21432433.1669394</v>
      </c>
      <c r="G44" s="57">
        <v>729985</v>
      </c>
      <c r="H44" s="57">
        <v>4016162.08960472</v>
      </c>
      <c r="I44" s="57">
        <v>22577</v>
      </c>
      <c r="J44" s="57">
        <v>124211.992708077</v>
      </c>
      <c r="K44" s="40"/>
      <c r="L44" s="54">
        <v>2399588.17227674</v>
      </c>
      <c r="M44" s="43"/>
      <c r="N44" s="54">
        <v>907697.86461768998</v>
      </c>
      <c r="O44" s="40"/>
      <c r="P44" s="54">
        <v>17445360.270065501</v>
      </c>
      <c r="Q44" s="43"/>
      <c r="R44" s="54">
        <v>19957392.2035309</v>
      </c>
      <c r="S44" s="43"/>
      <c r="T44" s="43">
        <v>76308818.831310302</v>
      </c>
      <c r="U44" s="40"/>
      <c r="V44" s="54">
        <v>106982.69909797399</v>
      </c>
      <c r="W44" s="43"/>
      <c r="X44" s="54">
        <v>268709.69616609899</v>
      </c>
      <c r="Y44" s="40"/>
      <c r="Z44" s="40">
        <f t="shared" si="9"/>
        <v>-4675344.3012049571</v>
      </c>
      <c r="AA44" s="40"/>
      <c r="AB44" s="40">
        <f t="shared" si="10"/>
        <v>-59051465.1331442</v>
      </c>
      <c r="AC44" s="17"/>
      <c r="AD44" s="40"/>
      <c r="AE44" s="40"/>
      <c r="AF44" s="40">
        <f>AZ44/100*AF25</f>
        <v>5870185447.5036993</v>
      </c>
      <c r="AG44" s="44">
        <f t="shared" si="17"/>
        <v>6.263270375431642E-3</v>
      </c>
      <c r="AH44" s="44">
        <f t="shared" si="12"/>
        <v>-1.0059557003987987E-2</v>
      </c>
      <c r="AT44" s="39">
        <v>11619666</v>
      </c>
      <c r="AV44" s="39">
        <f t="shared" si="13"/>
        <v>4.7378816870708397E-3</v>
      </c>
      <c r="AW44" s="56">
        <v>6607.3675687588602</v>
      </c>
      <c r="AX44" s="44">
        <f t="shared" si="14"/>
        <v>1.5181956569602227E-3</v>
      </c>
      <c r="AY44" s="39">
        <f t="shared" si="18"/>
        <v>98.292301450845329</v>
      </c>
      <c r="AZ44" s="39">
        <f t="shared" si="19"/>
        <v>102.1430376383276</v>
      </c>
      <c r="BB44" s="44">
        <f t="shared" si="20"/>
        <v>1.4718672447273077E-2</v>
      </c>
    </row>
    <row r="45" spans="1:54" s="39" customFormat="1">
      <c r="A45" s="39">
        <f t="shared" si="15"/>
        <v>2022</v>
      </c>
      <c r="B45" s="39">
        <f t="shared" si="16"/>
        <v>4</v>
      </c>
      <c r="C45" s="40"/>
      <c r="D45" s="54">
        <v>118942863.171257</v>
      </c>
      <c r="E45" s="40"/>
      <c r="F45" s="43">
        <v>21619273.334810998</v>
      </c>
      <c r="G45" s="57">
        <v>769698</v>
      </c>
      <c r="H45" s="57">
        <v>4234651.29837541</v>
      </c>
      <c r="I45" s="57">
        <v>23805</v>
      </c>
      <c r="J45" s="57">
        <v>130968.086389501</v>
      </c>
      <c r="K45" s="40"/>
      <c r="L45" s="54">
        <v>2458087.3601911999</v>
      </c>
      <c r="M45" s="43"/>
      <c r="N45" s="54">
        <v>916671.19283594599</v>
      </c>
      <c r="O45" s="40"/>
      <c r="P45" s="54">
        <v>17798281.438544098</v>
      </c>
      <c r="Q45" s="43"/>
      <c r="R45" s="54">
        <v>22829212.2936875</v>
      </c>
      <c r="S45" s="43"/>
      <c r="T45" s="43">
        <v>87289471.851553202</v>
      </c>
      <c r="U45" s="40"/>
      <c r="V45" s="54">
        <v>105394.650480458</v>
      </c>
      <c r="W45" s="43"/>
      <c r="X45" s="54">
        <v>264720.97588601999</v>
      </c>
      <c r="Y45" s="40"/>
      <c r="Z45" s="40">
        <f t="shared" si="9"/>
        <v>-2059424.9436701871</v>
      </c>
      <c r="AA45" s="40"/>
      <c r="AB45" s="40">
        <f t="shared" si="10"/>
        <v>-49451672.758247897</v>
      </c>
      <c r="AC45" s="17"/>
      <c r="AD45" s="40"/>
      <c r="AE45" s="40"/>
      <c r="AF45" s="40">
        <f>AZ45/100*AF25</f>
        <v>5852807375.1086159</v>
      </c>
      <c r="AG45" s="44">
        <f t="shared" si="17"/>
        <v>-2.9603958087002966E-3</v>
      </c>
      <c r="AH45" s="44">
        <f t="shared" si="12"/>
        <v>-8.4492226702284345E-3</v>
      </c>
      <c r="AT45" s="39">
        <v>11613751</v>
      </c>
      <c r="AV45" s="39">
        <f t="shared" si="13"/>
        <v>-5.0905077650252595E-4</v>
      </c>
      <c r="AW45" s="56">
        <v>6591.1623818302896</v>
      </c>
      <c r="AX45" s="44">
        <f t="shared" si="14"/>
        <v>-2.4525935268369815E-3</v>
      </c>
      <c r="AY45" s="39">
        <f t="shared" si="18"/>
        <v>98.051230388569067</v>
      </c>
      <c r="AZ45" s="39">
        <f t="shared" si="19"/>
        <v>101.84065381781518</v>
      </c>
      <c r="BB45" s="44">
        <f t="shared" si="20"/>
        <v>1.2891315991294477E-2</v>
      </c>
    </row>
    <row r="46" spans="1:54" s="29" customFormat="1">
      <c r="A46" s="29">
        <f t="shared" si="15"/>
        <v>2023</v>
      </c>
      <c r="B46" s="29">
        <f t="shared" si="16"/>
        <v>1</v>
      </c>
      <c r="C46" s="30"/>
      <c r="D46" s="51">
        <v>119311811.049752</v>
      </c>
      <c r="E46" s="30"/>
      <c r="F46" s="33">
        <v>21686333.979046501</v>
      </c>
      <c r="G46" s="59">
        <v>794062</v>
      </c>
      <c r="H46" s="59">
        <v>4368694.8378332397</v>
      </c>
      <c r="I46" s="59">
        <v>24559</v>
      </c>
      <c r="J46" s="59">
        <v>135116.371923536</v>
      </c>
      <c r="K46" s="30"/>
      <c r="L46" s="51">
        <v>2937021.7731501702</v>
      </c>
      <c r="M46" s="33"/>
      <c r="N46" s="51">
        <v>920390.68511123199</v>
      </c>
      <c r="O46" s="30"/>
      <c r="P46" s="51">
        <v>20303937.9332176</v>
      </c>
      <c r="Q46" s="33"/>
      <c r="R46" s="51">
        <v>19906663.797043901</v>
      </c>
      <c r="S46" s="33"/>
      <c r="T46" s="33">
        <v>76114854.372389793</v>
      </c>
      <c r="U46" s="30"/>
      <c r="V46" s="51">
        <v>109484.548629497</v>
      </c>
      <c r="W46" s="33"/>
      <c r="X46" s="51">
        <v>274993.62088604999</v>
      </c>
      <c r="Y46" s="30"/>
      <c r="Z46" s="30">
        <f t="shared" ref="Z46:Z77" si="21">R46+V46-N46-L46-F46</f>
        <v>-5527598.0916345064</v>
      </c>
      <c r="AA46" s="30"/>
      <c r="AB46" s="30">
        <f t="shared" ref="AB46:AB77" si="22">T46-P46-D46</f>
        <v>-63500894.610579804</v>
      </c>
      <c r="AC46" s="17"/>
      <c r="AD46" s="30"/>
      <c r="AE46" s="30"/>
      <c r="AF46" s="30">
        <f>AZ46/100*AF25</f>
        <v>5858506382.4166403</v>
      </c>
      <c r="AG46" s="34">
        <f t="shared" si="17"/>
        <v>9.7372200087460507E-4</v>
      </c>
      <c r="AH46" s="34">
        <f t="shared" ref="AH46:AH77" si="23">AB46/AF46</f>
        <v>-1.083909284475092E-2</v>
      </c>
      <c r="AT46" s="29">
        <v>11623368</v>
      </c>
      <c r="AV46" s="29">
        <f t="shared" si="13"/>
        <v>8.2807010413775872E-4</v>
      </c>
      <c r="AW46" s="53">
        <v>6592.1216028306699</v>
      </c>
      <c r="AX46" s="34">
        <f t="shared" si="14"/>
        <v>1.4553138654640075E-4</v>
      </c>
      <c r="AY46" s="29">
        <f t="shared" si="18"/>
        <v>98.0654999200801</v>
      </c>
      <c r="AZ46" s="29">
        <f t="shared" si="19"/>
        <v>101.93981830302103</v>
      </c>
      <c r="BB46" s="34">
        <f t="shared" si="20"/>
        <v>1.4727324971057219E-2</v>
      </c>
    </row>
    <row r="47" spans="1:54" s="39" customFormat="1">
      <c r="A47" s="39">
        <f t="shared" si="15"/>
        <v>2023</v>
      </c>
      <c r="B47" s="39">
        <f t="shared" si="16"/>
        <v>2</v>
      </c>
      <c r="C47" s="40"/>
      <c r="D47" s="54">
        <v>119811170.00583699</v>
      </c>
      <c r="E47" s="40"/>
      <c r="F47" s="43">
        <v>21777098.380339298</v>
      </c>
      <c r="G47" s="57">
        <v>812878</v>
      </c>
      <c r="H47" s="57">
        <v>4472214.91821572</v>
      </c>
      <c r="I47" s="57">
        <v>25141</v>
      </c>
      <c r="J47" s="57">
        <v>138318.36420577401</v>
      </c>
      <c r="K47" s="40"/>
      <c r="L47" s="54">
        <v>2476664.6958353301</v>
      </c>
      <c r="M47" s="43"/>
      <c r="N47" s="54">
        <v>924279.46499780903</v>
      </c>
      <c r="O47" s="40"/>
      <c r="P47" s="54">
        <v>17936537.7901458</v>
      </c>
      <c r="Q47" s="43"/>
      <c r="R47" s="54">
        <v>22729393.3666199</v>
      </c>
      <c r="S47" s="43"/>
      <c r="T47" s="43">
        <v>86907805.532434404</v>
      </c>
      <c r="U47" s="40"/>
      <c r="V47" s="54">
        <v>107234.008372375</v>
      </c>
      <c r="W47" s="43"/>
      <c r="X47" s="54">
        <v>269340.91260892001</v>
      </c>
      <c r="Y47" s="40"/>
      <c r="Z47" s="40">
        <f t="shared" si="21"/>
        <v>-2341415.1661801636</v>
      </c>
      <c r="AA47" s="40"/>
      <c r="AB47" s="40">
        <f t="shared" si="22"/>
        <v>-50839902.263548389</v>
      </c>
      <c r="AC47" s="17"/>
      <c r="AD47" s="40"/>
      <c r="AE47" s="40"/>
      <c r="AF47" s="40">
        <f>AZ47/100*AF25</f>
        <v>5858950180.6955919</v>
      </c>
      <c r="AG47" s="44">
        <f t="shared" si="17"/>
        <v>7.5752802844703508E-5</v>
      </c>
      <c r="AH47" s="44">
        <f t="shared" si="23"/>
        <v>-8.677305779294495E-3</v>
      </c>
      <c r="AT47" s="39">
        <v>11659949</v>
      </c>
      <c r="AV47" s="39">
        <f t="shared" ref="AV47:AV78" si="24">(AT47-AT46)/AT46</f>
        <v>3.1471945136728012E-3</v>
      </c>
      <c r="AW47" s="56">
        <v>6571.9378079055396</v>
      </c>
      <c r="AX47" s="44">
        <f t="shared" ref="AX47:AX78" si="25">(AW47-AW46)/AW46</f>
        <v>-3.0618056130007299E-3</v>
      </c>
      <c r="AY47" s="39">
        <f t="shared" si="18"/>
        <v>97.765242421983075</v>
      </c>
      <c r="AZ47" s="39">
        <f t="shared" si="19"/>
        <v>101.94754052997897</v>
      </c>
      <c r="BB47" s="44">
        <f t="shared" si="20"/>
        <v>1.2792236704812554E-2</v>
      </c>
    </row>
    <row r="48" spans="1:54" s="39" customFormat="1">
      <c r="A48" s="39">
        <f t="shared" si="15"/>
        <v>2023</v>
      </c>
      <c r="B48" s="39">
        <f t="shared" si="16"/>
        <v>3</v>
      </c>
      <c r="C48" s="40"/>
      <c r="D48" s="54">
        <v>120364153.485891</v>
      </c>
      <c r="E48" s="40"/>
      <c r="F48" s="43">
        <v>21877609.6736289</v>
      </c>
      <c r="G48" s="57">
        <v>839699</v>
      </c>
      <c r="H48" s="57">
        <v>4619776.1467413604</v>
      </c>
      <c r="I48" s="57">
        <v>25970</v>
      </c>
      <c r="J48" s="57">
        <v>142879.27761123099</v>
      </c>
      <c r="K48" s="40"/>
      <c r="L48" s="54">
        <v>2424400.9984503998</v>
      </c>
      <c r="M48" s="43"/>
      <c r="N48" s="54">
        <v>928470.58016931301</v>
      </c>
      <c r="O48" s="40"/>
      <c r="P48" s="54">
        <v>17688399.495058902</v>
      </c>
      <c r="Q48" s="43"/>
      <c r="R48" s="54">
        <v>19837102.576876499</v>
      </c>
      <c r="S48" s="43"/>
      <c r="T48" s="43">
        <v>75848881.018090606</v>
      </c>
      <c r="U48" s="40"/>
      <c r="V48" s="54">
        <v>111302.841168196</v>
      </c>
      <c r="W48" s="43"/>
      <c r="X48" s="54">
        <v>279560.64751497703</v>
      </c>
      <c r="Y48" s="40"/>
      <c r="Z48" s="40">
        <f t="shared" si="21"/>
        <v>-5282075.8342039194</v>
      </c>
      <c r="AA48" s="40"/>
      <c r="AB48" s="40">
        <f t="shared" si="22"/>
        <v>-62203671.962859295</v>
      </c>
      <c r="AC48" s="17"/>
      <c r="AD48" s="40"/>
      <c r="AE48" s="40"/>
      <c r="AF48" s="40">
        <f>AZ48/100*AF25</f>
        <v>5858413392.6206388</v>
      </c>
      <c r="AG48" s="44">
        <f t="shared" si="17"/>
        <v>-9.1618474026578965E-5</v>
      </c>
      <c r="AH48" s="44">
        <f t="shared" si="23"/>
        <v>-1.0617835887309034E-2</v>
      </c>
      <c r="AT48" s="39">
        <v>11685705</v>
      </c>
      <c r="AV48" s="39">
        <f t="shared" si="24"/>
        <v>2.2089290442007937E-3</v>
      </c>
      <c r="AW48" s="56">
        <v>6556.8520760029696</v>
      </c>
      <c r="AX48" s="44">
        <f t="shared" si="25"/>
        <v>-2.2954769724727081E-3</v>
      </c>
      <c r="AY48" s="39">
        <f t="shared" si="18"/>
        <v>97.540824559295203</v>
      </c>
      <c r="AZ48" s="39">
        <f t="shared" si="19"/>
        <v>101.93820025188485</v>
      </c>
      <c r="BB48" s="44">
        <f t="shared" si="20"/>
        <v>1.4689323672071578E-2</v>
      </c>
    </row>
    <row r="49" spans="1:54" s="39" customFormat="1">
      <c r="A49" s="39">
        <f t="shared" si="15"/>
        <v>2023</v>
      </c>
      <c r="B49" s="39">
        <f t="shared" si="16"/>
        <v>4</v>
      </c>
      <c r="C49" s="40"/>
      <c r="D49" s="54">
        <v>121162744.84432</v>
      </c>
      <c r="E49" s="40"/>
      <c r="F49" s="43">
        <v>22022763.106129099</v>
      </c>
      <c r="G49" s="57">
        <v>882762</v>
      </c>
      <c r="H49" s="57">
        <v>4856696.0671022497</v>
      </c>
      <c r="I49" s="57">
        <v>27302</v>
      </c>
      <c r="J49" s="57">
        <v>150207.548607695</v>
      </c>
      <c r="K49" s="40"/>
      <c r="L49" s="54">
        <v>2436192.1148749799</v>
      </c>
      <c r="M49" s="43"/>
      <c r="N49" s="54">
        <v>935327.608412873</v>
      </c>
      <c r="O49" s="40"/>
      <c r="P49" s="54">
        <v>17787309.000484299</v>
      </c>
      <c r="Q49" s="43"/>
      <c r="R49" s="54">
        <v>22893654.165458601</v>
      </c>
      <c r="S49" s="43"/>
      <c r="T49" s="43">
        <v>87535870.933556899</v>
      </c>
      <c r="U49" s="40"/>
      <c r="V49" s="54">
        <v>110572.172591366</v>
      </c>
      <c r="W49" s="43"/>
      <c r="X49" s="54">
        <v>277725.418707576</v>
      </c>
      <c r="Y49" s="40"/>
      <c r="Z49" s="40">
        <f t="shared" si="21"/>
        <v>-2390056.4913669862</v>
      </c>
      <c r="AA49" s="40"/>
      <c r="AB49" s="40">
        <f t="shared" si="22"/>
        <v>-51414182.911247402</v>
      </c>
      <c r="AC49" s="17"/>
      <c r="AD49" s="40"/>
      <c r="AE49" s="40"/>
      <c r="AF49" s="40">
        <f>AZ49/100*AF25</f>
        <v>5928299495.7320309</v>
      </c>
      <c r="AG49" s="44">
        <f t="shared" si="17"/>
        <v>1.192918601466769E-2</v>
      </c>
      <c r="AH49" s="44">
        <f t="shared" si="23"/>
        <v>-8.6726696160108127E-3</v>
      </c>
      <c r="AT49" s="39">
        <v>11804248</v>
      </c>
      <c r="AV49" s="39">
        <f t="shared" si="24"/>
        <v>1.0144274564521353E-2</v>
      </c>
      <c r="AW49" s="56">
        <v>6568.4379461029803</v>
      </c>
      <c r="AX49" s="44">
        <f t="shared" si="25"/>
        <v>1.766986652392706E-3</v>
      </c>
      <c r="AY49" s="39">
        <f t="shared" si="18"/>
        <v>97.713177894354843</v>
      </c>
      <c r="AZ49" s="39">
        <f t="shared" si="19"/>
        <v>103.15424000469002</v>
      </c>
      <c r="BB49" s="44">
        <f t="shared" si="20"/>
        <v>1.2827079085431495E-2</v>
      </c>
    </row>
    <row r="50" spans="1:54" s="29" customFormat="1">
      <c r="A50" s="29">
        <f t="shared" ref="A50:A81" si="26">A46+1</f>
        <v>2024</v>
      </c>
      <c r="B50" s="29">
        <f t="shared" ref="B50:B81" si="27">B46</f>
        <v>1</v>
      </c>
      <c r="C50" s="30"/>
      <c r="D50" s="51">
        <v>121888009.479491</v>
      </c>
      <c r="E50" s="30"/>
      <c r="F50" s="33">
        <v>22154588.538692001</v>
      </c>
      <c r="G50" s="59">
        <v>904798</v>
      </c>
      <c r="H50" s="59">
        <v>4977931.6374311401</v>
      </c>
      <c r="I50" s="59">
        <v>27984</v>
      </c>
      <c r="J50" s="59">
        <v>153959.71138516301</v>
      </c>
      <c r="K50" s="30"/>
      <c r="L50" s="51">
        <v>2946706.4621169199</v>
      </c>
      <c r="M50" s="33"/>
      <c r="N50" s="51">
        <v>942050.82242167799</v>
      </c>
      <c r="O50" s="30"/>
      <c r="P50" s="51">
        <v>20473359.515013501</v>
      </c>
      <c r="Q50" s="33"/>
      <c r="R50" s="51">
        <v>20034420.431823201</v>
      </c>
      <c r="S50" s="33"/>
      <c r="T50" s="33">
        <v>76603342.938353404</v>
      </c>
      <c r="U50" s="30"/>
      <c r="V50" s="51">
        <v>110098.210826262</v>
      </c>
      <c r="W50" s="33"/>
      <c r="X50" s="51">
        <v>276534.96340060298</v>
      </c>
      <c r="Y50" s="30"/>
      <c r="Z50" s="30">
        <f t="shared" si="21"/>
        <v>-5898827.1805811338</v>
      </c>
      <c r="AA50" s="30"/>
      <c r="AB50" s="30">
        <f t="shared" si="22"/>
        <v>-65758026.056151092</v>
      </c>
      <c r="AC50" s="17"/>
      <c r="AD50" s="30"/>
      <c r="AE50" s="30"/>
      <c r="AF50" s="30">
        <f>AZ50/100*AF25</f>
        <v>5925650951.5543594</v>
      </c>
      <c r="AG50" s="34">
        <f t="shared" si="17"/>
        <v>-4.4676288361919009E-4</v>
      </c>
      <c r="AH50" s="34">
        <f t="shared" si="23"/>
        <v>-1.1097181827576611E-2</v>
      </c>
      <c r="AT50" s="29">
        <v>11811212</v>
      </c>
      <c r="AV50" s="29">
        <f t="shared" si="24"/>
        <v>5.8995710696691569E-4</v>
      </c>
      <c r="AW50" s="53">
        <v>6561.6323301988004</v>
      </c>
      <c r="AX50" s="34">
        <f t="shared" si="25"/>
        <v>-1.0361087308768087E-3</v>
      </c>
      <c r="AY50" s="29">
        <f t="shared" si="18"/>
        <v>97.611936417616789</v>
      </c>
      <c r="AZ50" s="29">
        <f t="shared" si="19"/>
        <v>103.10815451896798</v>
      </c>
      <c r="BB50" s="34">
        <f t="shared" si="20"/>
        <v>1.4728082339071932E-2</v>
      </c>
    </row>
    <row r="51" spans="1:54" s="39" customFormat="1">
      <c r="A51" s="39">
        <f t="shared" si="26"/>
        <v>2024</v>
      </c>
      <c r="B51" s="39">
        <f t="shared" si="27"/>
        <v>2</v>
      </c>
      <c r="C51" s="40"/>
      <c r="D51" s="54">
        <v>122275079.74582601</v>
      </c>
      <c r="E51" s="40"/>
      <c r="F51" s="43">
        <v>22224943.141436201</v>
      </c>
      <c r="G51" s="57">
        <v>943350</v>
      </c>
      <c r="H51" s="57">
        <v>5190033.3667521998</v>
      </c>
      <c r="I51" s="57">
        <v>29176</v>
      </c>
      <c r="J51" s="57">
        <v>160517.743688305</v>
      </c>
      <c r="K51" s="40"/>
      <c r="L51" s="54">
        <v>2431151.3160133399</v>
      </c>
      <c r="M51" s="43"/>
      <c r="N51" s="54">
        <v>945837.30580124306</v>
      </c>
      <c r="O51" s="40"/>
      <c r="P51" s="54">
        <v>17818973.5253971</v>
      </c>
      <c r="Q51" s="43"/>
      <c r="R51" s="54">
        <v>22836343.609795101</v>
      </c>
      <c r="S51" s="43"/>
      <c r="T51" s="43">
        <v>87316739.056774199</v>
      </c>
      <c r="U51" s="40"/>
      <c r="V51" s="54">
        <v>107978.992219792</v>
      </c>
      <c r="W51" s="43"/>
      <c r="X51" s="54">
        <v>271212.09724882903</v>
      </c>
      <c r="Y51" s="40"/>
      <c r="Z51" s="40">
        <f t="shared" si="21"/>
        <v>-2657609.1612358913</v>
      </c>
      <c r="AA51" s="40"/>
      <c r="AB51" s="40">
        <f t="shared" si="22"/>
        <v>-52777314.214448899</v>
      </c>
      <c r="AC51" s="17"/>
      <c r="AD51" s="40"/>
      <c r="AE51" s="40"/>
      <c r="AF51" s="40">
        <f>AZ51/100*AF25</f>
        <v>5932378709.3958559</v>
      </c>
      <c r="AG51" s="44">
        <f t="shared" si="17"/>
        <v>1.1353618187267185E-3</v>
      </c>
      <c r="AH51" s="44">
        <f t="shared" si="23"/>
        <v>-8.896484327755208E-3</v>
      </c>
      <c r="AT51" s="39">
        <v>11846958</v>
      </c>
      <c r="AV51" s="39">
        <f t="shared" si="24"/>
        <v>3.0264463968642675E-3</v>
      </c>
      <c r="AW51" s="56">
        <v>6549.2611691475404</v>
      </c>
      <c r="AX51" s="44">
        <f t="shared" si="25"/>
        <v>-1.8853785809247324E-3</v>
      </c>
      <c r="AY51" s="39">
        <f t="shared" si="18"/>
        <v>97.42790096345243</v>
      </c>
      <c r="AZ51" s="39">
        <f t="shared" si="19"/>
        <v>103.22521958080819</v>
      </c>
      <c r="BB51" s="44">
        <f t="shared" si="20"/>
        <v>1.2736537819061363E-2</v>
      </c>
    </row>
    <row r="52" spans="1:54" s="39" customFormat="1">
      <c r="A52" s="39">
        <f t="shared" si="26"/>
        <v>2024</v>
      </c>
      <c r="B52" s="39">
        <f t="shared" si="27"/>
        <v>3</v>
      </c>
      <c r="C52" s="40"/>
      <c r="D52" s="54">
        <v>122905619.356163</v>
      </c>
      <c r="E52" s="40"/>
      <c r="F52" s="43">
        <v>22339551.179454301</v>
      </c>
      <c r="G52" s="57">
        <v>985171</v>
      </c>
      <c r="H52" s="57">
        <v>5420120.1695623398</v>
      </c>
      <c r="I52" s="57">
        <v>30470</v>
      </c>
      <c r="J52" s="57">
        <v>167636.94989658101</v>
      </c>
      <c r="K52" s="40"/>
      <c r="L52" s="54">
        <v>2420159.5414344301</v>
      </c>
      <c r="M52" s="43"/>
      <c r="N52" s="54">
        <v>951519.12701990502</v>
      </c>
      <c r="O52" s="40"/>
      <c r="P52" s="54">
        <v>17793196.858791299</v>
      </c>
      <c r="Q52" s="43"/>
      <c r="R52" s="54">
        <v>19899405.374133501</v>
      </c>
      <c r="S52" s="43"/>
      <c r="T52" s="43">
        <v>76087101.163292199</v>
      </c>
      <c r="U52" s="40"/>
      <c r="V52" s="54">
        <v>109342.971714864</v>
      </c>
      <c r="W52" s="43"/>
      <c r="X52" s="54">
        <v>274638.02049424901</v>
      </c>
      <c r="Y52" s="40"/>
      <c r="Z52" s="40">
        <f t="shared" si="21"/>
        <v>-5702481.5020602681</v>
      </c>
      <c r="AA52" s="40"/>
      <c r="AB52" s="40">
        <f t="shared" si="22"/>
        <v>-64611715.051662095</v>
      </c>
      <c r="AC52" s="17"/>
      <c r="AD52" s="40"/>
      <c r="AE52" s="40"/>
      <c r="AF52" s="40">
        <f>AZ52/100*AF25</f>
        <v>5902198132.035078</v>
      </c>
      <c r="AG52" s="44">
        <f t="shared" si="17"/>
        <v>-5.0874326874946587E-3</v>
      </c>
      <c r="AH52" s="44">
        <f t="shared" si="23"/>
        <v>-1.0947059655786915E-2</v>
      </c>
      <c r="AT52" s="39">
        <v>11828452</v>
      </c>
      <c r="AV52" s="39">
        <f t="shared" si="24"/>
        <v>-1.5620887657405386E-3</v>
      </c>
      <c r="AW52" s="56">
        <v>6526.1366485390499</v>
      </c>
      <c r="AX52" s="44">
        <f t="shared" si="25"/>
        <v>-3.5308594376150635E-3</v>
      </c>
      <c r="AY52" s="39">
        <f t="shared" si="18"/>
        <v>97.083896739848598</v>
      </c>
      <c r="AZ52" s="39">
        <f t="shared" si="19"/>
        <v>102.70006822453897</v>
      </c>
      <c r="BB52" s="44">
        <f t="shared" si="20"/>
        <v>1.4536786642728401E-2</v>
      </c>
    </row>
    <row r="53" spans="1:54" s="39" customFormat="1">
      <c r="A53" s="39">
        <f t="shared" si="26"/>
        <v>2024</v>
      </c>
      <c r="B53" s="39">
        <f t="shared" si="27"/>
        <v>4</v>
      </c>
      <c r="C53" s="40"/>
      <c r="D53" s="54">
        <v>123509604.08044399</v>
      </c>
      <c r="E53" s="40"/>
      <c r="F53" s="43">
        <v>22449332.552595399</v>
      </c>
      <c r="G53" s="57">
        <v>1089701</v>
      </c>
      <c r="H53" s="57">
        <v>5995213.3882262604</v>
      </c>
      <c r="I53" s="57">
        <v>33702</v>
      </c>
      <c r="J53" s="57">
        <v>185418.46030241501</v>
      </c>
      <c r="K53" s="40"/>
      <c r="L53" s="54">
        <v>2450156.0968072</v>
      </c>
      <c r="M53" s="43"/>
      <c r="N53" s="54">
        <v>956633.31107418297</v>
      </c>
      <c r="O53" s="40"/>
      <c r="P53" s="54">
        <v>17976985.858956601</v>
      </c>
      <c r="Q53" s="43"/>
      <c r="R53" s="54">
        <v>22766319.320276301</v>
      </c>
      <c r="S53" s="43"/>
      <c r="T53" s="43">
        <v>87048995.116674706</v>
      </c>
      <c r="U53" s="40"/>
      <c r="V53" s="54">
        <v>114321.75233385099</v>
      </c>
      <c r="W53" s="43"/>
      <c r="X53" s="54">
        <v>287143.28198686201</v>
      </c>
      <c r="Y53" s="40"/>
      <c r="Z53" s="40">
        <f t="shared" si="21"/>
        <v>-2975480.8878666312</v>
      </c>
      <c r="AA53" s="40"/>
      <c r="AB53" s="40">
        <f t="shared" si="22"/>
        <v>-54437594.822725892</v>
      </c>
      <c r="AC53" s="17"/>
      <c r="AD53" s="40"/>
      <c r="AE53" s="40"/>
      <c r="AF53" s="40">
        <f>AZ53/100*AF25</f>
        <v>5910713268.5499363</v>
      </c>
      <c r="AG53" s="44">
        <f t="shared" si="17"/>
        <v>1.4427059757009929E-3</v>
      </c>
      <c r="AH53" s="44">
        <f t="shared" si="23"/>
        <v>-9.2099874159656137E-3</v>
      </c>
      <c r="AT53" s="39">
        <v>11789236</v>
      </c>
      <c r="AV53" s="39">
        <f t="shared" si="24"/>
        <v>-3.315395793126607E-3</v>
      </c>
      <c r="AW53" s="56">
        <v>6557.2919630688002</v>
      </c>
      <c r="AX53" s="44">
        <f t="shared" si="25"/>
        <v>4.7739292337258613E-3</v>
      </c>
      <c r="AY53" s="39">
        <f t="shared" si="18"/>
        <v>97.547368392618992</v>
      </c>
      <c r="AZ53" s="39">
        <f t="shared" si="19"/>
        <v>102.84823422667142</v>
      </c>
      <c r="BB53" s="44">
        <f t="shared" si="20"/>
        <v>1.2704225574436954E-2</v>
      </c>
    </row>
    <row r="54" spans="1:54" s="29" customFormat="1">
      <c r="A54" s="29">
        <f t="shared" si="26"/>
        <v>2025</v>
      </c>
      <c r="B54" s="29">
        <f t="shared" si="27"/>
        <v>1</v>
      </c>
      <c r="C54" s="30"/>
      <c r="D54" s="51">
        <v>124659533.144205</v>
      </c>
      <c r="E54" s="30"/>
      <c r="F54" s="33">
        <v>22658345.771903101</v>
      </c>
      <c r="G54" s="59">
        <v>1197641</v>
      </c>
      <c r="H54" s="59">
        <v>6589067.4207775202</v>
      </c>
      <c r="I54" s="59">
        <v>37041</v>
      </c>
      <c r="J54" s="59">
        <v>203788.653138144</v>
      </c>
      <c r="K54" s="30"/>
      <c r="L54" s="51">
        <v>2967898.6643011202</v>
      </c>
      <c r="M54" s="33"/>
      <c r="N54" s="51">
        <v>967482.75720068801</v>
      </c>
      <c r="O54" s="30"/>
      <c r="P54" s="51">
        <v>20723244.954411101</v>
      </c>
      <c r="Q54" s="33"/>
      <c r="R54" s="51">
        <v>19699195.8783237</v>
      </c>
      <c r="S54" s="33"/>
      <c r="T54" s="33">
        <v>75321582.803565904</v>
      </c>
      <c r="U54" s="30"/>
      <c r="V54" s="51">
        <v>114370.373957199</v>
      </c>
      <c r="W54" s="33"/>
      <c r="X54" s="51">
        <v>287265.40548670897</v>
      </c>
      <c r="Y54" s="30"/>
      <c r="Z54" s="30">
        <f t="shared" si="21"/>
        <v>-6780160.9411240108</v>
      </c>
      <c r="AA54" s="30"/>
      <c r="AB54" s="30">
        <f t="shared" si="22"/>
        <v>-70061195.295050204</v>
      </c>
      <c r="AC54" s="17"/>
      <c r="AD54" s="30"/>
      <c r="AE54" s="30"/>
      <c r="AF54" s="30">
        <f>AZ54/100*AF25</f>
        <v>5888069814.6579208</v>
      </c>
      <c r="AG54" s="34">
        <f t="shared" si="17"/>
        <v>-3.8309173298082403E-3</v>
      </c>
      <c r="AH54" s="34">
        <f t="shared" si="23"/>
        <v>-1.1898839093354152E-2</v>
      </c>
      <c r="AT54" s="29">
        <v>11855551</v>
      </c>
      <c r="AV54" s="29">
        <f t="shared" si="24"/>
        <v>5.62504644066842E-3</v>
      </c>
      <c r="AW54" s="53">
        <v>6495.6332807849003</v>
      </c>
      <c r="AX54" s="34">
        <f t="shared" si="25"/>
        <v>-9.4030710590845435E-3</v>
      </c>
      <c r="AY54" s="29">
        <f t="shared" si="18"/>
        <v>96.630123555996491</v>
      </c>
      <c r="AZ54" s="29">
        <f t="shared" si="19"/>
        <v>102.45423114383227</v>
      </c>
      <c r="BB54" s="34">
        <f t="shared" si="20"/>
        <v>1.4520803258884264E-2</v>
      </c>
    </row>
    <row r="55" spans="1:54" s="39" customFormat="1">
      <c r="A55" s="39">
        <f t="shared" si="26"/>
        <v>2025</v>
      </c>
      <c r="B55" s="39">
        <f t="shared" si="27"/>
        <v>2</v>
      </c>
      <c r="C55" s="40"/>
      <c r="D55" s="54">
        <v>125464761.049805</v>
      </c>
      <c r="E55" s="40"/>
      <c r="F55" s="43">
        <v>22804705.475409798</v>
      </c>
      <c r="G55" s="57">
        <v>1292509</v>
      </c>
      <c r="H55" s="57">
        <v>7111003.1661923202</v>
      </c>
      <c r="I55" s="57">
        <v>39975</v>
      </c>
      <c r="J55" s="57">
        <v>219930.655468193</v>
      </c>
      <c r="K55" s="40"/>
      <c r="L55" s="54">
        <v>2356907.5580809801</v>
      </c>
      <c r="M55" s="43"/>
      <c r="N55" s="54">
        <v>974531.00173371995</v>
      </c>
      <c r="O55" s="40"/>
      <c r="P55" s="54">
        <v>17591586.561557699</v>
      </c>
      <c r="Q55" s="43"/>
      <c r="R55" s="54">
        <v>22656145.767181199</v>
      </c>
      <c r="S55" s="43"/>
      <c r="T55" s="43">
        <v>86627736.987486199</v>
      </c>
      <c r="U55" s="40"/>
      <c r="V55" s="54">
        <v>113630.21518735299</v>
      </c>
      <c r="W55" s="43"/>
      <c r="X55" s="54">
        <v>285406.34005055</v>
      </c>
      <c r="Y55" s="40"/>
      <c r="Z55" s="40">
        <f t="shared" si="21"/>
        <v>-3366368.0528559461</v>
      </c>
      <c r="AA55" s="40"/>
      <c r="AB55" s="40">
        <f t="shared" si="22"/>
        <v>-56428610.623876497</v>
      </c>
      <c r="AC55" s="17"/>
      <c r="AD55" s="40"/>
      <c r="AE55" s="40"/>
      <c r="AF55" s="40">
        <f>AZ55/100*AF25</f>
        <v>5897326447.5197878</v>
      </c>
      <c r="AG55" s="44">
        <f t="shared" si="17"/>
        <v>1.5720997123409165E-3</v>
      </c>
      <c r="AH55" s="44">
        <f t="shared" si="23"/>
        <v>-9.5685072084840117E-3</v>
      </c>
      <c r="AT55" s="39">
        <v>11798718</v>
      </c>
      <c r="AV55" s="39">
        <f t="shared" si="24"/>
        <v>-4.793788158812695E-3</v>
      </c>
      <c r="AW55" s="56">
        <v>6537.1829341387602</v>
      </c>
      <c r="AX55" s="44">
        <f t="shared" si="25"/>
        <v>6.3965515843959729E-3</v>
      </c>
      <c r="AY55" s="39">
        <f t="shared" si="18"/>
        <v>97.248223125928988</v>
      </c>
      <c r="AZ55" s="39">
        <f t="shared" si="19"/>
        <v>102.61529941114159</v>
      </c>
      <c r="BB55" s="44">
        <f t="shared" si="20"/>
        <v>1.2708220411207758E-2</v>
      </c>
    </row>
    <row r="56" spans="1:54" s="39" customFormat="1">
      <c r="A56" s="39">
        <f t="shared" si="26"/>
        <v>2025</v>
      </c>
      <c r="B56" s="39">
        <f t="shared" si="27"/>
        <v>3</v>
      </c>
      <c r="C56" s="40"/>
      <c r="D56" s="54">
        <v>126301914.33251201</v>
      </c>
      <c r="E56" s="40"/>
      <c r="F56" s="43">
        <v>22956867.994113602</v>
      </c>
      <c r="G56" s="57">
        <v>1417833</v>
      </c>
      <c r="H56" s="57">
        <v>7800498.8376343697</v>
      </c>
      <c r="I56" s="57">
        <v>43850</v>
      </c>
      <c r="J56" s="57">
        <v>241249.76215835501</v>
      </c>
      <c r="K56" s="40"/>
      <c r="L56" s="54">
        <v>2356299.7918142499</v>
      </c>
      <c r="M56" s="43"/>
      <c r="N56" s="54">
        <v>983139.377548691</v>
      </c>
      <c r="O56" s="40"/>
      <c r="P56" s="54">
        <v>17635793.603362899</v>
      </c>
      <c r="Q56" s="43"/>
      <c r="R56" s="54">
        <v>19766447.734610099</v>
      </c>
      <c r="S56" s="43"/>
      <c r="T56" s="43">
        <v>75578726.104909897</v>
      </c>
      <c r="U56" s="40"/>
      <c r="V56" s="54">
        <v>115445.287861697</v>
      </c>
      <c r="W56" s="43"/>
      <c r="X56" s="54">
        <v>289965.27930852998</v>
      </c>
      <c r="Y56" s="40"/>
      <c r="Z56" s="40">
        <f t="shared" si="21"/>
        <v>-6414414.1410047449</v>
      </c>
      <c r="AA56" s="40"/>
      <c r="AB56" s="40">
        <f t="shared" si="22"/>
        <v>-68358981.830965012</v>
      </c>
      <c r="AC56" s="17"/>
      <c r="AD56" s="40"/>
      <c r="AE56" s="40"/>
      <c r="AF56" s="40">
        <f>AZ56/100*AF25</f>
        <v>5892122875.4837351</v>
      </c>
      <c r="AG56" s="44">
        <f t="shared" si="17"/>
        <v>-8.8236119915680554E-4</v>
      </c>
      <c r="AH56" s="44">
        <f t="shared" si="23"/>
        <v>-1.1601757681496558E-2</v>
      </c>
      <c r="AT56" s="39">
        <v>11848977</v>
      </c>
      <c r="AV56" s="39">
        <f t="shared" si="24"/>
        <v>4.2597000792797997E-3</v>
      </c>
      <c r="AW56" s="56">
        <v>6503.7109196458596</v>
      </c>
      <c r="AX56" s="44">
        <f t="shared" si="25"/>
        <v>-5.1202505467762872E-3</v>
      </c>
      <c r="AY56" s="39">
        <f t="shared" si="18"/>
        <v>96.750287858295422</v>
      </c>
      <c r="AZ56" s="39">
        <f t="shared" si="19"/>
        <v>102.52475565250137</v>
      </c>
      <c r="BB56" s="44">
        <f t="shared" si="20"/>
        <v>1.4587575603507241E-2</v>
      </c>
    </row>
    <row r="57" spans="1:54" s="39" customFormat="1">
      <c r="A57" s="39">
        <f t="shared" si="26"/>
        <v>2025</v>
      </c>
      <c r="B57" s="39">
        <f t="shared" si="27"/>
        <v>4</v>
      </c>
      <c r="C57" s="40"/>
      <c r="D57" s="54">
        <v>126763592.605876</v>
      </c>
      <c r="E57" s="40"/>
      <c r="F57" s="43">
        <v>23040783.4852871</v>
      </c>
      <c r="G57" s="57">
        <v>1504383</v>
      </c>
      <c r="H57" s="57">
        <v>8276671.4012559298</v>
      </c>
      <c r="I57" s="57">
        <v>46527</v>
      </c>
      <c r="J57" s="57">
        <v>255977.82631566201</v>
      </c>
      <c r="K57" s="40"/>
      <c r="L57" s="54">
        <v>2423635.1681659101</v>
      </c>
      <c r="M57" s="43"/>
      <c r="N57" s="54">
        <v>988086.62468475103</v>
      </c>
      <c r="O57" s="40"/>
      <c r="P57" s="54">
        <v>18012415.485419299</v>
      </c>
      <c r="Q57" s="43"/>
      <c r="R57" s="54">
        <v>22784837.6981172</v>
      </c>
      <c r="S57" s="43"/>
      <c r="T57" s="43">
        <v>87119801.739368707</v>
      </c>
      <c r="U57" s="40"/>
      <c r="V57" s="54">
        <v>117980.103825242</v>
      </c>
      <c r="W57" s="43"/>
      <c r="X57" s="54">
        <v>296332.00620123401</v>
      </c>
      <c r="Y57" s="40"/>
      <c r="Z57" s="40">
        <f t="shared" si="21"/>
        <v>-3549687.4761953205</v>
      </c>
      <c r="AA57" s="40"/>
      <c r="AB57" s="40">
        <f t="shared" si="22"/>
        <v>-57656206.351926595</v>
      </c>
      <c r="AC57" s="17"/>
      <c r="AD57" s="40"/>
      <c r="AE57" s="40"/>
      <c r="AF57" s="40">
        <f>AZ57/100*AF25</f>
        <v>5915216912.4047976</v>
      </c>
      <c r="AG57" s="44">
        <f t="shared" si="17"/>
        <v>3.9194764618968479E-3</v>
      </c>
      <c r="AH57" s="44">
        <f t="shared" si="23"/>
        <v>-9.7470992536242921E-3</v>
      </c>
      <c r="AT57" s="39">
        <v>11887176</v>
      </c>
      <c r="AV57" s="39">
        <f t="shared" si="24"/>
        <v>3.2238226135471444E-3</v>
      </c>
      <c r="AW57" s="56">
        <v>6508.2207124037895</v>
      </c>
      <c r="AX57" s="44">
        <f t="shared" si="25"/>
        <v>6.9341839046184722E-4</v>
      </c>
      <c r="AY57" s="39">
        <f t="shared" si="18"/>
        <v>96.817376287178845</v>
      </c>
      <c r="AZ57" s="39">
        <f t="shared" si="19"/>
        <v>102.92659901904307</v>
      </c>
      <c r="BB57" s="44">
        <f t="shared" si="20"/>
        <v>1.2771240909596759E-2</v>
      </c>
    </row>
    <row r="58" spans="1:54" s="29" customFormat="1">
      <c r="A58" s="29">
        <f t="shared" si="26"/>
        <v>2026</v>
      </c>
      <c r="B58" s="29">
        <f t="shared" si="27"/>
        <v>1</v>
      </c>
      <c r="C58" s="30"/>
      <c r="D58" s="51">
        <v>127425073.645695</v>
      </c>
      <c r="E58" s="30"/>
      <c r="F58" s="33">
        <v>23161015.494374</v>
      </c>
      <c r="G58" s="59">
        <v>1601842</v>
      </c>
      <c r="H58" s="59">
        <v>8812862.0642021392</v>
      </c>
      <c r="I58" s="59">
        <v>49541</v>
      </c>
      <c r="J58" s="59">
        <v>272559.965041894</v>
      </c>
      <c r="K58" s="30"/>
      <c r="L58" s="51">
        <v>2946999.95517636</v>
      </c>
      <c r="M58" s="33"/>
      <c r="N58" s="51">
        <v>993744.35996501497</v>
      </c>
      <c r="O58" s="30"/>
      <c r="P58" s="51">
        <v>20759285.043398201</v>
      </c>
      <c r="Q58" s="33"/>
      <c r="R58" s="51">
        <v>19729490.964055501</v>
      </c>
      <c r="S58" s="33"/>
      <c r="T58" s="33">
        <v>75437418.6895881</v>
      </c>
      <c r="U58" s="30"/>
      <c r="V58" s="51">
        <v>115950.367001334</v>
      </c>
      <c r="W58" s="33"/>
      <c r="X58" s="51">
        <v>291233.89248894202</v>
      </c>
      <c r="Y58" s="30"/>
      <c r="Z58" s="30">
        <f t="shared" si="21"/>
        <v>-7256318.4784585424</v>
      </c>
      <c r="AA58" s="30"/>
      <c r="AB58" s="30">
        <f t="shared" si="22"/>
        <v>-72746939.999505103</v>
      </c>
      <c r="AC58" s="17"/>
      <c r="AD58" s="30"/>
      <c r="AE58" s="30"/>
      <c r="AF58" s="30">
        <f>AZ58/100*AF25</f>
        <v>5922914041.5764542</v>
      </c>
      <c r="AG58" s="34">
        <f t="shared" ref="AG58:AG89" si="28">(AF58-AF57)/AF57</f>
        <v>1.3012420821821367E-3</v>
      </c>
      <c r="AH58" s="34">
        <f t="shared" si="23"/>
        <v>-1.2282288665486463E-2</v>
      </c>
      <c r="AT58" s="29">
        <v>11966045</v>
      </c>
      <c r="AV58" s="29">
        <f t="shared" si="24"/>
        <v>6.6347970283269974E-3</v>
      </c>
      <c r="AW58" s="53">
        <v>6473.7375484264303</v>
      </c>
      <c r="AX58" s="34">
        <f t="shared" si="25"/>
        <v>-5.2984011300721565E-3</v>
      </c>
      <c r="AY58" s="29">
        <f t="shared" ref="AY58:AY89" si="29">AY57*((1+AX58))</f>
        <v>96.304398991248235</v>
      </c>
      <c r="AZ58" s="29">
        <f t="shared" si="19"/>
        <v>103.06053144106252</v>
      </c>
      <c r="BB58" s="34">
        <f t="shared" si="20"/>
        <v>1.4527501984033759E-2</v>
      </c>
    </row>
    <row r="59" spans="1:54" s="39" customFormat="1">
      <c r="A59" s="39">
        <f t="shared" si="26"/>
        <v>2026</v>
      </c>
      <c r="B59" s="39">
        <f t="shared" si="27"/>
        <v>2</v>
      </c>
      <c r="C59" s="40"/>
      <c r="D59" s="54">
        <v>128550215.466216</v>
      </c>
      <c r="E59" s="40"/>
      <c r="F59" s="43">
        <v>23365523.3388106</v>
      </c>
      <c r="G59" s="57">
        <v>1697262</v>
      </c>
      <c r="H59" s="57">
        <v>9337834.7507505994</v>
      </c>
      <c r="I59" s="57">
        <v>52492</v>
      </c>
      <c r="J59" s="57">
        <v>288795.49635613197</v>
      </c>
      <c r="K59" s="40"/>
      <c r="L59" s="54">
        <v>2397739.74921411</v>
      </c>
      <c r="M59" s="43"/>
      <c r="N59" s="54">
        <v>1004063.30782153</v>
      </c>
      <c r="O59" s="40"/>
      <c r="P59" s="54">
        <v>17965943.0301117</v>
      </c>
      <c r="Q59" s="43"/>
      <c r="R59" s="54">
        <v>22492184.235093102</v>
      </c>
      <c r="S59" s="43"/>
      <c r="T59" s="43">
        <v>86000815.858722895</v>
      </c>
      <c r="U59" s="40"/>
      <c r="V59" s="54">
        <v>120518.429869684</v>
      </c>
      <c r="W59" s="43"/>
      <c r="X59" s="54">
        <v>302707.549405167</v>
      </c>
      <c r="Y59" s="40"/>
      <c r="Z59" s="40">
        <f t="shared" si="21"/>
        <v>-4154623.730883453</v>
      </c>
      <c r="AA59" s="40"/>
      <c r="AB59" s="40">
        <f t="shared" si="22"/>
        <v>-60515342.637604803</v>
      </c>
      <c r="AC59" s="17"/>
      <c r="AD59" s="40"/>
      <c r="AE59" s="40"/>
      <c r="AF59" s="40">
        <f>AZ59/100*AF25</f>
        <v>5916081591.6454458</v>
      </c>
      <c r="AG59" s="44">
        <f t="shared" si="28"/>
        <v>-1.1535622301872544E-3</v>
      </c>
      <c r="AH59" s="44">
        <f t="shared" si="23"/>
        <v>-1.0228956734312653E-2</v>
      </c>
      <c r="AT59" s="39">
        <v>11953235</v>
      </c>
      <c r="AV59" s="39">
        <f t="shared" si="24"/>
        <v>-1.0705291514447755E-3</v>
      </c>
      <c r="AW59" s="56">
        <v>6473.1994380039196</v>
      </c>
      <c r="AX59" s="44">
        <f t="shared" si="25"/>
        <v>-8.3122063334421835E-5</v>
      </c>
      <c r="AY59" s="39">
        <f t="shared" si="29"/>
        <v>96.296393970895906</v>
      </c>
      <c r="AZ59" s="39">
        <f t="shared" si="19"/>
        <v>102.9416447045691</v>
      </c>
      <c r="BB59" s="44">
        <f t="shared" si="20"/>
        <v>1.270050429297836E-2</v>
      </c>
    </row>
    <row r="60" spans="1:54" s="39" customFormat="1">
      <c r="A60" s="39">
        <f t="shared" si="26"/>
        <v>2026</v>
      </c>
      <c r="B60" s="39">
        <f t="shared" si="27"/>
        <v>3</v>
      </c>
      <c r="C60" s="40"/>
      <c r="D60" s="54">
        <v>129191760.34375601</v>
      </c>
      <c r="E60" s="40"/>
      <c r="F60" s="43">
        <v>23482131.7144146</v>
      </c>
      <c r="G60" s="57">
        <v>1832488</v>
      </c>
      <c r="H60" s="57">
        <v>10081808.3046303</v>
      </c>
      <c r="I60" s="57">
        <v>56675</v>
      </c>
      <c r="J60" s="57">
        <v>311809.12817160197</v>
      </c>
      <c r="K60" s="40"/>
      <c r="L60" s="54">
        <v>2399318.5661814502</v>
      </c>
      <c r="M60" s="43"/>
      <c r="N60" s="54">
        <v>1009334.25037021</v>
      </c>
      <c r="O60" s="40"/>
      <c r="P60" s="54">
        <v>18003134.689583901</v>
      </c>
      <c r="Q60" s="43"/>
      <c r="R60" s="54">
        <v>19676641.4162223</v>
      </c>
      <c r="S60" s="43"/>
      <c r="T60" s="43">
        <v>75235343.862887695</v>
      </c>
      <c r="U60" s="40"/>
      <c r="V60" s="54">
        <v>116815.985215344</v>
      </c>
      <c r="W60" s="43"/>
      <c r="X60" s="54">
        <v>293408.07587787899</v>
      </c>
      <c r="Y60" s="40"/>
      <c r="Z60" s="40">
        <f t="shared" si="21"/>
        <v>-7097327.1295286156</v>
      </c>
      <c r="AA60" s="40"/>
      <c r="AB60" s="40">
        <f t="shared" si="22"/>
        <v>-71959551.170452207</v>
      </c>
      <c r="AC60" s="17"/>
      <c r="AD60" s="40"/>
      <c r="AE60" s="40"/>
      <c r="AF60" s="40">
        <f>AZ60/100*AF25</f>
        <v>5922072417.7216988</v>
      </c>
      <c r="AG60" s="44">
        <f t="shared" si="28"/>
        <v>1.0126341199744513E-3</v>
      </c>
      <c r="AH60" s="44">
        <f t="shared" si="23"/>
        <v>-1.215107585566068E-2</v>
      </c>
      <c r="AT60" s="39">
        <v>11992467</v>
      </c>
      <c r="AV60" s="39">
        <f t="shared" si="24"/>
        <v>3.2821240442440897E-3</v>
      </c>
      <c r="AW60" s="56">
        <v>6458.5566365921704</v>
      </c>
      <c r="AX60" s="44">
        <f t="shared" si="25"/>
        <v>-2.2620655445561859E-3</v>
      </c>
      <c r="AY60" s="39">
        <f t="shared" si="29"/>
        <v>96.078565216029332</v>
      </c>
      <c r="AZ60" s="39">
        <f t="shared" si="19"/>
        <v>103.04588692636322</v>
      </c>
      <c r="BB60" s="44">
        <f t="shared" si="20"/>
        <v>1.4503677913565542E-2</v>
      </c>
    </row>
    <row r="61" spans="1:54" s="39" customFormat="1">
      <c r="A61" s="39">
        <f t="shared" si="26"/>
        <v>2026</v>
      </c>
      <c r="B61" s="39">
        <f t="shared" si="27"/>
        <v>4</v>
      </c>
      <c r="C61" s="40"/>
      <c r="D61" s="54">
        <v>129310050.751561</v>
      </c>
      <c r="E61" s="40"/>
      <c r="F61" s="43">
        <v>23503632.396263301</v>
      </c>
      <c r="G61" s="57">
        <v>1933565</v>
      </c>
      <c r="H61" s="57">
        <v>10637904.136094</v>
      </c>
      <c r="I61" s="57">
        <v>59801</v>
      </c>
      <c r="J61" s="57">
        <v>329007.45785249199</v>
      </c>
      <c r="K61" s="40"/>
      <c r="L61" s="54">
        <v>2381705.5280011399</v>
      </c>
      <c r="M61" s="43"/>
      <c r="N61" s="54">
        <v>1010202.54487333</v>
      </c>
      <c r="O61" s="40"/>
      <c r="P61" s="54">
        <v>17916517.6509053</v>
      </c>
      <c r="Q61" s="43"/>
      <c r="R61" s="54">
        <v>22575965.195230398</v>
      </c>
      <c r="S61" s="43"/>
      <c r="T61" s="43">
        <v>86321159.621246204</v>
      </c>
      <c r="U61" s="40"/>
      <c r="V61" s="54">
        <v>121131.424050659</v>
      </c>
      <c r="W61" s="43"/>
      <c r="X61" s="54">
        <v>304247.21405665</v>
      </c>
      <c r="Y61" s="40"/>
      <c r="Z61" s="40">
        <f t="shared" si="21"/>
        <v>-4198443.8498567156</v>
      </c>
      <c r="AA61" s="40"/>
      <c r="AB61" s="40">
        <f t="shared" si="22"/>
        <v>-60905408.781220093</v>
      </c>
      <c r="AC61" s="17"/>
      <c r="AD61" s="40"/>
      <c r="AE61" s="40"/>
      <c r="AF61" s="40">
        <f>AZ61/100*AF25</f>
        <v>5944654581.5867538</v>
      </c>
      <c r="AG61" s="44">
        <f t="shared" si="28"/>
        <v>3.8132198109361768E-3</v>
      </c>
      <c r="AH61" s="44">
        <f t="shared" si="23"/>
        <v>-1.0245407524580369E-2</v>
      </c>
      <c r="AT61" s="39">
        <v>12024462</v>
      </c>
      <c r="AV61" s="39">
        <f t="shared" si="24"/>
        <v>2.6679247897867888E-3</v>
      </c>
      <c r="AW61" s="56">
        <v>6465.9339073483397</v>
      </c>
      <c r="AX61" s="44">
        <f t="shared" si="25"/>
        <v>1.1422475904867028E-3</v>
      </c>
      <c r="AY61" s="39">
        <f t="shared" si="29"/>
        <v>96.188310725644769</v>
      </c>
      <c r="AZ61" s="39">
        <f t="shared" si="19"/>
        <v>103.43882354382632</v>
      </c>
      <c r="BB61" s="44">
        <f t="shared" si="20"/>
        <v>1.2760830732323454E-2</v>
      </c>
    </row>
    <row r="62" spans="1:54" s="29" customFormat="1">
      <c r="A62" s="29">
        <f t="shared" si="26"/>
        <v>2027</v>
      </c>
      <c r="B62" s="29">
        <f t="shared" si="27"/>
        <v>1</v>
      </c>
      <c r="C62" s="30"/>
      <c r="D62" s="51">
        <v>130185103.881577</v>
      </c>
      <c r="E62" s="30"/>
      <c r="F62" s="33">
        <v>23662683.660844501</v>
      </c>
      <c r="G62" s="59">
        <v>2029927</v>
      </c>
      <c r="H62" s="59">
        <v>11168059.428707501</v>
      </c>
      <c r="I62" s="59">
        <v>62781</v>
      </c>
      <c r="J62" s="59">
        <v>345402.53861034598</v>
      </c>
      <c r="K62" s="30"/>
      <c r="L62" s="51">
        <v>2912915.3298626002</v>
      </c>
      <c r="M62" s="33"/>
      <c r="N62" s="51">
        <v>1017025.10078074</v>
      </c>
      <c r="O62" s="30"/>
      <c r="P62" s="51">
        <v>20710503.5276527</v>
      </c>
      <c r="Q62" s="33"/>
      <c r="R62" s="51">
        <v>19920657.721624698</v>
      </c>
      <c r="S62" s="33"/>
      <c r="T62" s="33">
        <v>76168361.355901897</v>
      </c>
      <c r="U62" s="30"/>
      <c r="V62" s="51">
        <v>123248.80019428</v>
      </c>
      <c r="W62" s="33"/>
      <c r="X62" s="51">
        <v>309565.45247294498</v>
      </c>
      <c r="Y62" s="30"/>
      <c r="Z62" s="30">
        <f t="shared" si="21"/>
        <v>-7548717.5696688648</v>
      </c>
      <c r="AA62" s="30"/>
      <c r="AB62" s="30">
        <f t="shared" si="22"/>
        <v>-74727246.053327799</v>
      </c>
      <c r="AC62" s="17"/>
      <c r="AD62" s="30"/>
      <c r="AE62" s="30"/>
      <c r="AF62" s="30">
        <f>AZ62/100*AF25</f>
        <v>5993629232.9905415</v>
      </c>
      <c r="AG62" s="34">
        <f t="shared" si="28"/>
        <v>8.2384351742629328E-3</v>
      </c>
      <c r="AH62" s="34">
        <f t="shared" si="23"/>
        <v>-1.2467779228319464E-2</v>
      </c>
      <c r="AT62" s="29">
        <v>12086284</v>
      </c>
      <c r="AV62" s="29">
        <f t="shared" si="24"/>
        <v>5.1413526858831602E-3</v>
      </c>
      <c r="AW62" s="53">
        <v>6485.8570063452698</v>
      </c>
      <c r="AX62" s="34">
        <f t="shared" si="25"/>
        <v>3.0812407430097746E-3</v>
      </c>
      <c r="AY62" s="29">
        <f t="shared" si="29"/>
        <v>96.484690067653915</v>
      </c>
      <c r="AZ62" s="29">
        <f t="shared" si="19"/>
        <v>104.29099758609416</v>
      </c>
      <c r="BB62" s="34">
        <f t="shared" si="20"/>
        <v>1.4605286737353703E-2</v>
      </c>
    </row>
    <row r="63" spans="1:54" s="39" customFormat="1">
      <c r="A63" s="39">
        <f t="shared" si="26"/>
        <v>2027</v>
      </c>
      <c r="B63" s="39">
        <f t="shared" si="27"/>
        <v>2</v>
      </c>
      <c r="C63" s="40"/>
      <c r="D63" s="54">
        <v>130888000.63867199</v>
      </c>
      <c r="E63" s="40"/>
      <c r="F63" s="43">
        <v>23790443.466793802</v>
      </c>
      <c r="G63" s="57">
        <v>2098638</v>
      </c>
      <c r="H63" s="57">
        <v>11546087.077685</v>
      </c>
      <c r="I63" s="57">
        <v>64906</v>
      </c>
      <c r="J63" s="57">
        <v>357093.66163398401</v>
      </c>
      <c r="K63" s="40"/>
      <c r="L63" s="54">
        <v>2364941.3357698298</v>
      </c>
      <c r="M63" s="43"/>
      <c r="N63" s="54">
        <v>1022983.64715936</v>
      </c>
      <c r="O63" s="40"/>
      <c r="P63" s="54">
        <v>17899846.031466302</v>
      </c>
      <c r="Q63" s="43"/>
      <c r="R63" s="54">
        <v>22753020.355359402</v>
      </c>
      <c r="S63" s="43"/>
      <c r="T63" s="43">
        <v>86998145.371671006</v>
      </c>
      <c r="U63" s="40"/>
      <c r="V63" s="54">
        <v>123920.502713277</v>
      </c>
      <c r="W63" s="43"/>
      <c r="X63" s="54">
        <v>311252.57554345601</v>
      </c>
      <c r="Y63" s="40"/>
      <c r="Z63" s="40">
        <f t="shared" si="21"/>
        <v>-4301427.5916503109</v>
      </c>
      <c r="AA63" s="40"/>
      <c r="AB63" s="40">
        <f t="shared" si="22"/>
        <v>-61789701.298467293</v>
      </c>
      <c r="AC63" s="17"/>
      <c r="AD63" s="40"/>
      <c r="AE63" s="40"/>
      <c r="AF63" s="40">
        <f>AZ63/100*AF25</f>
        <v>5963852235.3744879</v>
      </c>
      <c r="AG63" s="44">
        <f t="shared" si="28"/>
        <v>-4.9681080458152142E-3</v>
      </c>
      <c r="AH63" s="44">
        <f t="shared" si="23"/>
        <v>-1.0360702924858321E-2</v>
      </c>
      <c r="AT63" s="39">
        <v>12023235</v>
      </c>
      <c r="AV63" s="39">
        <f t="shared" si="24"/>
        <v>-5.2165744243640143E-3</v>
      </c>
      <c r="AW63" s="56">
        <v>6487.4769744315099</v>
      </c>
      <c r="AX63" s="44">
        <f t="shared" si="25"/>
        <v>2.4976931878936345E-4</v>
      </c>
      <c r="AY63" s="39">
        <f t="shared" si="29"/>
        <v>96.508788982965712</v>
      </c>
      <c r="AZ63" s="39">
        <f t="shared" si="19"/>
        <v>103.77286864188061</v>
      </c>
      <c r="BB63" s="44">
        <f t="shared" si="20"/>
        <v>1.2736993548149137E-2</v>
      </c>
    </row>
    <row r="64" spans="1:54" s="39" customFormat="1">
      <c r="A64" s="39">
        <f t="shared" si="26"/>
        <v>2027</v>
      </c>
      <c r="B64" s="39">
        <f t="shared" si="27"/>
        <v>3</v>
      </c>
      <c r="C64" s="40"/>
      <c r="D64" s="54">
        <v>131633642.989952</v>
      </c>
      <c r="E64" s="40"/>
      <c r="F64" s="43">
        <v>23925972.790475201</v>
      </c>
      <c r="G64" s="57">
        <v>2238096</v>
      </c>
      <c r="H64" s="57">
        <v>12313343.8469228</v>
      </c>
      <c r="I64" s="57">
        <v>69219</v>
      </c>
      <c r="J64" s="57">
        <v>380822.51509325398</v>
      </c>
      <c r="K64" s="40"/>
      <c r="L64" s="54">
        <v>2366510.8413819699</v>
      </c>
      <c r="M64" s="43"/>
      <c r="N64" s="54">
        <v>1028867.7242493</v>
      </c>
      <c r="O64" s="40"/>
      <c r="P64" s="54">
        <v>17940362.659614298</v>
      </c>
      <c r="Q64" s="43"/>
      <c r="R64" s="54">
        <v>19985217.119316</v>
      </c>
      <c r="S64" s="43"/>
      <c r="T64" s="43">
        <v>76415209.808447495</v>
      </c>
      <c r="U64" s="40"/>
      <c r="V64" s="54">
        <v>116027.495637801</v>
      </c>
      <c r="W64" s="43"/>
      <c r="X64" s="54">
        <v>291427.61738694401</v>
      </c>
      <c r="Y64" s="40"/>
      <c r="Z64" s="40">
        <f t="shared" si="21"/>
        <v>-7220106.7411526702</v>
      </c>
      <c r="AA64" s="40"/>
      <c r="AB64" s="40">
        <f t="shared" si="22"/>
        <v>-73158795.841118798</v>
      </c>
      <c r="AC64" s="17"/>
      <c r="AD64" s="40"/>
      <c r="AE64" s="40"/>
      <c r="AF64" s="40">
        <f>AZ64/100*AF25</f>
        <v>5983381751.9663591</v>
      </c>
      <c r="AG64" s="44">
        <f t="shared" si="28"/>
        <v>3.2746479659627155E-3</v>
      </c>
      <c r="AH64" s="44">
        <f t="shared" si="23"/>
        <v>-1.2226997854027304E-2</v>
      </c>
      <c r="AT64" s="39">
        <v>12064816</v>
      </c>
      <c r="AV64" s="39">
        <f t="shared" si="24"/>
        <v>3.4583870314437003E-3</v>
      </c>
      <c r="AW64" s="56">
        <v>6486.2890796747197</v>
      </c>
      <c r="AX64" s="44">
        <f t="shared" si="25"/>
        <v>-1.8310581470608187E-4</v>
      </c>
      <c r="AY64" s="39">
        <f t="shared" si="29"/>
        <v>96.491117662532687</v>
      </c>
      <c r="AZ64" s="39">
        <f t="shared" si="19"/>
        <v>104.11268825510085</v>
      </c>
      <c r="BB64" s="44">
        <f t="shared" si="20"/>
        <v>1.4561936595896835E-2</v>
      </c>
    </row>
    <row r="65" spans="1:54" s="39" customFormat="1">
      <c r="A65" s="39">
        <f t="shared" si="26"/>
        <v>2027</v>
      </c>
      <c r="B65" s="39">
        <f t="shared" si="27"/>
        <v>4</v>
      </c>
      <c r="C65" s="40"/>
      <c r="D65" s="54">
        <v>132280614.328169</v>
      </c>
      <c r="E65" s="40"/>
      <c r="F65" s="43">
        <v>24043567.4895414</v>
      </c>
      <c r="G65" s="57">
        <v>2351459</v>
      </c>
      <c r="H65" s="57">
        <v>12937033.6254304</v>
      </c>
      <c r="I65" s="57">
        <v>72725</v>
      </c>
      <c r="J65" s="57">
        <v>400111.49265601701</v>
      </c>
      <c r="K65" s="40"/>
      <c r="L65" s="54">
        <v>2372854.5955122998</v>
      </c>
      <c r="M65" s="43"/>
      <c r="N65" s="54">
        <v>1034661.4586461</v>
      </c>
      <c r="O65" s="40"/>
      <c r="P65" s="54">
        <v>18005155.847176701</v>
      </c>
      <c r="Q65" s="43"/>
      <c r="R65" s="54">
        <v>22645592.376217399</v>
      </c>
      <c r="S65" s="43"/>
      <c r="T65" s="43">
        <v>86587385.182456195</v>
      </c>
      <c r="U65" s="40"/>
      <c r="V65" s="54">
        <v>119147.752423931</v>
      </c>
      <c r="W65" s="43"/>
      <c r="X65" s="54">
        <v>299264.80283870897</v>
      </c>
      <c r="Y65" s="40"/>
      <c r="Z65" s="40">
        <f t="shared" si="21"/>
        <v>-4686343.4150584713</v>
      </c>
      <c r="AA65" s="40"/>
      <c r="AB65" s="40">
        <f t="shared" si="22"/>
        <v>-63698384.992889509</v>
      </c>
      <c r="AC65" s="17"/>
      <c r="AD65" s="40"/>
      <c r="AE65" s="40"/>
      <c r="AF65" s="40">
        <f>AZ65/100*AF25</f>
        <v>5960239088.4281969</v>
      </c>
      <c r="AG65" s="44">
        <f t="shared" si="28"/>
        <v>-3.867823330937676E-3</v>
      </c>
      <c r="AH65" s="44">
        <f t="shared" si="23"/>
        <v>-1.0687219765488924E-2</v>
      </c>
      <c r="AT65" s="39">
        <v>12065136</v>
      </c>
      <c r="AV65" s="39">
        <f t="shared" si="24"/>
        <v>2.6523404915582634E-5</v>
      </c>
      <c r="AW65" s="56">
        <v>6461.0298909291796</v>
      </c>
      <c r="AX65" s="44">
        <f t="shared" si="25"/>
        <v>-3.8942434472573348E-3</v>
      </c>
      <c r="AY65" s="39">
        <f t="shared" si="29"/>
        <v>96.115357759856835</v>
      </c>
      <c r="AZ65" s="39">
        <f t="shared" si="19"/>
        <v>103.70999877042114</v>
      </c>
      <c r="BB65" s="44">
        <f t="shared" si="20"/>
        <v>1.2650563573787414E-2</v>
      </c>
    </row>
    <row r="66" spans="1:54" s="29" customFormat="1">
      <c r="A66" s="29">
        <f t="shared" si="26"/>
        <v>2028</v>
      </c>
      <c r="B66" s="29">
        <f t="shared" si="27"/>
        <v>1</v>
      </c>
      <c r="C66" s="30"/>
      <c r="D66" s="51">
        <v>132901487.68939</v>
      </c>
      <c r="E66" s="30"/>
      <c r="F66" s="33">
        <v>24156418.572360899</v>
      </c>
      <c r="G66" s="59">
        <v>2461450</v>
      </c>
      <c r="H66" s="59">
        <v>13542171.6548388</v>
      </c>
      <c r="I66" s="59">
        <v>76128</v>
      </c>
      <c r="J66" s="59">
        <v>418833.79460869398</v>
      </c>
      <c r="K66" s="30"/>
      <c r="L66" s="51">
        <v>2838214.05752197</v>
      </c>
      <c r="M66" s="33"/>
      <c r="N66" s="51">
        <v>1039955.13552579</v>
      </c>
      <c r="O66" s="30"/>
      <c r="P66" s="51">
        <v>20449032.556075498</v>
      </c>
      <c r="Q66" s="33"/>
      <c r="R66" s="51">
        <v>19979534.1523377</v>
      </c>
      <c r="S66" s="33"/>
      <c r="T66" s="33">
        <v>76393480.491653204</v>
      </c>
      <c r="U66" s="30"/>
      <c r="V66" s="51">
        <v>119813.2668022</v>
      </c>
      <c r="W66" s="33"/>
      <c r="X66" s="51">
        <v>300936.38308380102</v>
      </c>
      <c r="Y66" s="30"/>
      <c r="Z66" s="30">
        <f t="shared" si="21"/>
        <v>-7935240.3462687582</v>
      </c>
      <c r="AA66" s="30"/>
      <c r="AB66" s="30">
        <f t="shared" si="22"/>
        <v>-76957039.753812298</v>
      </c>
      <c r="AC66" s="17"/>
      <c r="AD66" s="30"/>
      <c r="AE66" s="30"/>
      <c r="AF66" s="30">
        <f>AZ66/100*AF25</f>
        <v>6014995840.2744951</v>
      </c>
      <c r="AG66" s="34">
        <f t="shared" si="28"/>
        <v>9.1870059294447502E-3</v>
      </c>
      <c r="AH66" s="34">
        <f t="shared" si="23"/>
        <v>-1.2794196670683043E-2</v>
      </c>
      <c r="AT66" s="29">
        <v>12172493</v>
      </c>
      <c r="AV66" s="29">
        <f t="shared" si="24"/>
        <v>8.8981176838785741E-3</v>
      </c>
      <c r="AW66" s="53">
        <v>6462.8799445243103</v>
      </c>
      <c r="AX66" s="34">
        <f t="shared" si="25"/>
        <v>2.863403553863827E-4</v>
      </c>
      <c r="AY66" s="29">
        <f t="shared" si="29"/>
        <v>96.142879465555879</v>
      </c>
      <c r="AZ66" s="29">
        <f t="shared" si="19"/>
        <v>104.66278314406769</v>
      </c>
      <c r="BB66" s="34">
        <f t="shared" si="20"/>
        <v>1.4528668937606163E-2</v>
      </c>
    </row>
    <row r="67" spans="1:54" s="39" customFormat="1">
      <c r="A67" s="39">
        <f t="shared" si="26"/>
        <v>2028</v>
      </c>
      <c r="B67" s="39">
        <f t="shared" si="27"/>
        <v>2</v>
      </c>
      <c r="C67" s="40"/>
      <c r="D67" s="54">
        <v>133639869.13161901</v>
      </c>
      <c r="E67" s="40"/>
      <c r="F67" s="43">
        <v>24290628.1398733</v>
      </c>
      <c r="G67" s="57">
        <v>2582625</v>
      </c>
      <c r="H67" s="57">
        <v>14208840.752433799</v>
      </c>
      <c r="I67" s="57">
        <v>79875</v>
      </c>
      <c r="J67" s="57">
        <v>439448.68306496303</v>
      </c>
      <c r="K67" s="40"/>
      <c r="L67" s="54">
        <v>2334068.2716535698</v>
      </c>
      <c r="M67" s="43"/>
      <c r="N67" s="54">
        <v>1046280.94312647</v>
      </c>
      <c r="O67" s="40"/>
      <c r="P67" s="54">
        <v>17867820.403600201</v>
      </c>
      <c r="Q67" s="43"/>
      <c r="R67" s="54">
        <v>22852602.981541499</v>
      </c>
      <c r="S67" s="43"/>
      <c r="T67" s="43">
        <v>87378908.173873693</v>
      </c>
      <c r="U67" s="40"/>
      <c r="V67" s="54">
        <v>120354.45796861799</v>
      </c>
      <c r="W67" s="43"/>
      <c r="X67" s="54">
        <v>302295.6992641</v>
      </c>
      <c r="Y67" s="40"/>
      <c r="Z67" s="40">
        <f t="shared" si="21"/>
        <v>-4698019.9151432216</v>
      </c>
      <c r="AA67" s="40"/>
      <c r="AB67" s="40">
        <f t="shared" si="22"/>
        <v>-64128781.361345515</v>
      </c>
      <c r="AC67" s="17"/>
      <c r="AD67" s="40"/>
      <c r="AE67" s="40"/>
      <c r="AF67" s="40">
        <f>AZ67/100*AF25</f>
        <v>6024603462.28088</v>
      </c>
      <c r="AG67" s="44">
        <f t="shared" si="28"/>
        <v>1.5972782461552632E-3</v>
      </c>
      <c r="AH67" s="44">
        <f t="shared" si="23"/>
        <v>-1.0644481709517647E-2</v>
      </c>
      <c r="AT67" s="39">
        <v>12157869</v>
      </c>
      <c r="AV67" s="39">
        <f t="shared" si="24"/>
        <v>-1.2013972815593322E-3</v>
      </c>
      <c r="AW67" s="56">
        <v>6480.9892048797701</v>
      </c>
      <c r="AX67" s="44">
        <f t="shared" si="25"/>
        <v>2.8020418932279442E-3</v>
      </c>
      <c r="AY67" s="39">
        <f t="shared" si="29"/>
        <v>96.412275841553935</v>
      </c>
      <c r="AZ67" s="39">
        <f t="shared" si="19"/>
        <v>104.82995873076578</v>
      </c>
      <c r="BB67" s="44">
        <f t="shared" si="20"/>
        <v>1.2622874339380492E-2</v>
      </c>
    </row>
    <row r="68" spans="1:54" s="39" customFormat="1">
      <c r="A68" s="39">
        <f t="shared" si="26"/>
        <v>2028</v>
      </c>
      <c r="B68" s="39">
        <f t="shared" si="27"/>
        <v>3</v>
      </c>
      <c r="C68" s="40"/>
      <c r="D68" s="54">
        <v>134594738.18888</v>
      </c>
      <c r="E68" s="40"/>
      <c r="F68" s="43">
        <v>24464186.8940304</v>
      </c>
      <c r="G68" s="57">
        <v>2700146</v>
      </c>
      <c r="H68" s="57">
        <v>14855406.620132999</v>
      </c>
      <c r="I68" s="57">
        <v>83510</v>
      </c>
      <c r="J68" s="57">
        <v>459447.380566573</v>
      </c>
      <c r="K68" s="40"/>
      <c r="L68" s="54">
        <v>2381837.6517047901</v>
      </c>
      <c r="M68" s="43"/>
      <c r="N68" s="54">
        <v>1054803.15421388</v>
      </c>
      <c r="O68" s="40"/>
      <c r="P68" s="54">
        <v>18162582.634716202</v>
      </c>
      <c r="Q68" s="43"/>
      <c r="R68" s="54">
        <v>20206640.169259399</v>
      </c>
      <c r="S68" s="43"/>
      <c r="T68" s="43">
        <v>77261840.031018093</v>
      </c>
      <c r="U68" s="40"/>
      <c r="V68" s="54">
        <v>117191.93476613</v>
      </c>
      <c r="W68" s="43"/>
      <c r="X68" s="54">
        <v>294352.35276019003</v>
      </c>
      <c r="Y68" s="40"/>
      <c r="Z68" s="40">
        <f t="shared" si="21"/>
        <v>-7576995.595923543</v>
      </c>
      <c r="AA68" s="40"/>
      <c r="AB68" s="40">
        <f t="shared" si="22"/>
        <v>-75495480.792578101</v>
      </c>
      <c r="AC68" s="17"/>
      <c r="AD68" s="40"/>
      <c r="AE68" s="40"/>
      <c r="AF68" s="40">
        <f>AZ68/100*AF25</f>
        <v>6054608955.4586926</v>
      </c>
      <c r="AG68" s="44">
        <f t="shared" si="28"/>
        <v>4.9804926358510354E-3</v>
      </c>
      <c r="AH68" s="44">
        <f t="shared" si="23"/>
        <v>-1.2469092776753676E-2</v>
      </c>
      <c r="AT68" s="39">
        <v>12223345</v>
      </c>
      <c r="AV68" s="39">
        <f t="shared" si="24"/>
        <v>5.3854832619104551E-3</v>
      </c>
      <c r="AW68" s="56">
        <v>6478.3785247781898</v>
      </c>
      <c r="AX68" s="44">
        <f t="shared" si="25"/>
        <v>-4.0282123901929252E-4</v>
      </c>
      <c r="AY68" s="39">
        <f t="shared" si="29"/>
        <v>96.373438929142779</v>
      </c>
      <c r="AZ68" s="39">
        <f t="shared" si="19"/>
        <v>105.35206356824092</v>
      </c>
      <c r="BB68" s="44">
        <f t="shared" si="20"/>
        <v>1.4421105601131454E-2</v>
      </c>
    </row>
    <row r="69" spans="1:54" s="39" customFormat="1">
      <c r="A69" s="39">
        <f t="shared" si="26"/>
        <v>2028</v>
      </c>
      <c r="B69" s="39">
        <f t="shared" si="27"/>
        <v>4</v>
      </c>
      <c r="C69" s="40"/>
      <c r="D69" s="54">
        <v>135646424.23736501</v>
      </c>
      <c r="E69" s="40"/>
      <c r="F69" s="43">
        <v>24655343.282387</v>
      </c>
      <c r="G69" s="57">
        <v>2800026</v>
      </c>
      <c r="H69" s="57">
        <v>15404916.910768799</v>
      </c>
      <c r="I69" s="57">
        <v>86598</v>
      </c>
      <c r="J69" s="57">
        <v>476436.64545927499</v>
      </c>
      <c r="K69" s="40"/>
      <c r="L69" s="54">
        <v>2341001.8572411598</v>
      </c>
      <c r="M69" s="43"/>
      <c r="N69" s="54">
        <v>1064679.8752828599</v>
      </c>
      <c r="O69" s="40"/>
      <c r="P69" s="54">
        <v>18005024.308336899</v>
      </c>
      <c r="Q69" s="43"/>
      <c r="R69" s="54">
        <v>23177690.5340189</v>
      </c>
      <c r="S69" s="43"/>
      <c r="T69" s="43">
        <v>88621908.606662005</v>
      </c>
      <c r="U69" s="40"/>
      <c r="V69" s="54">
        <v>116515.483228975</v>
      </c>
      <c r="W69" s="43"/>
      <c r="X69" s="54">
        <v>292653.301525246</v>
      </c>
      <c r="Y69" s="40"/>
      <c r="Z69" s="40">
        <f t="shared" si="21"/>
        <v>-4766818.9976631477</v>
      </c>
      <c r="AA69" s="40"/>
      <c r="AB69" s="40">
        <f t="shared" si="22"/>
        <v>-65029539.939039901</v>
      </c>
      <c r="AC69" s="17"/>
      <c r="AD69" s="40"/>
      <c r="AE69" s="40"/>
      <c r="AF69" s="40">
        <f>AZ69/100*AF25</f>
        <v>6067796558.8999586</v>
      </c>
      <c r="AG69" s="44">
        <f t="shared" si="28"/>
        <v>2.1781098561908657E-3</v>
      </c>
      <c r="AH69" s="44">
        <f t="shared" si="23"/>
        <v>-1.0717158907323224E-2</v>
      </c>
      <c r="AT69" s="39">
        <v>12181358</v>
      </c>
      <c r="AV69" s="39">
        <f t="shared" si="24"/>
        <v>-3.4349844498375855E-3</v>
      </c>
      <c r="AW69" s="56">
        <v>6514.8676138414403</v>
      </c>
      <c r="AX69" s="44">
        <f t="shared" si="25"/>
        <v>5.6324416555298207E-3</v>
      </c>
      <c r="AY69" s="39">
        <f t="shared" si="29"/>
        <v>96.916256701053939</v>
      </c>
      <c r="AZ69" s="39">
        <f t="shared" si="19"/>
        <v>105.58153193626896</v>
      </c>
      <c r="BB69" s="44">
        <f t="shared" si="20"/>
        <v>1.2682581540567135E-2</v>
      </c>
    </row>
    <row r="70" spans="1:54" s="29" customFormat="1">
      <c r="A70" s="29">
        <f t="shared" si="26"/>
        <v>2029</v>
      </c>
      <c r="B70" s="29">
        <f t="shared" si="27"/>
        <v>1</v>
      </c>
      <c r="C70" s="30"/>
      <c r="D70" s="51">
        <v>136244673.932033</v>
      </c>
      <c r="E70" s="30"/>
      <c r="F70" s="33">
        <v>24764082.246009201</v>
      </c>
      <c r="G70" s="59">
        <v>2901958</v>
      </c>
      <c r="H70" s="59">
        <v>15965716.6999666</v>
      </c>
      <c r="I70" s="59">
        <v>89751</v>
      </c>
      <c r="J70" s="59">
        <v>493783.521173877</v>
      </c>
      <c r="K70" s="30"/>
      <c r="L70" s="51">
        <v>2835637.7310610199</v>
      </c>
      <c r="M70" s="33"/>
      <c r="N70" s="51">
        <v>1069674.2708932101</v>
      </c>
      <c r="O70" s="30"/>
      <c r="P70" s="51">
        <v>20599169.900051299</v>
      </c>
      <c r="Q70" s="33"/>
      <c r="R70" s="51">
        <v>20207266.803189699</v>
      </c>
      <c r="S70" s="33"/>
      <c r="T70" s="33">
        <v>77264236.020162195</v>
      </c>
      <c r="U70" s="30"/>
      <c r="V70" s="51">
        <v>121877.24760993299</v>
      </c>
      <c r="W70" s="33"/>
      <c r="X70" s="51">
        <v>306120.50781064801</v>
      </c>
      <c r="Y70" s="30"/>
      <c r="Z70" s="30">
        <f t="shared" si="21"/>
        <v>-8340250.1971637979</v>
      </c>
      <c r="AA70" s="30"/>
      <c r="AB70" s="30">
        <f t="shared" si="22"/>
        <v>-79579607.811922103</v>
      </c>
      <c r="AC70" s="17"/>
      <c r="AD70" s="30"/>
      <c r="AE70" s="30"/>
      <c r="AF70" s="30">
        <f>AZ70/100*AF25</f>
        <v>6066128221.5527039</v>
      </c>
      <c r="AG70" s="34">
        <f t="shared" si="28"/>
        <v>-2.7494945340705504E-4</v>
      </c>
      <c r="AH70" s="34">
        <f t="shared" si="23"/>
        <v>-1.311868211574873E-2</v>
      </c>
      <c r="AT70" s="29">
        <v>12196547</v>
      </c>
      <c r="AV70" s="29">
        <f t="shared" si="24"/>
        <v>1.2469053121991816E-3</v>
      </c>
      <c r="AW70" s="53">
        <v>6504.9652787901996</v>
      </c>
      <c r="AX70" s="34">
        <f t="shared" si="25"/>
        <v>-1.5199595200065569E-3</v>
      </c>
      <c r="AY70" s="29">
        <f t="shared" si="29"/>
        <v>96.768947914037767</v>
      </c>
      <c r="AZ70" s="29">
        <f t="shared" si="19"/>
        <v>105.5525023517732</v>
      </c>
      <c r="BB70" s="34">
        <f t="shared" si="20"/>
        <v>1.4419098940529538E-2</v>
      </c>
    </row>
    <row r="71" spans="1:54" s="39" customFormat="1">
      <c r="A71" s="39">
        <f t="shared" si="26"/>
        <v>2029</v>
      </c>
      <c r="B71" s="39">
        <f t="shared" si="27"/>
        <v>2</v>
      </c>
      <c r="C71" s="40"/>
      <c r="D71" s="54">
        <v>137142739.08727601</v>
      </c>
      <c r="E71" s="40"/>
      <c r="F71" s="43">
        <v>24927316.218573902</v>
      </c>
      <c r="G71" s="57">
        <v>2991339</v>
      </c>
      <c r="H71" s="57">
        <v>16457464.5903081</v>
      </c>
      <c r="I71" s="57">
        <v>92515</v>
      </c>
      <c r="J71" s="57">
        <v>508990.23366203503</v>
      </c>
      <c r="K71" s="40"/>
      <c r="L71" s="54">
        <v>2348384.3148959102</v>
      </c>
      <c r="M71" s="43"/>
      <c r="N71" s="54">
        <v>1076824.62544173</v>
      </c>
      <c r="O71" s="40"/>
      <c r="P71" s="54">
        <v>18110148.748295601</v>
      </c>
      <c r="Q71" s="43"/>
      <c r="R71" s="54">
        <v>23090633.490933102</v>
      </c>
      <c r="S71" s="43"/>
      <c r="T71" s="43">
        <v>88289038.457041606</v>
      </c>
      <c r="U71" s="40"/>
      <c r="V71" s="54">
        <v>118860.549807501</v>
      </c>
      <c r="W71" s="43"/>
      <c r="X71" s="54">
        <v>298543.43266904901</v>
      </c>
      <c r="Y71" s="40"/>
      <c r="Z71" s="40">
        <f t="shared" si="21"/>
        <v>-5143031.1181709394</v>
      </c>
      <c r="AA71" s="40"/>
      <c r="AB71" s="40">
        <f t="shared" si="22"/>
        <v>-66963849.378530011</v>
      </c>
      <c r="AC71" s="17"/>
      <c r="AD71" s="40"/>
      <c r="AE71" s="40"/>
      <c r="AF71" s="40">
        <f>AZ71/100*AF25</f>
        <v>6063001158.9199686</v>
      </c>
      <c r="AG71" s="44">
        <f t="shared" si="28"/>
        <v>-5.1549563717181708E-4</v>
      </c>
      <c r="AH71" s="44">
        <f t="shared" si="23"/>
        <v>-1.1044670390671441E-2</v>
      </c>
      <c r="AT71" s="39">
        <v>12182408</v>
      </c>
      <c r="AV71" s="39">
        <f t="shared" si="24"/>
        <v>-1.1592625355356725E-3</v>
      </c>
      <c r="AW71" s="56">
        <v>6509.1578203680701</v>
      </c>
      <c r="AX71" s="44">
        <f t="shared" si="25"/>
        <v>6.4451405936639776E-4</v>
      </c>
      <c r="AY71" s="39">
        <f t="shared" si="29"/>
        <v>96.83131686147847</v>
      </c>
      <c r="AZ71" s="39">
        <f t="shared" si="19"/>
        <v>105.49809049731829</v>
      </c>
      <c r="BB71" s="44">
        <f t="shared" ref="BB71:BB102" si="30">T78/AF78</f>
        <v>1.2632257955276624E-2</v>
      </c>
    </row>
    <row r="72" spans="1:54" s="39" customFormat="1">
      <c r="A72" s="39">
        <f t="shared" si="26"/>
        <v>2029</v>
      </c>
      <c r="B72" s="39">
        <f t="shared" si="27"/>
        <v>3</v>
      </c>
      <c r="C72" s="40"/>
      <c r="D72" s="54">
        <v>137623505.92863399</v>
      </c>
      <c r="E72" s="40"/>
      <c r="F72" s="43">
        <v>25014701.282935999</v>
      </c>
      <c r="G72" s="57">
        <v>3076987</v>
      </c>
      <c r="H72" s="57">
        <v>16928674.616062701</v>
      </c>
      <c r="I72" s="57">
        <v>95164</v>
      </c>
      <c r="J72" s="57">
        <v>523564.25008067698</v>
      </c>
      <c r="K72" s="40"/>
      <c r="L72" s="54">
        <v>2389571.5779024698</v>
      </c>
      <c r="M72" s="43"/>
      <c r="N72" s="54">
        <v>1080759.96436844</v>
      </c>
      <c r="O72" s="40"/>
      <c r="P72" s="54">
        <v>18345520.725494701</v>
      </c>
      <c r="Q72" s="43"/>
      <c r="R72" s="54">
        <v>19996702.2872434</v>
      </c>
      <c r="S72" s="43"/>
      <c r="T72" s="43">
        <v>76459124.343456998</v>
      </c>
      <c r="U72" s="40"/>
      <c r="V72" s="54">
        <v>119117.980133071</v>
      </c>
      <c r="W72" s="43"/>
      <c r="X72" s="54">
        <v>299190.02342765802</v>
      </c>
      <c r="Y72" s="40"/>
      <c r="Z72" s="40">
        <f t="shared" si="21"/>
        <v>-8369212.557830438</v>
      </c>
      <c r="AA72" s="40"/>
      <c r="AB72" s="40">
        <f t="shared" si="22"/>
        <v>-79509902.310671687</v>
      </c>
      <c r="AC72" s="17"/>
      <c r="AD72" s="40"/>
      <c r="AE72" s="40"/>
      <c r="AF72" s="40">
        <f>AZ72/100*AF25</f>
        <v>6043930287.9663038</v>
      </c>
      <c r="AG72" s="44">
        <f t="shared" si="28"/>
        <v>-3.1454506528680866E-3</v>
      </c>
      <c r="AH72" s="44">
        <f t="shared" si="23"/>
        <v>-1.3155330806673754E-2</v>
      </c>
      <c r="AT72" s="39">
        <v>12240634</v>
      </c>
      <c r="AV72" s="39">
        <f t="shared" si="24"/>
        <v>4.779514854534506E-3</v>
      </c>
      <c r="AW72" s="56">
        <v>6457.8183469353098</v>
      </c>
      <c r="AX72" s="44">
        <f t="shared" si="25"/>
        <v>-7.8872681919175298E-3</v>
      </c>
      <c r="AY72" s="39">
        <f t="shared" si="29"/>
        <v>96.067582296015445</v>
      </c>
      <c r="AZ72" s="39">
        <f t="shared" si="19"/>
        <v>105.16625145968717</v>
      </c>
      <c r="BB72" s="44">
        <f t="shared" si="30"/>
        <v>1.4328938774012718E-2</v>
      </c>
    </row>
    <row r="73" spans="1:54" s="39" customFormat="1">
      <c r="A73" s="39">
        <f t="shared" si="26"/>
        <v>2029</v>
      </c>
      <c r="B73" s="39">
        <f t="shared" si="27"/>
        <v>4</v>
      </c>
      <c r="C73" s="40"/>
      <c r="D73" s="54">
        <v>138166440.18883401</v>
      </c>
      <c r="E73" s="40"/>
      <c r="F73" s="43">
        <v>25113386.011562299</v>
      </c>
      <c r="G73" s="57">
        <v>3165394</v>
      </c>
      <c r="H73" s="57">
        <v>17415063.8457807</v>
      </c>
      <c r="I73" s="57">
        <v>97898</v>
      </c>
      <c r="J73" s="57">
        <v>538605.91142026603</v>
      </c>
      <c r="K73" s="40"/>
      <c r="L73" s="54">
        <v>2348171.56408427</v>
      </c>
      <c r="M73" s="43"/>
      <c r="N73" s="54">
        <v>1085192.30076593</v>
      </c>
      <c r="O73" s="40"/>
      <c r="P73" s="54">
        <v>18155081.264093</v>
      </c>
      <c r="Q73" s="43"/>
      <c r="R73" s="54">
        <v>22815221.603071101</v>
      </c>
      <c r="S73" s="43"/>
      <c r="T73" s="43">
        <v>87235977.233384699</v>
      </c>
      <c r="U73" s="40"/>
      <c r="V73" s="54">
        <v>116961.788089098</v>
      </c>
      <c r="W73" s="43"/>
      <c r="X73" s="54">
        <v>293774.29066061397</v>
      </c>
      <c r="Y73" s="40"/>
      <c r="Z73" s="40">
        <f t="shared" si="21"/>
        <v>-5614566.4852523021</v>
      </c>
      <c r="AA73" s="40"/>
      <c r="AB73" s="40">
        <f t="shared" si="22"/>
        <v>-69085544.21954231</v>
      </c>
      <c r="AC73" s="17"/>
      <c r="AD73" s="40"/>
      <c r="AE73" s="40"/>
      <c r="AF73" s="40">
        <f>AZ73/100*AF25</f>
        <v>6004402578.6548252</v>
      </c>
      <c r="AG73" s="44">
        <f t="shared" si="28"/>
        <v>-6.5400670471298774E-3</v>
      </c>
      <c r="AH73" s="44">
        <f t="shared" si="23"/>
        <v>-1.1505814827462758E-2</v>
      </c>
      <c r="AT73" s="39">
        <v>12095062</v>
      </c>
      <c r="AV73" s="39">
        <f t="shared" si="24"/>
        <v>-1.1892521253392593E-2</v>
      </c>
      <c r="AW73" s="56">
        <v>6492.7995384734804</v>
      </c>
      <c r="AX73" s="44">
        <f t="shared" si="25"/>
        <v>5.4168745013974647E-3</v>
      </c>
      <c r="AY73" s="39">
        <f t="shared" si="29"/>
        <v>96.58796833296563</v>
      </c>
      <c r="AZ73" s="39">
        <f t="shared" si="19"/>
        <v>104.47845712404548</v>
      </c>
      <c r="BB73" s="44">
        <f t="shared" si="30"/>
        <v>1.251682039836385E-2</v>
      </c>
    </row>
    <row r="74" spans="1:54" s="29" customFormat="1">
      <c r="A74" s="29">
        <f t="shared" si="26"/>
        <v>2030</v>
      </c>
      <c r="B74" s="29">
        <f t="shared" si="27"/>
        <v>1</v>
      </c>
      <c r="C74" s="30"/>
      <c r="D74" s="51">
        <v>139037413.61193499</v>
      </c>
      <c r="E74" s="30"/>
      <c r="F74" s="33">
        <v>25271695.741119199</v>
      </c>
      <c r="G74" s="59">
        <v>3277989</v>
      </c>
      <c r="H74" s="59">
        <v>18034528.314884901</v>
      </c>
      <c r="I74" s="59">
        <v>101381</v>
      </c>
      <c r="J74" s="59">
        <v>557768.34976912604</v>
      </c>
      <c r="K74" s="30"/>
      <c r="L74" s="51">
        <v>2824891.57642235</v>
      </c>
      <c r="M74" s="33"/>
      <c r="N74" s="51">
        <v>1092469.92919077</v>
      </c>
      <c r="O74" s="30"/>
      <c r="P74" s="51">
        <v>20668823.038692798</v>
      </c>
      <c r="Q74" s="33"/>
      <c r="R74" s="51">
        <v>19845174.209598701</v>
      </c>
      <c r="S74" s="33"/>
      <c r="T74" s="33">
        <v>75879743.605386093</v>
      </c>
      <c r="U74" s="30"/>
      <c r="V74" s="51">
        <v>118871.66638547101</v>
      </c>
      <c r="W74" s="33"/>
      <c r="X74" s="51">
        <v>298571.35430791101</v>
      </c>
      <c r="Y74" s="30"/>
      <c r="Z74" s="30">
        <f t="shared" si="21"/>
        <v>-9225011.3707481455</v>
      </c>
      <c r="AA74" s="30"/>
      <c r="AB74" s="30">
        <f t="shared" si="22"/>
        <v>-83826493.045241699</v>
      </c>
      <c r="AC74" s="17"/>
      <c r="AD74" s="30"/>
      <c r="AE74" s="30"/>
      <c r="AF74" s="30">
        <f>AZ74/100*AF25</f>
        <v>6011288836.8585424</v>
      </c>
      <c r="AG74" s="34">
        <f t="shared" si="28"/>
        <v>1.1468681710645673E-3</v>
      </c>
      <c r="AH74" s="34">
        <f t="shared" si="23"/>
        <v>-1.3944845326888142E-2</v>
      </c>
      <c r="AT74" s="29">
        <v>12240812</v>
      </c>
      <c r="AV74" s="29">
        <f t="shared" si="24"/>
        <v>1.2050372292428099E-2</v>
      </c>
      <c r="AW74" s="53">
        <v>6422.8482114791796</v>
      </c>
      <c r="AX74" s="34">
        <f t="shared" si="25"/>
        <v>-1.077367729895248E-2</v>
      </c>
      <c r="AY74" s="29">
        <f t="shared" si="29"/>
        <v>95.54736073118481</v>
      </c>
      <c r="AZ74" s="29">
        <f t="shared" si="19"/>
        <v>104.59828014108299</v>
      </c>
      <c r="BB74" s="34">
        <f t="shared" si="30"/>
        <v>1.4276092223392879E-2</v>
      </c>
    </row>
    <row r="75" spans="1:54" s="39" customFormat="1">
      <c r="A75" s="39">
        <f t="shared" si="26"/>
        <v>2030</v>
      </c>
      <c r="B75" s="39">
        <f t="shared" si="27"/>
        <v>2</v>
      </c>
      <c r="C75" s="40"/>
      <c r="D75" s="54">
        <v>139934515.21105501</v>
      </c>
      <c r="E75" s="40"/>
      <c r="F75" s="43">
        <v>25434754.575952899</v>
      </c>
      <c r="G75" s="57">
        <v>3388179</v>
      </c>
      <c r="H75" s="57">
        <v>18640761.183578901</v>
      </c>
      <c r="I75" s="57">
        <v>104789</v>
      </c>
      <c r="J75" s="57">
        <v>576518.16024656501</v>
      </c>
      <c r="K75" s="40"/>
      <c r="L75" s="54">
        <v>2372630.8273735698</v>
      </c>
      <c r="M75" s="43"/>
      <c r="N75" s="54">
        <v>1100813.96255992</v>
      </c>
      <c r="O75" s="40"/>
      <c r="P75" s="54">
        <v>18367946.271630801</v>
      </c>
      <c r="Q75" s="43"/>
      <c r="R75" s="54">
        <v>22677719.372588899</v>
      </c>
      <c r="S75" s="43"/>
      <c r="T75" s="43">
        <v>86710225.537583604</v>
      </c>
      <c r="U75" s="40"/>
      <c r="V75" s="54">
        <v>121941.78707335</v>
      </c>
      <c r="W75" s="43"/>
      <c r="X75" s="54">
        <v>306282.61233550799</v>
      </c>
      <c r="Y75" s="40"/>
      <c r="Z75" s="40">
        <f t="shared" si="21"/>
        <v>-6108538.2062241398</v>
      </c>
      <c r="AA75" s="40"/>
      <c r="AB75" s="40">
        <f t="shared" si="22"/>
        <v>-71592235.945102215</v>
      </c>
      <c r="AC75" s="17"/>
      <c r="AD75" s="40"/>
      <c r="AE75" s="40"/>
      <c r="AF75" s="40">
        <f>AZ75/100*AF25</f>
        <v>6012730780.5568304</v>
      </c>
      <c r="AG75" s="44">
        <f t="shared" si="28"/>
        <v>2.3987263587246186E-4</v>
      </c>
      <c r="AH75" s="44">
        <f t="shared" si="23"/>
        <v>-1.1906775566371219E-2</v>
      </c>
      <c r="AT75" s="39">
        <v>12241873</v>
      </c>
      <c r="AV75" s="39">
        <f t="shared" si="24"/>
        <v>8.6677256378089952E-5</v>
      </c>
      <c r="AW75" s="56">
        <v>6423.8320768696203</v>
      </c>
      <c r="AX75" s="44">
        <f t="shared" si="25"/>
        <v>1.5318210209021668E-4</v>
      </c>
      <c r="AY75" s="39">
        <f t="shared" si="29"/>
        <v>95.561996876750783</v>
      </c>
      <c r="AZ75" s="39">
        <f t="shared" si="19"/>
        <v>104.62337040624817</v>
      </c>
      <c r="BB75" s="44">
        <f t="shared" si="30"/>
        <v>1.2486844996374622E-2</v>
      </c>
    </row>
    <row r="76" spans="1:54" s="39" customFormat="1">
      <c r="A76" s="39">
        <f t="shared" si="26"/>
        <v>2030</v>
      </c>
      <c r="B76" s="39">
        <f t="shared" si="27"/>
        <v>3</v>
      </c>
      <c r="C76" s="40"/>
      <c r="D76" s="54">
        <v>140547622.61204001</v>
      </c>
      <c r="E76" s="40"/>
      <c r="F76" s="43">
        <v>25546194.103572201</v>
      </c>
      <c r="G76" s="57">
        <v>3477464</v>
      </c>
      <c r="H76" s="57">
        <v>19131980.910245001</v>
      </c>
      <c r="I76" s="57">
        <v>107551</v>
      </c>
      <c r="J76" s="57">
        <v>591713.86932481697</v>
      </c>
      <c r="K76" s="40"/>
      <c r="L76" s="54">
        <v>2319061.8866134798</v>
      </c>
      <c r="M76" s="43"/>
      <c r="N76" s="54">
        <v>1105324.21282936</v>
      </c>
      <c r="O76" s="40"/>
      <c r="P76" s="54">
        <v>18114790.849614099</v>
      </c>
      <c r="Q76" s="43"/>
      <c r="R76" s="54">
        <v>19956109.475395601</v>
      </c>
      <c r="S76" s="43"/>
      <c r="T76" s="43">
        <v>76303914.209108606</v>
      </c>
      <c r="U76" s="40"/>
      <c r="V76" s="54">
        <v>126522.80115404</v>
      </c>
      <c r="W76" s="43"/>
      <c r="X76" s="54">
        <v>317788.79896319302</v>
      </c>
      <c r="Y76" s="40"/>
      <c r="Z76" s="40">
        <f t="shared" si="21"/>
        <v>-8887947.9264653996</v>
      </c>
      <c r="AA76" s="40"/>
      <c r="AB76" s="40">
        <f t="shared" si="22"/>
        <v>-82358499.252545506</v>
      </c>
      <c r="AC76" s="17"/>
      <c r="AD76" s="40"/>
      <c r="AE76" s="40"/>
      <c r="AF76" s="40">
        <f>AZ76/100*AF25</f>
        <v>6016433954.3206654</v>
      </c>
      <c r="AG76" s="44">
        <f t="shared" si="28"/>
        <v>6.1588883636862375E-4</v>
      </c>
      <c r="AH76" s="44">
        <f t="shared" si="23"/>
        <v>-1.3688922687067851E-2</v>
      </c>
      <c r="AT76" s="39">
        <v>12224785</v>
      </c>
      <c r="AV76" s="39">
        <f t="shared" si="24"/>
        <v>-1.3958648321216859E-3</v>
      </c>
      <c r="AW76" s="56">
        <v>6436.7733088266004</v>
      </c>
      <c r="AX76" s="44">
        <f t="shared" si="25"/>
        <v>2.0145657299445591E-3</v>
      </c>
      <c r="AY76" s="39">
        <f t="shared" si="29"/>
        <v>95.754512800743754</v>
      </c>
      <c r="AZ76" s="39">
        <f t="shared" si="19"/>
        <v>104.68780677210462</v>
      </c>
      <c r="BB76" s="44">
        <f t="shared" si="30"/>
        <v>1.4214763752005893E-2</v>
      </c>
    </row>
    <row r="77" spans="1:54" s="39" customFormat="1">
      <c r="A77" s="39">
        <f t="shared" si="26"/>
        <v>2030</v>
      </c>
      <c r="B77" s="39">
        <f t="shared" si="27"/>
        <v>4</v>
      </c>
      <c r="C77" s="40"/>
      <c r="D77" s="54">
        <v>141184551.091589</v>
      </c>
      <c r="E77" s="40"/>
      <c r="F77" s="43">
        <v>25661963.394195899</v>
      </c>
      <c r="G77" s="57">
        <v>3545104</v>
      </c>
      <c r="H77" s="57">
        <v>19504116.233218499</v>
      </c>
      <c r="I77" s="57">
        <v>109642</v>
      </c>
      <c r="J77" s="57">
        <v>603217.93438007694</v>
      </c>
      <c r="K77" s="40"/>
      <c r="L77" s="54">
        <v>2415885.54979689</v>
      </c>
      <c r="M77" s="43"/>
      <c r="N77" s="54">
        <v>1110370.0283681499</v>
      </c>
      <c r="O77" s="40"/>
      <c r="P77" s="54">
        <v>18644969.886491399</v>
      </c>
      <c r="Q77" s="43"/>
      <c r="R77" s="54">
        <v>22565717.691217501</v>
      </c>
      <c r="S77" s="43"/>
      <c r="T77" s="43">
        <v>86281977.401483998</v>
      </c>
      <c r="U77" s="40"/>
      <c r="V77" s="54">
        <v>123825.90517491401</v>
      </c>
      <c r="W77" s="43"/>
      <c r="X77" s="54">
        <v>311014.973800315</v>
      </c>
      <c r="Y77" s="40"/>
      <c r="Z77" s="40">
        <f t="shared" si="21"/>
        <v>-6498675.3759685233</v>
      </c>
      <c r="AA77" s="40"/>
      <c r="AB77" s="40">
        <f t="shared" si="22"/>
        <v>-73547543.576596409</v>
      </c>
      <c r="AC77" s="17"/>
      <c r="AD77" s="40"/>
      <c r="AE77" s="40"/>
      <c r="AF77" s="40">
        <f>AZ77/100*AF25</f>
        <v>5983867491.1204481</v>
      </c>
      <c r="AG77" s="44">
        <f t="shared" si="28"/>
        <v>-5.4129179257140919E-3</v>
      </c>
      <c r="AH77" s="44">
        <f t="shared" si="23"/>
        <v>-1.2290971296696446E-2</v>
      </c>
      <c r="AT77" s="39">
        <v>12207038</v>
      </c>
      <c r="AV77" s="39">
        <f t="shared" si="24"/>
        <v>-1.4517228728358003E-3</v>
      </c>
      <c r="AW77" s="56">
        <v>6411.2389253907004</v>
      </c>
      <c r="AX77" s="44">
        <f t="shared" si="25"/>
        <v>-3.9669539706929458E-3</v>
      </c>
      <c r="AY77" s="39">
        <f t="shared" si="29"/>
        <v>95.374659055977077</v>
      </c>
      <c r="AZ77" s="39">
        <f t="shared" si="19"/>
        <v>104.12114026622422</v>
      </c>
      <c r="BB77" s="44">
        <f t="shared" si="30"/>
        <v>1.2429363926742668E-2</v>
      </c>
    </row>
    <row r="78" spans="1:54" s="29" customFormat="1">
      <c r="A78" s="29">
        <f t="shared" si="26"/>
        <v>2031</v>
      </c>
      <c r="B78" s="29">
        <f t="shared" si="27"/>
        <v>1</v>
      </c>
      <c r="C78" s="30"/>
      <c r="D78" s="51">
        <v>141996315.17259601</v>
      </c>
      <c r="E78" s="30"/>
      <c r="F78" s="33">
        <v>25809511.124953099</v>
      </c>
      <c r="G78" s="59">
        <v>3643760</v>
      </c>
      <c r="H78" s="59">
        <v>20046892.436992601</v>
      </c>
      <c r="I78" s="59">
        <v>112694</v>
      </c>
      <c r="J78" s="59">
        <v>620009.13789449597</v>
      </c>
      <c r="K78" s="30"/>
      <c r="L78" s="51">
        <v>2990439.4681839701</v>
      </c>
      <c r="M78" s="33"/>
      <c r="N78" s="51">
        <v>1116833.88252316</v>
      </c>
      <c r="O78" s="30"/>
      <c r="P78" s="51">
        <v>21661895.118731901</v>
      </c>
      <c r="Q78" s="33"/>
      <c r="R78" s="51">
        <v>19801343.318302501</v>
      </c>
      <c r="S78" s="33"/>
      <c r="T78" s="33">
        <v>75712152.393617406</v>
      </c>
      <c r="U78" s="30"/>
      <c r="V78" s="51">
        <v>125280.026539835</v>
      </c>
      <c r="W78" s="33"/>
      <c r="X78" s="51">
        <v>314667.307434174</v>
      </c>
      <c r="Y78" s="30"/>
      <c r="Z78" s="30">
        <f t="shared" ref="Z78:Z109" si="31">R78+V78-N78-L78-F78</f>
        <v>-9990161.130817892</v>
      </c>
      <c r="AA78" s="30"/>
      <c r="AB78" s="30">
        <f t="shared" ref="AB78:AB109" si="32">T78-P78-D78</f>
        <v>-87946057.897710502</v>
      </c>
      <c r="AC78" s="17"/>
      <c r="AD78" s="30"/>
      <c r="AE78" s="30"/>
      <c r="AF78" s="30">
        <f>AZ78/100*AF25</f>
        <v>5993556548.7713671</v>
      </c>
      <c r="AG78" s="34">
        <f t="shared" si="28"/>
        <v>1.6191965589640314E-3</v>
      </c>
      <c r="AH78" s="34">
        <f t="shared" ref="AH78:AH109" si="33">AB78/AF78</f>
        <v>-1.4673434242601542E-2</v>
      </c>
      <c r="AT78" s="29">
        <v>12209189</v>
      </c>
      <c r="AV78" s="29">
        <f t="shared" si="24"/>
        <v>1.7620982256301651E-4</v>
      </c>
      <c r="AW78" s="53">
        <v>6420.48862823544</v>
      </c>
      <c r="AX78" s="34">
        <f t="shared" si="25"/>
        <v>1.4427325127609376E-3</v>
      </c>
      <c r="AY78" s="29">
        <f t="shared" si="29"/>
        <v>95.51225917749062</v>
      </c>
      <c r="AZ78" s="29">
        <f t="shared" si="19"/>
        <v>104.28973285825869</v>
      </c>
      <c r="BB78" s="34">
        <f t="shared" si="30"/>
        <v>1.4208721981215911E-2</v>
      </c>
    </row>
    <row r="79" spans="1:54" s="39" customFormat="1">
      <c r="A79" s="39">
        <f t="shared" si="26"/>
        <v>2031</v>
      </c>
      <c r="B79" s="39">
        <f t="shared" si="27"/>
        <v>2</v>
      </c>
      <c r="C79" s="40"/>
      <c r="D79" s="54">
        <v>142336313.20872301</v>
      </c>
      <c r="E79" s="40"/>
      <c r="F79" s="43">
        <v>25871309.792652398</v>
      </c>
      <c r="G79" s="57">
        <v>3782623</v>
      </c>
      <c r="H79" s="57">
        <v>20810875.691783901</v>
      </c>
      <c r="I79" s="57">
        <v>116989</v>
      </c>
      <c r="J79" s="57">
        <v>643638.96066462505</v>
      </c>
      <c r="K79" s="40"/>
      <c r="L79" s="54">
        <v>2489773.4943722198</v>
      </c>
      <c r="M79" s="43"/>
      <c r="N79" s="54">
        <v>1118909.97675565</v>
      </c>
      <c r="O79" s="40"/>
      <c r="P79" s="54">
        <v>19075359.0584771</v>
      </c>
      <c r="Q79" s="43"/>
      <c r="R79" s="54">
        <v>22432218.563707601</v>
      </c>
      <c r="S79" s="43"/>
      <c r="T79" s="43">
        <v>85771531.916853607</v>
      </c>
      <c r="U79" s="40"/>
      <c r="V79" s="54">
        <v>126342.91044002501</v>
      </c>
      <c r="W79" s="43"/>
      <c r="X79" s="54">
        <v>317336.96535352001</v>
      </c>
      <c r="Y79" s="40"/>
      <c r="Z79" s="40">
        <f t="shared" si="31"/>
        <v>-6921431.7896326408</v>
      </c>
      <c r="AA79" s="40"/>
      <c r="AB79" s="40">
        <f t="shared" si="32"/>
        <v>-75640140.350346506</v>
      </c>
      <c r="AC79" s="17"/>
      <c r="AD79" s="40"/>
      <c r="AE79" s="40"/>
      <c r="AF79" s="40">
        <f>AZ79/100*AF25</f>
        <v>5985895624.9021568</v>
      </c>
      <c r="AG79" s="44">
        <f t="shared" si="28"/>
        <v>-1.2781933075747276E-3</v>
      </c>
      <c r="AH79" s="44">
        <f t="shared" si="33"/>
        <v>-1.2636394800416001E-2</v>
      </c>
      <c r="AT79" s="39">
        <v>12250170</v>
      </c>
      <c r="AV79" s="39">
        <f t="shared" ref="AV79:AV110" si="34">(AT79-AT78)/AT78</f>
        <v>3.3565702029839982E-3</v>
      </c>
      <c r="AW79" s="56">
        <v>6390.8307306366996</v>
      </c>
      <c r="AX79" s="44">
        <f t="shared" ref="AX79:AX110" si="35">(AW79-AW78)/AW78</f>
        <v>-4.6192586446323755E-3</v>
      </c>
      <c r="AY79" s="39">
        <f t="shared" si="29"/>
        <v>95.071063348616619</v>
      </c>
      <c r="AZ79" s="39">
        <f t="shared" si="19"/>
        <v>104.1564304196705</v>
      </c>
      <c r="BB79" s="44">
        <f t="shared" si="30"/>
        <v>1.2456417651504395E-2</v>
      </c>
    </row>
    <row r="80" spans="1:54" s="39" customFormat="1">
      <c r="A80" s="39">
        <f t="shared" si="26"/>
        <v>2031</v>
      </c>
      <c r="B80" s="39">
        <f t="shared" si="27"/>
        <v>3</v>
      </c>
      <c r="C80" s="40"/>
      <c r="D80" s="54">
        <v>143093091.173237</v>
      </c>
      <c r="E80" s="40"/>
      <c r="F80" s="43">
        <v>26008863.145853899</v>
      </c>
      <c r="G80" s="57">
        <v>3857615</v>
      </c>
      <c r="H80" s="57">
        <v>21223459.549566802</v>
      </c>
      <c r="I80" s="57">
        <v>119307</v>
      </c>
      <c r="J80" s="57">
        <v>656391.91274405597</v>
      </c>
      <c r="K80" s="40"/>
      <c r="L80" s="54">
        <v>2405327.9505205601</v>
      </c>
      <c r="M80" s="43"/>
      <c r="N80" s="54">
        <v>1126054.5746792699</v>
      </c>
      <c r="O80" s="40"/>
      <c r="P80" s="54">
        <v>18676478.199772201</v>
      </c>
      <c r="Q80" s="43"/>
      <c r="R80" s="54">
        <v>19661283.447346698</v>
      </c>
      <c r="S80" s="43"/>
      <c r="T80" s="43">
        <v>75176621.337790802</v>
      </c>
      <c r="U80" s="40"/>
      <c r="V80" s="54">
        <v>123480.682509247</v>
      </c>
      <c r="W80" s="43"/>
      <c r="X80" s="54">
        <v>310147.87399461598</v>
      </c>
      <c r="Y80" s="40"/>
      <c r="Z80" s="40">
        <f t="shared" si="31"/>
        <v>-9755481.5411977842</v>
      </c>
      <c r="AA80" s="40"/>
      <c r="AB80" s="40">
        <f t="shared" si="32"/>
        <v>-86592948.035218388</v>
      </c>
      <c r="AC80" s="17"/>
      <c r="AD80" s="40"/>
      <c r="AE80" s="40"/>
      <c r="AF80" s="40">
        <f>AZ80/100*AF25</f>
        <v>6006047777.7261705</v>
      </c>
      <c r="AG80" s="44">
        <f t="shared" si="28"/>
        <v>3.3666061165814444E-3</v>
      </c>
      <c r="AH80" s="44">
        <f t="shared" si="33"/>
        <v>-1.4417625573401883E-2</v>
      </c>
      <c r="AT80" s="39">
        <v>12285456</v>
      </c>
      <c r="AV80" s="39">
        <f t="shared" si="34"/>
        <v>2.8804498223289963E-3</v>
      </c>
      <c r="AW80" s="56">
        <v>6393.9287495339204</v>
      </c>
      <c r="AX80" s="44">
        <f t="shared" si="35"/>
        <v>4.8475996749050305E-4</v>
      </c>
      <c r="AY80" s="39">
        <f t="shared" si="29"/>
        <v>95.117149994194776</v>
      </c>
      <c r="AZ80" s="39">
        <f t="shared" si="19"/>
        <v>104.50708409540266</v>
      </c>
      <c r="BB80" s="44">
        <f t="shared" si="30"/>
        <v>1.4267097591700811E-2</v>
      </c>
    </row>
    <row r="81" spans="1:54" s="39" customFormat="1">
      <c r="A81" s="39">
        <f t="shared" si="26"/>
        <v>2031</v>
      </c>
      <c r="B81" s="39">
        <f t="shared" si="27"/>
        <v>4</v>
      </c>
      <c r="C81" s="40"/>
      <c r="D81" s="54">
        <v>143770047.53964999</v>
      </c>
      <c r="E81" s="40"/>
      <c r="F81" s="43">
        <v>26131907.978734199</v>
      </c>
      <c r="G81" s="57">
        <v>3942821</v>
      </c>
      <c r="H81" s="57">
        <v>21692237.821732402</v>
      </c>
      <c r="I81" s="57">
        <v>121943</v>
      </c>
      <c r="J81" s="57">
        <v>670894.40699831897</v>
      </c>
      <c r="K81" s="40"/>
      <c r="L81" s="54">
        <v>2386597.4815847101</v>
      </c>
      <c r="M81" s="43"/>
      <c r="N81" s="54">
        <v>1131559.9962762201</v>
      </c>
      <c r="O81" s="40"/>
      <c r="P81" s="54">
        <v>18609574.9126876</v>
      </c>
      <c r="Q81" s="43"/>
      <c r="R81" s="54">
        <v>22377267.199457798</v>
      </c>
      <c r="S81" s="43"/>
      <c r="T81" s="43">
        <v>85561420.612916604</v>
      </c>
      <c r="U81" s="40"/>
      <c r="V81" s="54">
        <v>126046.942945662</v>
      </c>
      <c r="W81" s="43"/>
      <c r="X81" s="54">
        <v>316593.58033747599</v>
      </c>
      <c r="Y81" s="40"/>
      <c r="Z81" s="40">
        <f t="shared" si="31"/>
        <v>-7146751.3141916655</v>
      </c>
      <c r="AA81" s="40"/>
      <c r="AB81" s="40">
        <f t="shared" si="32"/>
        <v>-76818201.839420989</v>
      </c>
      <c r="AC81" s="17"/>
      <c r="AD81" s="40"/>
      <c r="AE81" s="40"/>
      <c r="AF81" s="40">
        <f>AZ81/100*AF25</f>
        <v>5993336220.7281914</v>
      </c>
      <c r="AG81" s="44">
        <f t="shared" si="28"/>
        <v>-2.1164595202057537E-3</v>
      </c>
      <c r="AH81" s="44">
        <f t="shared" si="33"/>
        <v>-1.2817268881685995E-2</v>
      </c>
      <c r="AT81" s="39">
        <v>12316769</v>
      </c>
      <c r="AV81" s="39">
        <f t="shared" si="34"/>
        <v>2.5487861419226116E-3</v>
      </c>
      <c r="AW81" s="56">
        <v>6364.1753362586296</v>
      </c>
      <c r="AX81" s="44">
        <f t="shared" si="35"/>
        <v>-4.6533851784725652E-3</v>
      </c>
      <c r="AY81" s="39">
        <f t="shared" si="29"/>
        <v>94.674533258193236</v>
      </c>
      <c r="AZ81" s="39">
        <f t="shared" si="19"/>
        <v>104.28589908233999</v>
      </c>
      <c r="BB81" s="44">
        <f t="shared" si="30"/>
        <v>1.2454929582229423E-2</v>
      </c>
    </row>
    <row r="82" spans="1:54" s="29" customFormat="1">
      <c r="A82" s="29">
        <f t="shared" ref="A82:A113" si="36">A78+1</f>
        <v>2032</v>
      </c>
      <c r="B82" s="29">
        <f t="shared" ref="B82:B113" si="37">B78</f>
        <v>1</v>
      </c>
      <c r="C82" s="30"/>
      <c r="D82" s="51">
        <v>144551313.70583099</v>
      </c>
      <c r="E82" s="30"/>
      <c r="F82" s="33">
        <v>26273912.352460999</v>
      </c>
      <c r="G82" s="59">
        <v>4086254</v>
      </c>
      <c r="H82" s="59">
        <v>22481363.868155699</v>
      </c>
      <c r="I82" s="59">
        <v>126379</v>
      </c>
      <c r="J82" s="59">
        <v>695299.97016672196</v>
      </c>
      <c r="K82" s="30"/>
      <c r="L82" s="51">
        <v>2916045.06009054</v>
      </c>
      <c r="M82" s="33"/>
      <c r="N82" s="51">
        <v>1137554.2624598399</v>
      </c>
      <c r="O82" s="30"/>
      <c r="P82" s="51">
        <v>21389859.598390099</v>
      </c>
      <c r="Q82" s="33"/>
      <c r="R82" s="51">
        <v>19442049.936524201</v>
      </c>
      <c r="S82" s="33"/>
      <c r="T82" s="33">
        <v>74338363.007819593</v>
      </c>
      <c r="U82" s="30"/>
      <c r="V82" s="51">
        <v>126153.172470761</v>
      </c>
      <c r="W82" s="33"/>
      <c r="X82" s="51">
        <v>316860.39827770297</v>
      </c>
      <c r="Y82" s="30"/>
      <c r="Z82" s="30">
        <f t="shared" si="31"/>
        <v>-10759308.566016419</v>
      </c>
      <c r="AA82" s="30"/>
      <c r="AB82" s="30">
        <f t="shared" si="32"/>
        <v>-91602810.296401501</v>
      </c>
      <c r="AC82" s="17"/>
      <c r="AD82" s="30"/>
      <c r="AE82" s="30"/>
      <c r="AF82" s="30">
        <f>AZ82/100*AF25</f>
        <v>5953334331.4025822</v>
      </c>
      <c r="AG82" s="34">
        <f t="shared" si="28"/>
        <v>-6.6743943360395974E-3</v>
      </c>
      <c r="AH82" s="34">
        <f t="shared" si="33"/>
        <v>-1.5386807660577033E-2</v>
      </c>
      <c r="AT82" s="29">
        <v>12260104</v>
      </c>
      <c r="AV82" s="29">
        <f t="shared" si="34"/>
        <v>-4.6006383654674373E-3</v>
      </c>
      <c r="AW82" s="53">
        <v>6350.9165909650201</v>
      </c>
      <c r="AX82" s="34">
        <f t="shared" si="35"/>
        <v>-2.0833406675756492E-3</v>
      </c>
      <c r="AY82" s="29">
        <f t="shared" si="29"/>
        <v>94.477293952872699</v>
      </c>
      <c r="AZ82" s="29">
        <f t="shared" si="19"/>
        <v>103.58985386817604</v>
      </c>
      <c r="BB82" s="34">
        <f t="shared" si="30"/>
        <v>1.417116698345227E-2</v>
      </c>
    </row>
    <row r="83" spans="1:54" s="39" customFormat="1">
      <c r="A83" s="39">
        <f t="shared" si="36"/>
        <v>2032</v>
      </c>
      <c r="B83" s="39">
        <f t="shared" si="37"/>
        <v>2</v>
      </c>
      <c r="C83" s="40"/>
      <c r="D83" s="54">
        <v>145301250.22093299</v>
      </c>
      <c r="E83" s="40"/>
      <c r="F83" s="43">
        <v>26410222.1912481</v>
      </c>
      <c r="G83" s="57">
        <v>4197969</v>
      </c>
      <c r="H83" s="57">
        <v>23095986.836901899</v>
      </c>
      <c r="I83" s="57">
        <v>129834</v>
      </c>
      <c r="J83" s="57">
        <v>714308.36077691801</v>
      </c>
      <c r="K83" s="40"/>
      <c r="L83" s="54">
        <v>2436971.8359453501</v>
      </c>
      <c r="M83" s="43"/>
      <c r="N83" s="54">
        <v>1144459.9043296999</v>
      </c>
      <c r="O83" s="40"/>
      <c r="P83" s="54">
        <v>18941939.164956599</v>
      </c>
      <c r="Q83" s="43"/>
      <c r="R83" s="54">
        <v>22081689.914997701</v>
      </c>
      <c r="S83" s="43"/>
      <c r="T83" s="43">
        <v>84431255.247597694</v>
      </c>
      <c r="U83" s="40"/>
      <c r="V83" s="54">
        <v>130200.99180880599</v>
      </c>
      <c r="W83" s="43"/>
      <c r="X83" s="54">
        <v>327027.35343617399</v>
      </c>
      <c r="Y83" s="40"/>
      <c r="Z83" s="40">
        <f t="shared" si="31"/>
        <v>-7779763.0247166418</v>
      </c>
      <c r="AA83" s="40"/>
      <c r="AB83" s="40">
        <f t="shared" si="32"/>
        <v>-79811934.138291895</v>
      </c>
      <c r="AC83" s="17"/>
      <c r="AD83" s="40"/>
      <c r="AE83" s="40"/>
      <c r="AF83" s="40">
        <f>AZ83/100*AF25</f>
        <v>5939687547.4404783</v>
      </c>
      <c r="AG83" s="44">
        <f t="shared" si="28"/>
        <v>-2.2922925544631247E-3</v>
      </c>
      <c r="AH83" s="44">
        <f t="shared" si="33"/>
        <v>-1.343705935721894E-2</v>
      </c>
      <c r="AT83" s="39">
        <v>12239239</v>
      </c>
      <c r="AV83" s="39">
        <f t="shared" si="34"/>
        <v>-1.7018615829033751E-3</v>
      </c>
      <c r="AW83" s="56">
        <v>6347.1604206299298</v>
      </c>
      <c r="AX83" s="44">
        <f t="shared" si="35"/>
        <v>-5.9143751634746272E-4</v>
      </c>
      <c r="AY83" s="39">
        <f t="shared" si="29"/>
        <v>94.421416536785983</v>
      </c>
      <c r="AZ83" s="39">
        <f t="shared" si="19"/>
        <v>103.3523956174361</v>
      </c>
      <c r="BB83" s="44">
        <f t="shared" si="30"/>
        <v>1.2384920125578883E-2</v>
      </c>
    </row>
    <row r="84" spans="1:54" s="39" customFormat="1">
      <c r="A84" s="39">
        <f t="shared" si="36"/>
        <v>2032</v>
      </c>
      <c r="B84" s="39">
        <f t="shared" si="37"/>
        <v>3</v>
      </c>
      <c r="C84" s="40"/>
      <c r="D84" s="54">
        <v>145654593.33679301</v>
      </c>
      <c r="E84" s="40"/>
      <c r="F84" s="43">
        <v>26474446.485157698</v>
      </c>
      <c r="G84" s="57">
        <v>4303147</v>
      </c>
      <c r="H84" s="57">
        <v>23674645.160374898</v>
      </c>
      <c r="I84" s="57">
        <v>133087</v>
      </c>
      <c r="J84" s="57">
        <v>732205.40698674996</v>
      </c>
      <c r="K84" s="40"/>
      <c r="L84" s="54">
        <v>2471264.0479872301</v>
      </c>
      <c r="M84" s="43"/>
      <c r="N84" s="54">
        <v>1146974.3864062701</v>
      </c>
      <c r="O84" s="40"/>
      <c r="P84" s="54">
        <v>19133715.5547534</v>
      </c>
      <c r="Q84" s="43"/>
      <c r="R84" s="54">
        <v>19293808.966517601</v>
      </c>
      <c r="S84" s="43"/>
      <c r="T84" s="43">
        <v>73771550.810702801</v>
      </c>
      <c r="U84" s="40"/>
      <c r="V84" s="54">
        <v>128579.108520247</v>
      </c>
      <c r="W84" s="43"/>
      <c r="X84" s="54">
        <v>322953.65021724103</v>
      </c>
      <c r="Y84" s="40"/>
      <c r="Z84" s="40">
        <f t="shared" si="31"/>
        <v>-10670296.844513349</v>
      </c>
      <c r="AA84" s="40"/>
      <c r="AB84" s="40">
        <f t="shared" si="32"/>
        <v>-91016758.080843598</v>
      </c>
      <c r="AC84" s="17"/>
      <c r="AD84" s="40"/>
      <c r="AE84" s="40"/>
      <c r="AF84" s="40">
        <f>AZ84/100*AF25</f>
        <v>5935263561.7964344</v>
      </c>
      <c r="AG84" s="44">
        <f t="shared" si="28"/>
        <v>-7.4481790644868179E-4</v>
      </c>
      <c r="AH84" s="44">
        <f t="shared" si="33"/>
        <v>-1.5334914302153658E-2</v>
      </c>
      <c r="AT84" s="39">
        <v>12242532</v>
      </c>
      <c r="AV84" s="39">
        <f t="shared" si="34"/>
        <v>2.69052675578931E-4</v>
      </c>
      <c r="AW84" s="56">
        <v>6340.7269523419</v>
      </c>
      <c r="AX84" s="44">
        <f t="shared" si="35"/>
        <v>-1.0135978708084041E-3</v>
      </c>
      <c r="AY84" s="39">
        <f t="shared" si="29"/>
        <v>94.325711190025572</v>
      </c>
      <c r="AZ84" s="39">
        <f t="shared" si="19"/>
        <v>103.27541690250587</v>
      </c>
      <c r="BB84" s="44">
        <f t="shared" si="30"/>
        <v>1.4058550925192152E-2</v>
      </c>
    </row>
    <row r="85" spans="1:54" s="39" customFormat="1">
      <c r="A85" s="39">
        <f t="shared" si="36"/>
        <v>2032</v>
      </c>
      <c r="B85" s="39">
        <f t="shared" si="37"/>
        <v>4</v>
      </c>
      <c r="C85" s="40"/>
      <c r="D85" s="54">
        <v>146581874.738776</v>
      </c>
      <c r="E85" s="40"/>
      <c r="F85" s="43">
        <v>26642990.856406599</v>
      </c>
      <c r="G85" s="57">
        <v>4438769</v>
      </c>
      <c r="H85" s="57">
        <v>24420797.3894157</v>
      </c>
      <c r="I85" s="57">
        <v>137281</v>
      </c>
      <c r="J85" s="57">
        <v>755279.557556696</v>
      </c>
      <c r="K85" s="40"/>
      <c r="L85" s="54">
        <v>2387505.20273061</v>
      </c>
      <c r="M85" s="43"/>
      <c r="N85" s="54">
        <v>1155148.0862396499</v>
      </c>
      <c r="O85" s="40"/>
      <c r="P85" s="54">
        <v>18744059.793395899</v>
      </c>
      <c r="Q85" s="43"/>
      <c r="R85" s="54">
        <v>22156127.383521602</v>
      </c>
      <c r="S85" s="43"/>
      <c r="T85" s="43">
        <v>84715873.360120595</v>
      </c>
      <c r="U85" s="40"/>
      <c r="V85" s="54">
        <v>132325.33230673199</v>
      </c>
      <c r="W85" s="43"/>
      <c r="X85" s="54">
        <v>332363.08430260402</v>
      </c>
      <c r="Y85" s="40"/>
      <c r="Z85" s="40">
        <f t="shared" si="31"/>
        <v>-7897191.429548528</v>
      </c>
      <c r="AA85" s="40"/>
      <c r="AB85" s="40">
        <f t="shared" si="32"/>
        <v>-80610061.172051311</v>
      </c>
      <c r="AC85" s="17"/>
      <c r="AD85" s="40"/>
      <c r="AE85" s="40"/>
      <c r="AF85" s="40">
        <f>AZ85/100*AF25</f>
        <v>5962244420.8645878</v>
      </c>
      <c r="AG85" s="44">
        <f t="shared" si="28"/>
        <v>4.5458569425326492E-3</v>
      </c>
      <c r="AH85" s="44">
        <f t="shared" si="33"/>
        <v>-1.3520086645552517E-2</v>
      </c>
      <c r="AT85" s="39">
        <v>12268438</v>
      </c>
      <c r="AV85" s="39">
        <f t="shared" si="34"/>
        <v>2.1160655328489237E-3</v>
      </c>
      <c r="AW85" s="56">
        <v>6356.1010635949297</v>
      </c>
      <c r="AX85" s="44">
        <f t="shared" si="35"/>
        <v>2.4246606688135947E-3</v>
      </c>
      <c r="AY85" s="39">
        <f t="shared" si="29"/>
        <v>94.554419032005896</v>
      </c>
      <c r="AZ85" s="39">
        <f t="shared" si="19"/>
        <v>103.74489217342507</v>
      </c>
      <c r="BB85" s="44">
        <f t="shared" si="30"/>
        <v>1.2283364562127464E-2</v>
      </c>
    </row>
    <row r="86" spans="1:54" s="29" customFormat="1">
      <c r="A86" s="29">
        <f t="shared" si="36"/>
        <v>2033</v>
      </c>
      <c r="B86" s="29">
        <f t="shared" si="37"/>
        <v>1</v>
      </c>
      <c r="C86" s="30"/>
      <c r="D86" s="51">
        <v>147244886.57994699</v>
      </c>
      <c r="E86" s="30"/>
      <c r="F86" s="33">
        <v>26763501.106759802</v>
      </c>
      <c r="G86" s="59">
        <v>4516811</v>
      </c>
      <c r="H86" s="59">
        <v>24850161.447303101</v>
      </c>
      <c r="I86" s="59">
        <v>139696</v>
      </c>
      <c r="J86" s="59">
        <v>768566.17501650099</v>
      </c>
      <c r="K86" s="30"/>
      <c r="L86" s="51">
        <v>2917552.8286588802</v>
      </c>
      <c r="M86" s="33"/>
      <c r="N86" s="51">
        <v>1160424.8080269699</v>
      </c>
      <c r="O86" s="30"/>
      <c r="P86" s="51">
        <v>21523510.410467301</v>
      </c>
      <c r="Q86" s="33"/>
      <c r="R86" s="51">
        <v>19352253.719027098</v>
      </c>
      <c r="S86" s="33"/>
      <c r="T86" s="33">
        <v>73995019.387428597</v>
      </c>
      <c r="U86" s="30"/>
      <c r="V86" s="51">
        <v>134779.732405502</v>
      </c>
      <c r="W86" s="33"/>
      <c r="X86" s="51">
        <v>338527.829727531</v>
      </c>
      <c r="Y86" s="30"/>
      <c r="Z86" s="30">
        <f t="shared" si="31"/>
        <v>-11354445.292013051</v>
      </c>
      <c r="AA86" s="30"/>
      <c r="AB86" s="30">
        <f t="shared" si="32"/>
        <v>-94773377.602985695</v>
      </c>
      <c r="AC86" s="17"/>
      <c r="AD86" s="30"/>
      <c r="AE86" s="30"/>
      <c r="AF86" s="30">
        <f>AZ86/100*AF25</f>
        <v>5940312974.2114916</v>
      </c>
      <c r="AG86" s="34">
        <f t="shared" si="28"/>
        <v>-3.67838771861619E-3</v>
      </c>
      <c r="AH86" s="34">
        <f t="shared" si="33"/>
        <v>-1.5954273455695452E-2</v>
      </c>
      <c r="AT86" s="29">
        <v>12221203</v>
      </c>
      <c r="AV86" s="29">
        <f t="shared" si="34"/>
        <v>-3.8501233816399449E-3</v>
      </c>
      <c r="AW86" s="53">
        <v>6357.1968517449104</v>
      </c>
      <c r="AX86" s="34">
        <f t="shared" si="35"/>
        <v>1.7239942206976157E-4</v>
      </c>
      <c r="AY86" s="29">
        <f t="shared" si="29"/>
        <v>94.570720159201144</v>
      </c>
      <c r="AZ86" s="29">
        <f t="shared" si="19"/>
        <v>103.36327823618518</v>
      </c>
      <c r="BB86" s="34">
        <f t="shared" si="30"/>
        <v>1.3948739391885968E-2</v>
      </c>
    </row>
    <row r="87" spans="1:54" s="39" customFormat="1">
      <c r="A87" s="39">
        <f t="shared" si="36"/>
        <v>2033</v>
      </c>
      <c r="B87" s="39">
        <f t="shared" si="37"/>
        <v>2</v>
      </c>
      <c r="C87" s="40"/>
      <c r="D87" s="54">
        <v>147798967.050318</v>
      </c>
      <c r="E87" s="40"/>
      <c r="F87" s="43">
        <v>26864211.791025002</v>
      </c>
      <c r="G87" s="57">
        <v>4612160</v>
      </c>
      <c r="H87" s="57">
        <v>25374743.512800001</v>
      </c>
      <c r="I87" s="57">
        <v>142644</v>
      </c>
      <c r="J87" s="57">
        <v>784785.20121588104</v>
      </c>
      <c r="K87" s="40"/>
      <c r="L87" s="54">
        <v>2406664.75479542</v>
      </c>
      <c r="M87" s="43"/>
      <c r="N87" s="54">
        <v>1165738.4000115499</v>
      </c>
      <c r="O87" s="40"/>
      <c r="P87" s="54">
        <v>18901743.581866201</v>
      </c>
      <c r="Q87" s="43"/>
      <c r="R87" s="54">
        <v>22172297.577011701</v>
      </c>
      <c r="S87" s="43"/>
      <c r="T87" s="43">
        <v>84777701.496428296</v>
      </c>
      <c r="U87" s="40"/>
      <c r="V87" s="54">
        <v>128847.85085623901</v>
      </c>
      <c r="W87" s="43"/>
      <c r="X87" s="54">
        <v>323628.65348468802</v>
      </c>
      <c r="Y87" s="40"/>
      <c r="Z87" s="40">
        <f t="shared" si="31"/>
        <v>-8135469.5179640315</v>
      </c>
      <c r="AA87" s="40"/>
      <c r="AB87" s="40">
        <f t="shared" si="32"/>
        <v>-81923009.135755911</v>
      </c>
      <c r="AC87" s="17"/>
      <c r="AD87" s="40"/>
      <c r="AE87" s="40"/>
      <c r="AF87" s="40">
        <f>AZ87/100*AF25</f>
        <v>5942182770.6388998</v>
      </c>
      <c r="AG87" s="44">
        <f t="shared" si="28"/>
        <v>3.1476395865428494E-4</v>
      </c>
      <c r="AH87" s="44">
        <f t="shared" si="33"/>
        <v>-1.3786686188877963E-2</v>
      </c>
      <c r="AT87" s="39">
        <v>12212263</v>
      </c>
      <c r="AV87" s="39">
        <f t="shared" si="34"/>
        <v>-7.3151554720104063E-4</v>
      </c>
      <c r="AW87" s="56">
        <v>6363.8531256934602</v>
      </c>
      <c r="AX87" s="44">
        <f t="shared" si="35"/>
        <v>1.0470454358705006E-3</v>
      </c>
      <c r="AY87" s="39">
        <f t="shared" si="29"/>
        <v>94.669740000110821</v>
      </c>
      <c r="AZ87" s="39">
        <f t="shared" si="19"/>
        <v>103.39581327082229</v>
      </c>
      <c r="BB87" s="44">
        <f t="shared" si="30"/>
        <v>1.2228675660622522E-2</v>
      </c>
    </row>
    <row r="88" spans="1:54" s="39" customFormat="1">
      <c r="A88" s="39">
        <f t="shared" si="36"/>
        <v>2033</v>
      </c>
      <c r="B88" s="39">
        <f t="shared" si="37"/>
        <v>3</v>
      </c>
      <c r="C88" s="40"/>
      <c r="D88" s="54">
        <v>148192738.25525099</v>
      </c>
      <c r="E88" s="40"/>
      <c r="F88" s="43">
        <v>26935784.3686799</v>
      </c>
      <c r="G88" s="57">
        <v>4718629</v>
      </c>
      <c r="H88" s="57">
        <v>25960504.537366401</v>
      </c>
      <c r="I88" s="57">
        <v>145937</v>
      </c>
      <c r="J88" s="57">
        <v>802902.31562380504</v>
      </c>
      <c r="K88" s="40"/>
      <c r="L88" s="54">
        <v>2395393.2323043998</v>
      </c>
      <c r="M88" s="43"/>
      <c r="N88" s="54">
        <v>1168197.4266502301</v>
      </c>
      <c r="O88" s="40"/>
      <c r="P88" s="54">
        <v>18856784.437113501</v>
      </c>
      <c r="Q88" s="43"/>
      <c r="R88" s="54">
        <v>19278817.9498941</v>
      </c>
      <c r="S88" s="43"/>
      <c r="T88" s="43">
        <v>73714231.359345794</v>
      </c>
      <c r="U88" s="40"/>
      <c r="V88" s="54">
        <v>132224.390313134</v>
      </c>
      <c r="W88" s="43"/>
      <c r="X88" s="54">
        <v>332109.54711707</v>
      </c>
      <c r="Y88" s="40"/>
      <c r="Z88" s="40">
        <f t="shared" si="31"/>
        <v>-11088332.687427295</v>
      </c>
      <c r="AA88" s="40"/>
      <c r="AB88" s="40">
        <f t="shared" si="32"/>
        <v>-93335291.33301869</v>
      </c>
      <c r="AC88" s="17"/>
      <c r="AD88" s="40"/>
      <c r="AE88" s="40"/>
      <c r="AF88" s="40">
        <f>AZ88/100*AF25</f>
        <v>5918478372.1716557</v>
      </c>
      <c r="AG88" s="44">
        <f t="shared" si="28"/>
        <v>-3.9891735717673769E-3</v>
      </c>
      <c r="AH88" s="44">
        <f t="shared" si="33"/>
        <v>-1.577014993784143E-2</v>
      </c>
      <c r="AT88" s="39">
        <v>12245715</v>
      </c>
      <c r="AV88" s="39">
        <f t="shared" si="34"/>
        <v>2.739213854139892E-3</v>
      </c>
      <c r="AW88" s="56">
        <v>6321.1516248848302</v>
      </c>
      <c r="AX88" s="44">
        <f t="shared" si="35"/>
        <v>-6.7100072810019357E-3</v>
      </c>
      <c r="AY88" s="39">
        <f t="shared" si="29"/>
        <v>94.034505355419526</v>
      </c>
      <c r="AZ88" s="39">
        <f t="shared" si="19"/>
        <v>102.98334942509092</v>
      </c>
      <c r="BB88" s="44">
        <f t="shared" si="30"/>
        <v>1.3971203148260098E-2</v>
      </c>
    </row>
    <row r="89" spans="1:54" s="39" customFormat="1">
      <c r="A89" s="39">
        <f t="shared" si="36"/>
        <v>2033</v>
      </c>
      <c r="B89" s="39">
        <f t="shared" si="37"/>
        <v>4</v>
      </c>
      <c r="C89" s="40"/>
      <c r="D89" s="54">
        <v>149094619.67643401</v>
      </c>
      <c r="E89" s="40"/>
      <c r="F89" s="43">
        <v>27099711.9927531</v>
      </c>
      <c r="G89" s="57">
        <v>4795809</v>
      </c>
      <c r="H89" s="57">
        <v>26385126.1255849</v>
      </c>
      <c r="I89" s="57">
        <v>148324</v>
      </c>
      <c r="J89" s="57">
        <v>816034.88534494501</v>
      </c>
      <c r="K89" s="40"/>
      <c r="L89" s="54">
        <v>2412340.6353402198</v>
      </c>
      <c r="M89" s="43"/>
      <c r="N89" s="54">
        <v>1176608.93805175</v>
      </c>
      <c r="O89" s="40"/>
      <c r="P89" s="54">
        <v>18991002.245965</v>
      </c>
      <c r="Q89" s="43"/>
      <c r="R89" s="54">
        <v>21919629.794155199</v>
      </c>
      <c r="S89" s="43"/>
      <c r="T89" s="43">
        <v>83811604.329530194</v>
      </c>
      <c r="U89" s="40"/>
      <c r="V89" s="54">
        <v>134546.64536352901</v>
      </c>
      <c r="W89" s="43"/>
      <c r="X89" s="54">
        <v>337942.38227895298</v>
      </c>
      <c r="Y89" s="40"/>
      <c r="Z89" s="40">
        <f t="shared" si="31"/>
        <v>-8634485.1266263425</v>
      </c>
      <c r="AA89" s="40"/>
      <c r="AB89" s="40">
        <f t="shared" si="32"/>
        <v>-84274017.59286882</v>
      </c>
      <c r="AC89" s="17"/>
      <c r="AD89" s="40"/>
      <c r="AE89" s="40"/>
      <c r="AF89" s="40">
        <f>AZ89/100*AF25</f>
        <v>5914234475.3538895</v>
      </c>
      <c r="AG89" s="44">
        <f t="shared" si="28"/>
        <v>-7.1705876931488807E-4</v>
      </c>
      <c r="AH89" s="44">
        <f t="shared" si="33"/>
        <v>-1.4249353478300524E-2</v>
      </c>
      <c r="AT89" s="39">
        <v>12267432</v>
      </c>
      <c r="AV89" s="39">
        <f t="shared" si="34"/>
        <v>1.7734366674383652E-3</v>
      </c>
      <c r="AW89" s="56">
        <v>6305.4366950408403</v>
      </c>
      <c r="AX89" s="44">
        <f t="shared" si="35"/>
        <v>-2.4860865197607472E-3</v>
      </c>
      <c r="AY89" s="39">
        <f t="shared" si="29"/>
        <v>93.800727439263042</v>
      </c>
      <c r="AZ89" s="39">
        <f t="shared" si="19"/>
        <v>102.90950431129224</v>
      </c>
      <c r="BB89" s="44">
        <f t="shared" si="30"/>
        <v>1.2153117007230535E-2</v>
      </c>
    </row>
    <row r="90" spans="1:54" s="29" customFormat="1">
      <c r="A90" s="29">
        <f t="shared" si="36"/>
        <v>2034</v>
      </c>
      <c r="B90" s="29">
        <f t="shared" si="37"/>
        <v>1</v>
      </c>
      <c r="C90" s="30"/>
      <c r="D90" s="51">
        <v>150128317.61817101</v>
      </c>
      <c r="E90" s="30"/>
      <c r="F90" s="33">
        <v>27287598.8297791</v>
      </c>
      <c r="G90" s="59">
        <v>4873653</v>
      </c>
      <c r="H90" s="59">
        <v>26813400.8458918</v>
      </c>
      <c r="I90" s="59">
        <v>150732</v>
      </c>
      <c r="J90" s="59">
        <v>829282.99087008403</v>
      </c>
      <c r="K90" s="30"/>
      <c r="L90" s="51">
        <v>2917285.4162358199</v>
      </c>
      <c r="M90" s="33"/>
      <c r="N90" s="51">
        <v>1184076.0265623</v>
      </c>
      <c r="O90" s="30"/>
      <c r="P90" s="51">
        <v>21652244.832276601</v>
      </c>
      <c r="Q90" s="33"/>
      <c r="R90" s="51">
        <v>19079636.627690401</v>
      </c>
      <c r="S90" s="33"/>
      <c r="T90" s="33">
        <v>72952644.310516</v>
      </c>
      <c r="U90" s="30"/>
      <c r="V90" s="51">
        <v>130063.904521048</v>
      </c>
      <c r="W90" s="33"/>
      <c r="X90" s="51">
        <v>326683.02969268803</v>
      </c>
      <c r="Y90" s="30"/>
      <c r="Z90" s="30">
        <f t="shared" si="31"/>
        <v>-12179259.74036577</v>
      </c>
      <c r="AA90" s="30"/>
      <c r="AB90" s="30">
        <f t="shared" si="32"/>
        <v>-98827918.139931604</v>
      </c>
      <c r="AC90" s="17"/>
      <c r="AD90" s="30"/>
      <c r="AE90" s="30"/>
      <c r="AF90" s="30">
        <f>AZ90/100*AF25</f>
        <v>5890441243.9322147</v>
      </c>
      <c r="AG90" s="34">
        <f t="shared" ref="AG90:AG117" si="38">(AF90-AF89)/AF89</f>
        <v>-4.023044997763809E-3</v>
      </c>
      <c r="AH90" s="34">
        <f t="shared" si="33"/>
        <v>-1.677767658606814E-2</v>
      </c>
      <c r="AT90" s="29">
        <v>12189283</v>
      </c>
      <c r="AV90" s="29">
        <f t="shared" si="34"/>
        <v>-6.3704449309358304E-3</v>
      </c>
      <c r="AW90" s="53">
        <v>6320.3329726334796</v>
      </c>
      <c r="AX90" s="34">
        <f t="shared" si="35"/>
        <v>2.3624497894578931E-3</v>
      </c>
      <c r="AY90" s="29">
        <f t="shared" ref="AY90:AY117" si="39">AY89*((1+AX90))</f>
        <v>94.022326948052921</v>
      </c>
      <c r="AZ90" s="29">
        <f t="shared" si="19"/>
        <v>102.49549474475035</v>
      </c>
      <c r="BB90" s="34">
        <f t="shared" si="30"/>
        <v>1.3922249524884868E-2</v>
      </c>
    </row>
    <row r="91" spans="1:54" s="39" customFormat="1">
      <c r="A91" s="39">
        <f t="shared" si="36"/>
        <v>2034</v>
      </c>
      <c r="B91" s="39">
        <f t="shared" si="37"/>
        <v>2</v>
      </c>
      <c r="C91" s="40"/>
      <c r="D91" s="54">
        <v>151045245.407828</v>
      </c>
      <c r="E91" s="40"/>
      <c r="F91" s="43">
        <v>27454261.309429798</v>
      </c>
      <c r="G91" s="57">
        <v>5001631</v>
      </c>
      <c r="H91" s="57">
        <v>27517498.042277198</v>
      </c>
      <c r="I91" s="57">
        <v>154689</v>
      </c>
      <c r="J91" s="57">
        <v>851053.237366335</v>
      </c>
      <c r="K91" s="40"/>
      <c r="L91" s="54">
        <v>2442084.64377699</v>
      </c>
      <c r="M91" s="43"/>
      <c r="N91" s="54">
        <v>1190126.3771995299</v>
      </c>
      <c r="O91" s="40"/>
      <c r="P91" s="54">
        <v>19219713.0090423</v>
      </c>
      <c r="Q91" s="43"/>
      <c r="R91" s="54">
        <v>21643937.6892795</v>
      </c>
      <c r="S91" s="43"/>
      <c r="T91" s="43">
        <v>82757471.671834394</v>
      </c>
      <c r="U91" s="40"/>
      <c r="V91" s="54">
        <v>134444.169781709</v>
      </c>
      <c r="W91" s="43"/>
      <c r="X91" s="54">
        <v>337684.99316195201</v>
      </c>
      <c r="Y91" s="40"/>
      <c r="Z91" s="40">
        <f t="shared" si="31"/>
        <v>-9308090.4713451117</v>
      </c>
      <c r="AA91" s="40"/>
      <c r="AB91" s="40">
        <f t="shared" si="32"/>
        <v>-87507486.745035917</v>
      </c>
      <c r="AC91" s="17"/>
      <c r="AD91" s="40"/>
      <c r="AE91" s="40"/>
      <c r="AF91" s="40">
        <f>AZ91/100*AF25</f>
        <v>5886628864.6817465</v>
      </c>
      <c r="AG91" s="44">
        <f t="shared" si="38"/>
        <v>-6.4721454515744687E-4</v>
      </c>
      <c r="AH91" s="44">
        <f t="shared" si="33"/>
        <v>-1.4865466934743967E-2</v>
      </c>
      <c r="AT91" s="39">
        <v>12239774</v>
      </c>
      <c r="AV91" s="39">
        <f t="shared" si="34"/>
        <v>4.1422452821876397E-3</v>
      </c>
      <c r="AW91" s="56">
        <v>6290.1868643404596</v>
      </c>
      <c r="AX91" s="44">
        <f t="shared" si="35"/>
        <v>-4.7697025494622151E-3</v>
      </c>
      <c r="AY91" s="39">
        <f t="shared" si="39"/>
        <v>93.573868415502432</v>
      </c>
      <c r="AZ91" s="39">
        <f t="shared" ref="AZ91:AZ117" si="40">AZ90*(1+AV91)*(1+AX91)</f>
        <v>102.42915816973843</v>
      </c>
      <c r="BB91" s="44">
        <f t="shared" si="30"/>
        <v>1.2127205440310835E-2</v>
      </c>
    </row>
    <row r="92" spans="1:54" s="39" customFormat="1">
      <c r="A92" s="39">
        <f t="shared" si="36"/>
        <v>2034</v>
      </c>
      <c r="B92" s="39">
        <f t="shared" si="37"/>
        <v>3</v>
      </c>
      <c r="C92" s="40"/>
      <c r="D92" s="54">
        <v>152103364.30214399</v>
      </c>
      <c r="E92" s="40"/>
      <c r="F92" s="43">
        <v>27646586.943663102</v>
      </c>
      <c r="G92" s="57">
        <v>5090336</v>
      </c>
      <c r="H92" s="57">
        <v>28005526.780071001</v>
      </c>
      <c r="I92" s="57">
        <v>157433</v>
      </c>
      <c r="J92" s="57">
        <v>866149.91575544595</v>
      </c>
      <c r="K92" s="40"/>
      <c r="L92" s="54">
        <v>2457893.2508368799</v>
      </c>
      <c r="M92" s="43"/>
      <c r="N92" s="54">
        <v>1198981.0402206399</v>
      </c>
      <c r="O92" s="40"/>
      <c r="P92" s="54">
        <v>19350459.689621199</v>
      </c>
      <c r="Q92" s="43"/>
      <c r="R92" s="54">
        <v>18854493.454908598</v>
      </c>
      <c r="S92" s="43"/>
      <c r="T92" s="43">
        <v>72091789.875843301</v>
      </c>
      <c r="U92" s="40"/>
      <c r="V92" s="54">
        <v>132960.68547232501</v>
      </c>
      <c r="W92" s="43"/>
      <c r="X92" s="54">
        <v>333958.908277173</v>
      </c>
      <c r="Y92" s="40"/>
      <c r="Z92" s="40">
        <f t="shared" si="31"/>
        <v>-12316007.094339699</v>
      </c>
      <c r="AA92" s="40"/>
      <c r="AB92" s="40">
        <f t="shared" si="32"/>
        <v>-99362034.115921885</v>
      </c>
      <c r="AC92" s="17"/>
      <c r="AD92" s="40"/>
      <c r="AE92" s="40"/>
      <c r="AF92" s="40">
        <f>AZ92/100*AF25</f>
        <v>5869058881.3198175</v>
      </c>
      <c r="AG92" s="44">
        <f t="shared" si="38"/>
        <v>-2.9847275521893871E-3</v>
      </c>
      <c r="AH92" s="44">
        <f t="shared" si="33"/>
        <v>-1.6929806997195714E-2</v>
      </c>
      <c r="AT92" s="39">
        <v>12230706</v>
      </c>
      <c r="AV92" s="39">
        <f t="shared" si="34"/>
        <v>-7.4086335254229367E-4</v>
      </c>
      <c r="AW92" s="56">
        <v>6276.0620746874602</v>
      </c>
      <c r="AX92" s="44">
        <f t="shared" si="35"/>
        <v>-2.2455278289225263E-3</v>
      </c>
      <c r="AY92" s="39">
        <f t="shared" si="39"/>
        <v>93.36374568991549</v>
      </c>
      <c r="AZ92" s="39">
        <f t="shared" si="40"/>
        <v>102.12343503920165</v>
      </c>
      <c r="BB92" s="44">
        <f t="shared" si="30"/>
        <v>1.388670869445139E-2</v>
      </c>
    </row>
    <row r="93" spans="1:54" s="39" customFormat="1">
      <c r="A93" s="39">
        <f t="shared" si="36"/>
        <v>2034</v>
      </c>
      <c r="B93" s="39">
        <f t="shared" si="37"/>
        <v>4</v>
      </c>
      <c r="C93" s="40"/>
      <c r="D93" s="54">
        <v>152642799.28337499</v>
      </c>
      <c r="E93" s="40"/>
      <c r="F93" s="43">
        <v>27744635.636915099</v>
      </c>
      <c r="G93" s="57">
        <v>5158819</v>
      </c>
      <c r="H93" s="57">
        <v>28382300.040319301</v>
      </c>
      <c r="I93" s="57">
        <v>159552</v>
      </c>
      <c r="J93" s="57">
        <v>877808.02854937001</v>
      </c>
      <c r="K93" s="40"/>
      <c r="L93" s="54">
        <v>2409777.92881379</v>
      </c>
      <c r="M93" s="43"/>
      <c r="N93" s="54">
        <v>1202765.2809437499</v>
      </c>
      <c r="O93" s="40"/>
      <c r="P93" s="54">
        <v>19121608.830839802</v>
      </c>
      <c r="Q93" s="43"/>
      <c r="R93" s="54">
        <v>21423776.7163563</v>
      </c>
      <c r="S93" s="43"/>
      <c r="T93" s="43">
        <v>81915667.110136807</v>
      </c>
      <c r="U93" s="40"/>
      <c r="V93" s="54">
        <v>132295.65320768501</v>
      </c>
      <c r="W93" s="43"/>
      <c r="X93" s="54">
        <v>332288.53896252002</v>
      </c>
      <c r="Y93" s="40"/>
      <c r="Z93" s="40">
        <f t="shared" si="31"/>
        <v>-9801106.4771086536</v>
      </c>
      <c r="AA93" s="40"/>
      <c r="AB93" s="40">
        <f t="shared" si="32"/>
        <v>-89848741.004077986</v>
      </c>
      <c r="AC93" s="17"/>
      <c r="AD93" s="40"/>
      <c r="AE93" s="40"/>
      <c r="AF93" s="40">
        <f>AZ93/100*AF25</f>
        <v>5872621518.6002722</v>
      </c>
      <c r="AG93" s="44">
        <f t="shared" si="38"/>
        <v>6.0702019735973066E-4</v>
      </c>
      <c r="AH93" s="44">
        <f t="shared" si="33"/>
        <v>-1.5299596733673594E-2</v>
      </c>
      <c r="AT93" s="39">
        <v>12264788</v>
      </c>
      <c r="AV93" s="39">
        <f t="shared" si="34"/>
        <v>2.7865930225123552E-3</v>
      </c>
      <c r="AW93" s="56">
        <v>6262.4209525961396</v>
      </c>
      <c r="AX93" s="44">
        <f t="shared" si="35"/>
        <v>-2.1735161202974321E-3</v>
      </c>
      <c r="AY93" s="39">
        <f t="shared" si="39"/>
        <v>93.160818083607097</v>
      </c>
      <c r="AZ93" s="39">
        <f t="shared" si="40"/>
        <v>102.18542602689421</v>
      </c>
      <c r="BB93" s="44">
        <f t="shared" si="30"/>
        <v>1.2144940146659889E-2</v>
      </c>
    </row>
    <row r="94" spans="1:54" s="29" customFormat="1">
      <c r="A94" s="29">
        <f t="shared" si="36"/>
        <v>2035</v>
      </c>
      <c r="B94" s="29">
        <f t="shared" si="37"/>
        <v>1</v>
      </c>
      <c r="C94" s="30"/>
      <c r="D94" s="51">
        <v>153459183.72377801</v>
      </c>
      <c r="E94" s="30"/>
      <c r="F94" s="33">
        <v>27893023.172684699</v>
      </c>
      <c r="G94" s="59">
        <v>5259074</v>
      </c>
      <c r="H94" s="59">
        <v>28933873.4703122</v>
      </c>
      <c r="I94" s="59">
        <v>162651</v>
      </c>
      <c r="J94" s="59">
        <v>894857.81219654705</v>
      </c>
      <c r="K94" s="30"/>
      <c r="L94" s="51">
        <v>2911903.5988534102</v>
      </c>
      <c r="M94" s="33"/>
      <c r="N94" s="51">
        <v>1208392.99091364</v>
      </c>
      <c r="O94" s="30"/>
      <c r="P94" s="51">
        <v>21758103.319491901</v>
      </c>
      <c r="Q94" s="33"/>
      <c r="R94" s="51">
        <v>18753890.368218999</v>
      </c>
      <c r="S94" s="33"/>
      <c r="T94" s="33">
        <v>71707125.254445404</v>
      </c>
      <c r="U94" s="30"/>
      <c r="V94" s="51">
        <v>134733.42928621799</v>
      </c>
      <c r="W94" s="33"/>
      <c r="X94" s="51">
        <v>338411.52964144899</v>
      </c>
      <c r="Y94" s="30"/>
      <c r="Z94" s="30">
        <f t="shared" si="31"/>
        <v>-13124695.964946531</v>
      </c>
      <c r="AA94" s="30"/>
      <c r="AB94" s="30">
        <f t="shared" si="32"/>
        <v>-103510161.7888245</v>
      </c>
      <c r="AC94" s="17"/>
      <c r="AD94" s="30"/>
      <c r="AE94" s="30"/>
      <c r="AF94" s="30">
        <f>AZ94/100*AF25</f>
        <v>5863850448.2827234</v>
      </c>
      <c r="AG94" s="34">
        <f t="shared" si="38"/>
        <v>-1.4935528008689584E-3</v>
      </c>
      <c r="AH94" s="34">
        <f t="shared" si="33"/>
        <v>-1.7652251315368777E-2</v>
      </c>
      <c r="AT94" s="29">
        <v>12244737</v>
      </c>
      <c r="AV94" s="29">
        <f t="shared" si="34"/>
        <v>-1.6348427710287368E-3</v>
      </c>
      <c r="AW94" s="53">
        <v>6263.3072187715097</v>
      </c>
      <c r="AX94" s="34">
        <f t="shared" si="35"/>
        <v>1.4152133529169759E-4</v>
      </c>
      <c r="AY94" s="29">
        <f t="shared" si="39"/>
        <v>93.174002326979164</v>
      </c>
      <c r="AZ94" s="29">
        <f t="shared" si="40"/>
        <v>102.03280669764375</v>
      </c>
      <c r="BB94" s="34">
        <f t="shared" si="30"/>
        <v>1.3894052672658841E-2</v>
      </c>
    </row>
    <row r="95" spans="1:54" s="39" customFormat="1">
      <c r="A95" s="39">
        <f t="shared" si="36"/>
        <v>2035</v>
      </c>
      <c r="B95" s="39">
        <f t="shared" si="37"/>
        <v>2</v>
      </c>
      <c r="C95" s="40"/>
      <c r="D95" s="54">
        <v>154466368.91362301</v>
      </c>
      <c r="E95" s="40"/>
      <c r="F95" s="43">
        <v>28076091.003216699</v>
      </c>
      <c r="G95" s="57">
        <v>5344123</v>
      </c>
      <c r="H95" s="57">
        <v>29401787.9748003</v>
      </c>
      <c r="I95" s="57">
        <v>165282</v>
      </c>
      <c r="J95" s="57">
        <v>909332.79792604898</v>
      </c>
      <c r="K95" s="40"/>
      <c r="L95" s="54">
        <v>2403960.11809497</v>
      </c>
      <c r="M95" s="43"/>
      <c r="N95" s="54">
        <v>1216315.27644981</v>
      </c>
      <c r="O95" s="40"/>
      <c r="P95" s="54">
        <v>19165968.2607424</v>
      </c>
      <c r="Q95" s="43"/>
      <c r="R95" s="54">
        <v>21362924.669411</v>
      </c>
      <c r="S95" s="43"/>
      <c r="T95" s="43">
        <v>81682994.034490898</v>
      </c>
      <c r="U95" s="40"/>
      <c r="V95" s="54">
        <v>129052.39238274901</v>
      </c>
      <c r="W95" s="43"/>
      <c r="X95" s="54">
        <v>324142.40282832203</v>
      </c>
      <c r="Y95" s="40"/>
      <c r="Z95" s="40">
        <f t="shared" si="31"/>
        <v>-10204389.335967731</v>
      </c>
      <c r="AA95" s="40"/>
      <c r="AB95" s="40">
        <f t="shared" si="32"/>
        <v>-91949343.139874503</v>
      </c>
      <c r="AC95" s="17"/>
      <c r="AD95" s="40"/>
      <c r="AE95" s="40"/>
      <c r="AF95" s="40">
        <f>AZ95/100*AF25</f>
        <v>5846525397.1103611</v>
      </c>
      <c r="AG95" s="44">
        <f t="shared" si="38"/>
        <v>-2.9545520175119936E-3</v>
      </c>
      <c r="AH95" s="44">
        <f t="shared" si="33"/>
        <v>-1.5727177578895041E-2</v>
      </c>
      <c r="AT95" s="39">
        <v>12175322</v>
      </c>
      <c r="AV95" s="39">
        <f t="shared" si="34"/>
        <v>-5.6689661852271714E-3</v>
      </c>
      <c r="AW95" s="56">
        <v>6280.4053573925703</v>
      </c>
      <c r="AX95" s="44">
        <f t="shared" si="35"/>
        <v>2.7298898207988934E-3</v>
      </c>
      <c r="AY95" s="39">
        <f t="shared" si="39"/>
        <v>93.428357087494675</v>
      </c>
      <c r="AZ95" s="39">
        <f t="shared" si="40"/>
        <v>101.73134546276282</v>
      </c>
      <c r="BB95" s="44">
        <f t="shared" si="30"/>
        <v>1.2200817917202464E-2</v>
      </c>
    </row>
    <row r="96" spans="1:54" s="39" customFormat="1">
      <c r="A96" s="39">
        <f t="shared" si="36"/>
        <v>2035</v>
      </c>
      <c r="B96" s="39">
        <f t="shared" si="37"/>
        <v>3</v>
      </c>
      <c r="C96" s="40"/>
      <c r="D96" s="54">
        <v>154785684.56910199</v>
      </c>
      <c r="E96" s="40"/>
      <c r="F96" s="43">
        <v>28134130.403411299</v>
      </c>
      <c r="G96" s="57">
        <v>5436671</v>
      </c>
      <c r="H96" s="57">
        <v>29910959.764725801</v>
      </c>
      <c r="I96" s="57">
        <v>168144</v>
      </c>
      <c r="J96" s="57">
        <v>925078.67749953095</v>
      </c>
      <c r="K96" s="40"/>
      <c r="L96" s="54">
        <v>2371278.5661035902</v>
      </c>
      <c r="M96" s="43"/>
      <c r="N96" s="54">
        <v>1218566.7774711601</v>
      </c>
      <c r="O96" s="40"/>
      <c r="P96" s="54">
        <v>19008770.626416899</v>
      </c>
      <c r="Q96" s="43"/>
      <c r="R96" s="54">
        <v>18449368.6874507</v>
      </c>
      <c r="S96" s="43"/>
      <c r="T96" s="43">
        <v>70542760.214615703</v>
      </c>
      <c r="U96" s="40"/>
      <c r="V96" s="54">
        <v>135609.878733335</v>
      </c>
      <c r="W96" s="43"/>
      <c r="X96" s="54">
        <v>340612.91796522</v>
      </c>
      <c r="Y96" s="40"/>
      <c r="Z96" s="40">
        <f t="shared" si="31"/>
        <v>-13138997.180802016</v>
      </c>
      <c r="AA96" s="40"/>
      <c r="AB96" s="40">
        <f t="shared" si="32"/>
        <v>-103251694.98090318</v>
      </c>
      <c r="AC96" s="17"/>
      <c r="AD96" s="40"/>
      <c r="AE96" s="40"/>
      <c r="AF96" s="40">
        <f>AZ96/100*AF25</f>
        <v>5804499386.6714249</v>
      </c>
      <c r="AG96" s="44">
        <f t="shared" si="38"/>
        <v>-7.1882028357744829E-3</v>
      </c>
      <c r="AH96" s="44">
        <f t="shared" si="33"/>
        <v>-1.7788217054169178E-2</v>
      </c>
      <c r="AT96" s="39">
        <v>12171050</v>
      </c>
      <c r="AV96" s="39">
        <f t="shared" si="34"/>
        <v>-3.5087367709864264E-4</v>
      </c>
      <c r="AW96" s="56">
        <v>6237.4490864894397</v>
      </c>
      <c r="AX96" s="44">
        <f t="shared" si="35"/>
        <v>-6.8397290395543443E-3</v>
      </c>
      <c r="AY96" s="39">
        <f t="shared" si="39"/>
        <v>92.789332440405488</v>
      </c>
      <c r="AZ96" s="39">
        <f t="shared" si="40"/>
        <v>101.00007991682023</v>
      </c>
      <c r="BB96" s="44">
        <f t="shared" si="30"/>
        <v>1.3929413936184038E-2</v>
      </c>
    </row>
    <row r="97" spans="1:54" s="39" customFormat="1">
      <c r="A97" s="39">
        <f t="shared" si="36"/>
        <v>2035</v>
      </c>
      <c r="B97" s="39">
        <f t="shared" si="37"/>
        <v>4</v>
      </c>
      <c r="C97" s="40"/>
      <c r="D97" s="54">
        <v>155434255.24026901</v>
      </c>
      <c r="E97" s="40"/>
      <c r="F97" s="43">
        <v>28252015.800172798</v>
      </c>
      <c r="G97" s="57">
        <v>5595784</v>
      </c>
      <c r="H97" s="57">
        <v>30786352.544801101</v>
      </c>
      <c r="I97" s="57">
        <v>173066</v>
      </c>
      <c r="J97" s="57">
        <v>952158.06927475205</v>
      </c>
      <c r="K97" s="40"/>
      <c r="L97" s="54">
        <v>2441661.6617989298</v>
      </c>
      <c r="M97" s="43"/>
      <c r="N97" s="54">
        <v>1223627.8862087999</v>
      </c>
      <c r="O97" s="40"/>
      <c r="P97" s="54">
        <v>19401833.571573202</v>
      </c>
      <c r="Q97" s="43"/>
      <c r="R97" s="54">
        <v>21264537.8767654</v>
      </c>
      <c r="S97" s="43"/>
      <c r="T97" s="43">
        <v>81306803.605460107</v>
      </c>
      <c r="U97" s="40"/>
      <c r="V97" s="54">
        <v>139525.07626769599</v>
      </c>
      <c r="W97" s="43"/>
      <c r="X97" s="54">
        <v>350446.76538876398</v>
      </c>
      <c r="Y97" s="40"/>
      <c r="Z97" s="40">
        <f t="shared" si="31"/>
        <v>-10513242.395147428</v>
      </c>
      <c r="AA97" s="40"/>
      <c r="AB97" s="40">
        <f t="shared" si="32"/>
        <v>-93529285.206382096</v>
      </c>
      <c r="AC97" s="17"/>
      <c r="AD97" s="40"/>
      <c r="AE97" s="40"/>
      <c r="AF97" s="40">
        <f>AZ97/100*AF25</f>
        <v>5840062229.8954582</v>
      </c>
      <c r="AG97" s="44">
        <f t="shared" si="38"/>
        <v>6.1267718118283368E-3</v>
      </c>
      <c r="AH97" s="44">
        <f t="shared" si="33"/>
        <v>-1.6015117908778919E-2</v>
      </c>
      <c r="AT97" s="39">
        <v>12212031</v>
      </c>
      <c r="AV97" s="39">
        <f t="shared" si="34"/>
        <v>3.3670882955866583E-3</v>
      </c>
      <c r="AW97" s="56">
        <v>6254.6047074263597</v>
      </c>
      <c r="AX97" s="44">
        <f t="shared" si="35"/>
        <v>2.7504226004954188E-3</v>
      </c>
      <c r="AY97" s="39">
        <f t="shared" si="39"/>
        <v>93.044542317434477</v>
      </c>
      <c r="AZ97" s="39">
        <f t="shared" si="40"/>
        <v>101.61888435944701</v>
      </c>
      <c r="BB97" s="44">
        <f t="shared" si="30"/>
        <v>1.2195228955671484E-2</v>
      </c>
    </row>
    <row r="98" spans="1:54" s="29" customFormat="1">
      <c r="A98" s="29">
        <f t="shared" si="36"/>
        <v>2036</v>
      </c>
      <c r="B98" s="29">
        <f t="shared" si="37"/>
        <v>1</v>
      </c>
      <c r="C98" s="30"/>
      <c r="D98" s="51">
        <v>156361160.766954</v>
      </c>
      <c r="E98" s="30"/>
      <c r="F98" s="33">
        <v>28420491.8516372</v>
      </c>
      <c r="G98" s="59">
        <v>5757974</v>
      </c>
      <c r="H98" s="59">
        <v>31678674.071014602</v>
      </c>
      <c r="I98" s="59">
        <v>178082</v>
      </c>
      <c r="J98" s="59">
        <v>979754.62131548906</v>
      </c>
      <c r="K98" s="30"/>
      <c r="L98" s="51">
        <v>2837234.8078314802</v>
      </c>
      <c r="M98" s="33"/>
      <c r="N98" s="51">
        <v>1230689.3572038901</v>
      </c>
      <c r="O98" s="30"/>
      <c r="P98" s="51">
        <v>21493314.636755899</v>
      </c>
      <c r="Q98" s="33"/>
      <c r="R98" s="51">
        <v>18585117.504658699</v>
      </c>
      <c r="S98" s="33"/>
      <c r="T98" s="33">
        <v>71061807.582791507</v>
      </c>
      <c r="U98" s="30"/>
      <c r="V98" s="51">
        <v>134323.54405366001</v>
      </c>
      <c r="W98" s="33"/>
      <c r="X98" s="51">
        <v>337382.01611045498</v>
      </c>
      <c r="Y98" s="30"/>
      <c r="Z98" s="30">
        <f t="shared" si="31"/>
        <v>-13768974.967960212</v>
      </c>
      <c r="AA98" s="30"/>
      <c r="AB98" s="30">
        <f t="shared" si="32"/>
        <v>-106792667.8209184</v>
      </c>
      <c r="AC98" s="17"/>
      <c r="AD98" s="30"/>
      <c r="AE98" s="30"/>
      <c r="AF98" s="30">
        <f>AZ98/100*AF25</f>
        <v>5859701802.9052296</v>
      </c>
      <c r="AG98" s="34">
        <f t="shared" si="38"/>
        <v>3.3629047494110197E-3</v>
      </c>
      <c r="AH98" s="34">
        <f t="shared" si="33"/>
        <v>-1.8224932157464187E-2</v>
      </c>
      <c r="AT98" s="29">
        <v>12286876</v>
      </c>
      <c r="AV98" s="29">
        <f t="shared" si="34"/>
        <v>6.1287921722439128E-3</v>
      </c>
      <c r="AW98" s="53">
        <v>6237.4105543222504</v>
      </c>
      <c r="AX98" s="34">
        <f t="shared" si="35"/>
        <v>-2.749039133311489E-3</v>
      </c>
      <c r="AY98" s="29">
        <f t="shared" si="39"/>
        <v>92.788759229462798</v>
      </c>
      <c r="AZ98" s="29">
        <f t="shared" si="40"/>
        <v>101.96061898828926</v>
      </c>
      <c r="BB98" s="34">
        <f t="shared" si="30"/>
        <v>1.3848717076340569E-2</v>
      </c>
    </row>
    <row r="99" spans="1:54" s="39" customFormat="1">
      <c r="A99" s="39">
        <f t="shared" si="36"/>
        <v>2036</v>
      </c>
      <c r="B99" s="39">
        <f t="shared" si="37"/>
        <v>2</v>
      </c>
      <c r="C99" s="40"/>
      <c r="D99" s="54">
        <v>156931546.717576</v>
      </c>
      <c r="E99" s="40"/>
      <c r="F99" s="43">
        <v>28524166.249949601</v>
      </c>
      <c r="G99" s="57">
        <v>5836174</v>
      </c>
      <c r="H99" s="57">
        <v>32108907.398284499</v>
      </c>
      <c r="I99" s="57">
        <v>180500</v>
      </c>
      <c r="J99" s="57">
        <v>993057.74389014998</v>
      </c>
      <c r="K99" s="40"/>
      <c r="L99" s="54">
        <v>2425226.81825573</v>
      </c>
      <c r="M99" s="43"/>
      <c r="N99" s="54">
        <v>1235377.52946313</v>
      </c>
      <c r="O99" s="40"/>
      <c r="P99" s="54">
        <v>19381196.1607797</v>
      </c>
      <c r="Q99" s="43"/>
      <c r="R99" s="54">
        <v>21303727.947029602</v>
      </c>
      <c r="S99" s="43"/>
      <c r="T99" s="43">
        <v>81456650.235785306</v>
      </c>
      <c r="U99" s="40"/>
      <c r="V99" s="54">
        <v>134289.39397494899</v>
      </c>
      <c r="W99" s="43"/>
      <c r="X99" s="54">
        <v>337296.24095847399</v>
      </c>
      <c r="Y99" s="40"/>
      <c r="Z99" s="40">
        <f t="shared" si="31"/>
        <v>-10746753.256663911</v>
      </c>
      <c r="AA99" s="40"/>
      <c r="AB99" s="40">
        <f t="shared" si="32"/>
        <v>-94856092.642570391</v>
      </c>
      <c r="AC99" s="17"/>
      <c r="AD99" s="40"/>
      <c r="AE99" s="40"/>
      <c r="AF99" s="40">
        <f>AZ99/100*AF25</f>
        <v>5865799594.9992342</v>
      </c>
      <c r="AG99" s="44">
        <f t="shared" si="38"/>
        <v>1.040631810134324E-3</v>
      </c>
      <c r="AH99" s="44">
        <f t="shared" si="33"/>
        <v>-1.6171042175296611E-2</v>
      </c>
      <c r="AT99" s="39">
        <v>12280691</v>
      </c>
      <c r="AV99" s="39">
        <f t="shared" si="34"/>
        <v>-5.0338263363282907E-4</v>
      </c>
      <c r="AW99" s="56">
        <v>6247.0460566543697</v>
      </c>
      <c r="AX99" s="44">
        <f t="shared" si="35"/>
        <v>1.5447920652653497E-3</v>
      </c>
      <c r="AY99" s="39">
        <f t="shared" si="39"/>
        <v>92.932098568466287</v>
      </c>
      <c r="AZ99" s="39">
        <f t="shared" si="40"/>
        <v>102.06672245178946</v>
      </c>
      <c r="BB99" s="44">
        <f t="shared" si="30"/>
        <v>1.2073648710976747E-2</v>
      </c>
    </row>
    <row r="100" spans="1:54" s="39" customFormat="1">
      <c r="A100" s="39">
        <f t="shared" si="36"/>
        <v>2036</v>
      </c>
      <c r="B100" s="39">
        <f t="shared" si="37"/>
        <v>3</v>
      </c>
      <c r="C100" s="40"/>
      <c r="D100" s="54">
        <v>157759003.49158499</v>
      </c>
      <c r="E100" s="40"/>
      <c r="F100" s="43">
        <v>28674566.3134178</v>
      </c>
      <c r="G100" s="57">
        <v>5915043</v>
      </c>
      <c r="H100" s="57">
        <v>32542821.3661674</v>
      </c>
      <c r="I100" s="57">
        <v>182940</v>
      </c>
      <c r="J100" s="57">
        <v>1006481.90397376</v>
      </c>
      <c r="K100" s="40"/>
      <c r="L100" s="54">
        <v>2426146.4916975498</v>
      </c>
      <c r="M100" s="43"/>
      <c r="N100" s="54">
        <v>1242257.66367342</v>
      </c>
      <c r="O100" s="40"/>
      <c r="P100" s="54">
        <v>19423820.819098499</v>
      </c>
      <c r="Q100" s="43"/>
      <c r="R100" s="54">
        <v>18635842.024615102</v>
      </c>
      <c r="S100" s="43"/>
      <c r="T100" s="43">
        <v>71255757.181225106</v>
      </c>
      <c r="U100" s="40"/>
      <c r="V100" s="54">
        <v>136245.865096839</v>
      </c>
      <c r="W100" s="43"/>
      <c r="X100" s="54">
        <v>342210.33235038503</v>
      </c>
      <c r="Y100" s="40"/>
      <c r="Z100" s="40">
        <f t="shared" si="31"/>
        <v>-13570882.57907683</v>
      </c>
      <c r="AA100" s="40"/>
      <c r="AB100" s="40">
        <f t="shared" si="32"/>
        <v>-105927067.12945838</v>
      </c>
      <c r="AC100" s="17"/>
      <c r="AD100" s="40"/>
      <c r="AE100" s="40"/>
      <c r="AF100" s="40">
        <f>AZ100/100*AF25</f>
        <v>5867114726.030323</v>
      </c>
      <c r="AG100" s="44">
        <f t="shared" si="38"/>
        <v>2.242031985221617E-4</v>
      </c>
      <c r="AH100" s="44">
        <f t="shared" si="33"/>
        <v>-1.8054371198759293E-2</v>
      </c>
      <c r="AT100" s="39">
        <v>12296645</v>
      </c>
      <c r="AV100" s="39">
        <f t="shared" si="34"/>
        <v>1.2991125662228616E-3</v>
      </c>
      <c r="AW100" s="56">
        <v>6240.3397605611399</v>
      </c>
      <c r="AX100" s="44">
        <f t="shared" si="35"/>
        <v>-1.0735147511976965E-3</v>
      </c>
      <c r="AY100" s="39">
        <f t="shared" si="39"/>
        <v>92.832334589793291</v>
      </c>
      <c r="AZ100" s="39">
        <f t="shared" si="40"/>
        <v>102.0896061374258</v>
      </c>
      <c r="BB100" s="44">
        <f t="shared" si="30"/>
        <v>1.3779849706295868E-2</v>
      </c>
    </row>
    <row r="101" spans="1:54" s="39" customFormat="1">
      <c r="A101" s="39">
        <f t="shared" si="36"/>
        <v>2036</v>
      </c>
      <c r="B101" s="39">
        <f t="shared" si="37"/>
        <v>4</v>
      </c>
      <c r="C101" s="40"/>
      <c r="D101" s="54">
        <v>158497296.858706</v>
      </c>
      <c r="E101" s="40"/>
      <c r="F101" s="43">
        <v>28808759.872236699</v>
      </c>
      <c r="G101" s="57">
        <v>6031416</v>
      </c>
      <c r="H101" s="57">
        <v>33183071.2765815</v>
      </c>
      <c r="I101" s="57">
        <v>186539</v>
      </c>
      <c r="J101" s="57">
        <v>1026282.5400970899</v>
      </c>
      <c r="K101" s="40"/>
      <c r="L101" s="54">
        <v>2417617.9278779901</v>
      </c>
      <c r="M101" s="43"/>
      <c r="N101" s="54">
        <v>1247557.8955252201</v>
      </c>
      <c r="O101" s="40"/>
      <c r="P101" s="54">
        <v>19408726.372723099</v>
      </c>
      <c r="Q101" s="43"/>
      <c r="R101" s="54">
        <v>21291211.753313001</v>
      </c>
      <c r="S101" s="43"/>
      <c r="T101" s="43">
        <v>81408793.484309807</v>
      </c>
      <c r="U101" s="40"/>
      <c r="V101" s="54">
        <v>135890.25397804999</v>
      </c>
      <c r="W101" s="43"/>
      <c r="X101" s="54">
        <v>341317.13974551798</v>
      </c>
      <c r="Y101" s="40"/>
      <c r="Z101" s="40">
        <f t="shared" si="31"/>
        <v>-11046833.688348856</v>
      </c>
      <c r="AA101" s="40"/>
      <c r="AB101" s="40">
        <f t="shared" si="32"/>
        <v>-96497229.747119293</v>
      </c>
      <c r="AC101" s="17"/>
      <c r="AD101" s="40"/>
      <c r="AE101" s="40"/>
      <c r="AF101" s="40">
        <f>AZ101/100*AF25</f>
        <v>5859254704.3173819</v>
      </c>
      <c r="AG101" s="44">
        <f t="shared" si="38"/>
        <v>-1.3396741123995787E-3</v>
      </c>
      <c r="AH101" s="44">
        <f t="shared" si="33"/>
        <v>-1.6469198663784913E-2</v>
      </c>
      <c r="AT101" s="39">
        <v>12313372</v>
      </c>
      <c r="AV101" s="39">
        <f t="shared" si="34"/>
        <v>1.3602897375666289E-3</v>
      </c>
      <c r="AW101" s="56">
        <v>6223.51395676435</v>
      </c>
      <c r="AX101" s="44">
        <f t="shared" si="35"/>
        <v>-2.6962961060435662E-3</v>
      </c>
      <c r="AY101" s="39">
        <f t="shared" si="39"/>
        <v>92.582031127523891</v>
      </c>
      <c r="AZ101" s="39">
        <f t="shared" si="40"/>
        <v>101.95283933493845</v>
      </c>
      <c r="BB101" s="44">
        <f t="shared" si="30"/>
        <v>1.2024321472708235E-2</v>
      </c>
    </row>
    <row r="102" spans="1:54" s="29" customFormat="1">
      <c r="A102" s="29">
        <f t="shared" si="36"/>
        <v>2037</v>
      </c>
      <c r="B102" s="29">
        <f t="shared" si="37"/>
        <v>1</v>
      </c>
      <c r="C102" s="30"/>
      <c r="D102" s="51">
        <v>159349043.04503599</v>
      </c>
      <c r="E102" s="30"/>
      <c r="F102" s="33">
        <v>28963574.823913299</v>
      </c>
      <c r="G102" s="59">
        <v>6143311</v>
      </c>
      <c r="H102" s="59">
        <v>33798684.5522191</v>
      </c>
      <c r="I102" s="59">
        <v>189999</v>
      </c>
      <c r="J102" s="59">
        <v>1045318.43923205</v>
      </c>
      <c r="K102" s="30"/>
      <c r="L102" s="51">
        <v>2928762.13815758</v>
      </c>
      <c r="M102" s="33"/>
      <c r="N102" s="51">
        <v>1254096.7674808099</v>
      </c>
      <c r="O102" s="30"/>
      <c r="P102" s="51">
        <v>22097031.053961702</v>
      </c>
      <c r="Q102" s="33"/>
      <c r="R102" s="51">
        <v>18627565.908496302</v>
      </c>
      <c r="S102" s="33"/>
      <c r="T102" s="33">
        <v>71224112.733939603</v>
      </c>
      <c r="U102" s="30"/>
      <c r="V102" s="51">
        <v>140201.14049364001</v>
      </c>
      <c r="W102" s="33"/>
      <c r="X102" s="51">
        <v>352144.84380961</v>
      </c>
      <c r="Y102" s="30"/>
      <c r="Z102" s="30">
        <f t="shared" si="31"/>
        <v>-14378666.680561747</v>
      </c>
      <c r="AA102" s="30"/>
      <c r="AB102" s="30">
        <f t="shared" si="32"/>
        <v>-110221961.36505809</v>
      </c>
      <c r="AC102" s="17"/>
      <c r="AD102" s="30"/>
      <c r="AE102" s="30"/>
      <c r="AF102" s="30">
        <f>AZ102/100*AF25</f>
        <v>5837650657.2987719</v>
      </c>
      <c r="AG102" s="34">
        <f t="shared" si="38"/>
        <v>-3.687166390409875E-3</v>
      </c>
      <c r="AH102" s="34">
        <f t="shared" si="33"/>
        <v>-1.8881219147166402E-2</v>
      </c>
      <c r="AT102" s="29">
        <v>12248402</v>
      </c>
      <c r="AV102" s="29">
        <f t="shared" si="34"/>
        <v>-5.2763775836545826E-3</v>
      </c>
      <c r="AW102" s="53">
        <v>6233.4568975154498</v>
      </c>
      <c r="AX102" s="34">
        <f t="shared" si="35"/>
        <v>1.5976409501408345E-3</v>
      </c>
      <c r="AY102" s="29">
        <f t="shared" si="39"/>
        <v>92.729943971700436</v>
      </c>
      <c r="AZ102" s="29">
        <f t="shared" si="40"/>
        <v>101.57692225233579</v>
      </c>
      <c r="BB102" s="34">
        <f t="shared" si="30"/>
        <v>1.3745088195195E-2</v>
      </c>
    </row>
    <row r="103" spans="1:54" s="39" customFormat="1">
      <c r="A103" s="39">
        <f t="shared" si="36"/>
        <v>2037</v>
      </c>
      <c r="B103" s="39">
        <f t="shared" si="37"/>
        <v>2</v>
      </c>
      <c r="C103" s="40"/>
      <c r="D103" s="54">
        <v>159990670.01609999</v>
      </c>
      <c r="E103" s="40"/>
      <c r="F103" s="43">
        <v>29080198.120987002</v>
      </c>
      <c r="G103" s="57">
        <v>6269649</v>
      </c>
      <c r="H103" s="57">
        <v>34493758.9524827</v>
      </c>
      <c r="I103" s="57">
        <v>193907</v>
      </c>
      <c r="J103" s="57">
        <v>1066819.10218564</v>
      </c>
      <c r="K103" s="40"/>
      <c r="L103" s="54">
        <v>2403779.55592584</v>
      </c>
      <c r="M103" s="43"/>
      <c r="N103" s="54">
        <v>1258929.53825796</v>
      </c>
      <c r="O103" s="40"/>
      <c r="P103" s="54">
        <v>19399482.418017</v>
      </c>
      <c r="Q103" s="43"/>
      <c r="R103" s="54">
        <v>21342758.010854799</v>
      </c>
      <c r="S103" s="43"/>
      <c r="T103" s="43">
        <v>81605885.067623004</v>
      </c>
      <c r="U103" s="40"/>
      <c r="V103" s="54">
        <v>137124.29431622199</v>
      </c>
      <c r="W103" s="43"/>
      <c r="X103" s="54">
        <v>344416.69329130399</v>
      </c>
      <c r="Y103" s="40"/>
      <c r="Z103" s="40">
        <f t="shared" si="31"/>
        <v>-11263024.90999978</v>
      </c>
      <c r="AA103" s="40"/>
      <c r="AB103" s="40">
        <f t="shared" si="32"/>
        <v>-97784267.366493985</v>
      </c>
      <c r="AC103" s="17"/>
      <c r="AD103" s="40"/>
      <c r="AE103" s="40"/>
      <c r="AF103" s="40">
        <f>AZ103/100*AF25</f>
        <v>5858529686.9983702</v>
      </c>
      <c r="AG103" s="44">
        <f t="shared" si="38"/>
        <v>3.5766151360039702E-3</v>
      </c>
      <c r="AH103" s="44">
        <f t="shared" si="33"/>
        <v>-1.6690922909122264E-2</v>
      </c>
      <c r="AT103" s="39">
        <v>12263057</v>
      </c>
      <c r="AV103" s="39">
        <f t="shared" si="34"/>
        <v>1.1964826105478903E-3</v>
      </c>
      <c r="AW103" s="56">
        <v>6248.2756206786798</v>
      </c>
      <c r="AX103" s="44">
        <f t="shared" si="35"/>
        <v>2.3772881415345237E-3</v>
      </c>
      <c r="AY103" s="39">
        <f t="shared" si="39"/>
        <v>92.95038976786951</v>
      </c>
      <c r="AZ103" s="39">
        <f t="shared" si="40"/>
        <v>101.94022380993221</v>
      </c>
      <c r="BB103" s="44">
        <f t="shared" ref="BB103:BB117" si="41">T110/AF110</f>
        <v>1.196572064854228E-2</v>
      </c>
    </row>
    <row r="104" spans="1:54" s="39" customFormat="1">
      <c r="A104" s="39">
        <f t="shared" si="36"/>
        <v>2037</v>
      </c>
      <c r="B104" s="39">
        <f t="shared" si="37"/>
        <v>3</v>
      </c>
      <c r="C104" s="40"/>
      <c r="D104" s="54">
        <v>160550245.18536001</v>
      </c>
      <c r="E104" s="40"/>
      <c r="F104" s="43">
        <v>29181907.531817298</v>
      </c>
      <c r="G104" s="57">
        <v>6399795</v>
      </c>
      <c r="H104" s="57">
        <v>35209783.8452048</v>
      </c>
      <c r="I104" s="57">
        <v>197931</v>
      </c>
      <c r="J104" s="57">
        <v>1088957.9629136899</v>
      </c>
      <c r="K104" s="40"/>
      <c r="L104" s="54">
        <v>2416023.27421998</v>
      </c>
      <c r="M104" s="43"/>
      <c r="N104" s="54">
        <v>1262743.0738393201</v>
      </c>
      <c r="O104" s="40"/>
      <c r="P104" s="54">
        <v>19483996.0780432</v>
      </c>
      <c r="Q104" s="43"/>
      <c r="R104" s="54">
        <v>18688822.714711301</v>
      </c>
      <c r="S104" s="43"/>
      <c r="T104" s="43">
        <v>71458333.441734195</v>
      </c>
      <c r="U104" s="40"/>
      <c r="V104" s="54">
        <v>134137.06702263901</v>
      </c>
      <c r="W104" s="43"/>
      <c r="X104" s="54">
        <v>336913.63957135001</v>
      </c>
      <c r="Y104" s="40"/>
      <c r="Z104" s="40">
        <f t="shared" si="31"/>
        <v>-14037714.098142659</v>
      </c>
      <c r="AA104" s="40"/>
      <c r="AB104" s="40">
        <f t="shared" si="32"/>
        <v>-108575907.82166901</v>
      </c>
      <c r="AC104" s="17"/>
      <c r="AD104" s="40"/>
      <c r="AE104" s="40"/>
      <c r="AF104" s="40">
        <f>AZ104/100*AF25</f>
        <v>5859531928.5499725</v>
      </c>
      <c r="AG104" s="44">
        <f t="shared" si="38"/>
        <v>1.7107390508348932E-4</v>
      </c>
      <c r="AH104" s="44">
        <f t="shared" si="33"/>
        <v>-1.8529791994586455E-2</v>
      </c>
      <c r="AT104" s="39">
        <v>12303102</v>
      </c>
      <c r="AV104" s="39">
        <f t="shared" si="34"/>
        <v>3.2654989697919533E-3</v>
      </c>
      <c r="AW104" s="56">
        <v>6229.0037323184297</v>
      </c>
      <c r="AX104" s="44">
        <f t="shared" si="35"/>
        <v>-3.0843531127964022E-3</v>
      </c>
      <c r="AY104" s="39">
        <f t="shared" si="39"/>
        <v>92.663697943853336</v>
      </c>
      <c r="AZ104" s="39">
        <f t="shared" si="40"/>
        <v>101.95766312210444</v>
      </c>
      <c r="BB104" s="44">
        <f t="shared" si="41"/>
        <v>1.370749390278108E-2</v>
      </c>
    </row>
    <row r="105" spans="1:54" s="39" customFormat="1">
      <c r="A105" s="39">
        <f t="shared" si="36"/>
        <v>2037</v>
      </c>
      <c r="B105" s="39">
        <f t="shared" si="37"/>
        <v>4</v>
      </c>
      <c r="C105" s="40"/>
      <c r="D105" s="54">
        <v>161533665.40305901</v>
      </c>
      <c r="E105" s="40"/>
      <c r="F105" s="43">
        <v>29360655.7973505</v>
      </c>
      <c r="G105" s="57">
        <v>6552346</v>
      </c>
      <c r="H105" s="57">
        <v>36049074.4373831</v>
      </c>
      <c r="I105" s="57">
        <v>202650</v>
      </c>
      <c r="J105" s="57">
        <v>1114920.5085835999</v>
      </c>
      <c r="K105" s="40"/>
      <c r="L105" s="54">
        <v>2415149.82892298</v>
      </c>
      <c r="M105" s="43"/>
      <c r="N105" s="54">
        <v>1270675.30629197</v>
      </c>
      <c r="O105" s="40"/>
      <c r="P105" s="54">
        <v>19523104.568812501</v>
      </c>
      <c r="Q105" s="43"/>
      <c r="R105" s="54">
        <v>21228283.370331001</v>
      </c>
      <c r="S105" s="43"/>
      <c r="T105" s="43">
        <v>81168181.357868195</v>
      </c>
      <c r="U105" s="40"/>
      <c r="V105" s="54">
        <v>139876.45250290999</v>
      </c>
      <c r="W105" s="43"/>
      <c r="X105" s="54">
        <v>351329.32118704199</v>
      </c>
      <c r="Y105" s="40"/>
      <c r="Z105" s="40">
        <f t="shared" si="31"/>
        <v>-11678321.10973154</v>
      </c>
      <c r="AA105" s="40"/>
      <c r="AB105" s="40">
        <f t="shared" si="32"/>
        <v>-99888588.614003316</v>
      </c>
      <c r="AC105" s="17"/>
      <c r="AD105" s="40"/>
      <c r="AE105" s="40"/>
      <c r="AF105" s="40">
        <f>AZ105/100*AF25</f>
        <v>5861061418.933713</v>
      </c>
      <c r="AG105" s="44">
        <f t="shared" si="38"/>
        <v>2.6102603456909913E-4</v>
      </c>
      <c r="AH105" s="44">
        <f t="shared" si="33"/>
        <v>-1.7042747289990997E-2</v>
      </c>
      <c r="AT105" s="39">
        <v>12296511</v>
      </c>
      <c r="AV105" s="39">
        <f t="shared" si="34"/>
        <v>-5.3571855293079742E-4</v>
      </c>
      <c r="AW105" s="56">
        <v>6233.9693174837703</v>
      </c>
      <c r="AX105" s="44">
        <f t="shared" si="35"/>
        <v>7.9717164714114119E-4</v>
      </c>
      <c r="AY105" s="39">
        <f t="shared" si="39"/>
        <v>92.73756681657342</v>
      </c>
      <c r="AZ105" s="39">
        <f t="shared" si="40"/>
        <v>101.98427672660313</v>
      </c>
      <c r="BB105" s="44">
        <f t="shared" si="41"/>
        <v>1.2026243284744633E-2</v>
      </c>
    </row>
    <row r="106" spans="1:54" s="29" customFormat="1">
      <c r="A106" s="29">
        <f t="shared" si="36"/>
        <v>2038</v>
      </c>
      <c r="B106" s="29">
        <f t="shared" si="37"/>
        <v>1</v>
      </c>
      <c r="C106" s="30"/>
      <c r="D106" s="51">
        <v>162224861.79884401</v>
      </c>
      <c r="E106" s="30"/>
      <c r="F106" s="33">
        <v>29486288.924131699</v>
      </c>
      <c r="G106" s="59">
        <v>6679923</v>
      </c>
      <c r="H106" s="59">
        <v>36750965.450082697</v>
      </c>
      <c r="I106" s="59">
        <v>206596</v>
      </c>
      <c r="J106" s="59">
        <v>1136630.2363253699</v>
      </c>
      <c r="K106" s="30"/>
      <c r="L106" s="51">
        <v>3000811.5015359898</v>
      </c>
      <c r="M106" s="33"/>
      <c r="N106" s="51">
        <v>1276796.74184689</v>
      </c>
      <c r="O106" s="30"/>
      <c r="P106" s="51">
        <v>22595784.104427502</v>
      </c>
      <c r="Q106" s="33"/>
      <c r="R106" s="51">
        <v>18374085.5668942</v>
      </c>
      <c r="S106" s="33"/>
      <c r="T106" s="33">
        <v>70254908.678252101</v>
      </c>
      <c r="U106" s="30"/>
      <c r="V106" s="51">
        <v>138519.41404012</v>
      </c>
      <c r="W106" s="33"/>
      <c r="X106" s="51">
        <v>347920.831813558</v>
      </c>
      <c r="Y106" s="30"/>
      <c r="Z106" s="30">
        <f t="shared" si="31"/>
        <v>-15251292.186580259</v>
      </c>
      <c r="AA106" s="30"/>
      <c r="AB106" s="30">
        <f t="shared" si="32"/>
        <v>-114565737.22501941</v>
      </c>
      <c r="AC106" s="17"/>
      <c r="AD106" s="30"/>
      <c r="AE106" s="30"/>
      <c r="AF106" s="30">
        <f>AZ106/100*AF25</f>
        <v>5818863076.1121874</v>
      </c>
      <c r="AG106" s="34">
        <f t="shared" si="38"/>
        <v>-7.1997783004298568E-3</v>
      </c>
      <c r="AH106" s="34">
        <f t="shared" si="33"/>
        <v>-1.9688680714165439E-2</v>
      </c>
      <c r="AT106" s="29">
        <v>12285237</v>
      </c>
      <c r="AV106" s="29">
        <f t="shared" si="34"/>
        <v>-9.1684543688856136E-4</v>
      </c>
      <c r="AW106" s="53">
        <v>6194.7657631887796</v>
      </c>
      <c r="AX106" s="34">
        <f t="shared" si="35"/>
        <v>-6.2886986281822915E-3</v>
      </c>
      <c r="AY106" s="29">
        <f t="shared" si="39"/>
        <v>92.154368207353073</v>
      </c>
      <c r="AZ106" s="29">
        <f t="shared" si="40"/>
        <v>101.25001254404192</v>
      </c>
      <c r="BB106" s="34">
        <f t="shared" si="41"/>
        <v>1.3732561000287755E-2</v>
      </c>
    </row>
    <row r="107" spans="1:54" s="39" customFormat="1">
      <c r="A107" s="39">
        <f t="shared" si="36"/>
        <v>2038</v>
      </c>
      <c r="B107" s="39">
        <f t="shared" si="37"/>
        <v>2</v>
      </c>
      <c r="C107" s="40"/>
      <c r="D107" s="54">
        <v>163003404.01383799</v>
      </c>
      <c r="E107" s="40"/>
      <c r="F107" s="43">
        <v>29627798.187486202</v>
      </c>
      <c r="G107" s="57">
        <v>6795506</v>
      </c>
      <c r="H107" s="57">
        <v>37386869.013584398</v>
      </c>
      <c r="I107" s="57">
        <v>210170</v>
      </c>
      <c r="J107" s="57">
        <v>1156293.32982489</v>
      </c>
      <c r="K107" s="40"/>
      <c r="L107" s="54">
        <v>2421965.9234961201</v>
      </c>
      <c r="M107" s="43"/>
      <c r="N107" s="54">
        <v>1282497.0240790299</v>
      </c>
      <c r="O107" s="40"/>
      <c r="P107" s="54">
        <v>19623512.9192486</v>
      </c>
      <c r="Q107" s="43"/>
      <c r="R107" s="54">
        <v>20875836.539499201</v>
      </c>
      <c r="S107" s="43"/>
      <c r="T107" s="43">
        <v>79820570.353017002</v>
      </c>
      <c r="U107" s="40"/>
      <c r="V107" s="54">
        <v>135309.44730915499</v>
      </c>
      <c r="W107" s="43"/>
      <c r="X107" s="54">
        <v>339858.32084446301</v>
      </c>
      <c r="Y107" s="40"/>
      <c r="Z107" s="40">
        <f t="shared" si="31"/>
        <v>-12321115.148252994</v>
      </c>
      <c r="AA107" s="40"/>
      <c r="AB107" s="40">
        <f t="shared" si="32"/>
        <v>-102806346.58006959</v>
      </c>
      <c r="AC107" s="17"/>
      <c r="AD107" s="40"/>
      <c r="AE107" s="40"/>
      <c r="AF107" s="40">
        <f>AZ107/100*AF25</f>
        <v>5792557397.5271902</v>
      </c>
      <c r="AG107" s="44">
        <f t="shared" si="38"/>
        <v>-4.5207591656501117E-3</v>
      </c>
      <c r="AH107" s="44">
        <f t="shared" si="33"/>
        <v>-1.7748006540937691E-2</v>
      </c>
      <c r="AT107" s="39">
        <v>12213122</v>
      </c>
      <c r="AV107" s="39">
        <f t="shared" si="34"/>
        <v>-5.8700536261530809E-3</v>
      </c>
      <c r="AW107" s="56">
        <v>6203.1736812470499</v>
      </c>
      <c r="AX107" s="44">
        <f t="shared" si="35"/>
        <v>1.3572616592273359E-3</v>
      </c>
      <c r="AY107" s="39">
        <f t="shared" si="39"/>
        <v>92.279445798051228</v>
      </c>
      <c r="AZ107" s="39">
        <f t="shared" si="40"/>
        <v>100.79228562181123</v>
      </c>
      <c r="BB107" s="44">
        <f t="shared" si="41"/>
        <v>1.1965325196426381E-2</v>
      </c>
    </row>
    <row r="108" spans="1:54" s="39" customFormat="1">
      <c r="A108" s="39">
        <f t="shared" si="36"/>
        <v>2038</v>
      </c>
      <c r="B108" s="39">
        <f t="shared" si="37"/>
        <v>3</v>
      </c>
      <c r="C108" s="40"/>
      <c r="D108" s="54">
        <v>163880585.67829499</v>
      </c>
      <c r="E108" s="40"/>
      <c r="F108" s="43">
        <v>29787236.338397998</v>
      </c>
      <c r="G108" s="57">
        <v>6971727</v>
      </c>
      <c r="H108" s="57">
        <v>38356384.961983599</v>
      </c>
      <c r="I108" s="57">
        <v>215621</v>
      </c>
      <c r="J108" s="57">
        <v>1186283.12351988</v>
      </c>
      <c r="K108" s="40"/>
      <c r="L108" s="54">
        <v>2455297.4475603802</v>
      </c>
      <c r="M108" s="43"/>
      <c r="N108" s="54">
        <v>1288669.6186507801</v>
      </c>
      <c r="O108" s="40"/>
      <c r="P108" s="54">
        <v>19830430.1501933</v>
      </c>
      <c r="Q108" s="43"/>
      <c r="R108" s="54">
        <v>18210504.800664399</v>
      </c>
      <c r="S108" s="43"/>
      <c r="T108" s="43">
        <v>69629443.440749303</v>
      </c>
      <c r="U108" s="40"/>
      <c r="V108" s="54">
        <v>140915.31688671699</v>
      </c>
      <c r="W108" s="43"/>
      <c r="X108" s="54">
        <v>353938.649006252</v>
      </c>
      <c r="Y108" s="40"/>
      <c r="Z108" s="40">
        <f t="shared" si="31"/>
        <v>-15179783.287058044</v>
      </c>
      <c r="AA108" s="40"/>
      <c r="AB108" s="40">
        <f t="shared" si="32"/>
        <v>-114081572.38773899</v>
      </c>
      <c r="AC108" s="17"/>
      <c r="AD108" s="40"/>
      <c r="AE108" s="40"/>
      <c r="AF108" s="40">
        <f>AZ108/100*AF25</f>
        <v>5790717056.1589022</v>
      </c>
      <c r="AG108" s="44">
        <f t="shared" si="38"/>
        <v>-3.1770792104255567E-4</v>
      </c>
      <c r="AH108" s="44">
        <f t="shared" si="33"/>
        <v>-1.9700767846428255E-2</v>
      </c>
      <c r="AT108" s="39">
        <v>12273041</v>
      </c>
      <c r="AV108" s="39">
        <f t="shared" si="34"/>
        <v>4.9061165523442739E-3</v>
      </c>
      <c r="AW108" s="56">
        <v>6170.9275938215496</v>
      </c>
      <c r="AX108" s="44">
        <f t="shared" si="35"/>
        <v>-5.1983209051495874E-3</v>
      </c>
      <c r="AY108" s="39">
        <f t="shared" si="39"/>
        <v>91.799747625843594</v>
      </c>
      <c r="AZ108" s="39">
        <f t="shared" si="40"/>
        <v>100.7602631142892</v>
      </c>
      <c r="BB108" s="44">
        <f t="shared" si="41"/>
        <v>1.3684784790025903E-2</v>
      </c>
    </row>
    <row r="109" spans="1:54" s="39" customFormat="1">
      <c r="A109" s="39">
        <f t="shared" si="36"/>
        <v>2038</v>
      </c>
      <c r="B109" s="39">
        <f t="shared" si="37"/>
        <v>4</v>
      </c>
      <c r="C109" s="40"/>
      <c r="D109" s="54">
        <v>164594354.57704201</v>
      </c>
      <c r="E109" s="40"/>
      <c r="F109" s="43">
        <v>29916972.284788299</v>
      </c>
      <c r="G109" s="57">
        <v>7052311</v>
      </c>
      <c r="H109" s="57">
        <v>38799734.353859797</v>
      </c>
      <c r="I109" s="57">
        <v>218113</v>
      </c>
      <c r="J109" s="57">
        <v>1199993.3722610101</v>
      </c>
      <c r="K109" s="40"/>
      <c r="L109" s="54">
        <v>2449384.4469956602</v>
      </c>
      <c r="M109" s="43"/>
      <c r="N109" s="54">
        <v>1293907.9368692799</v>
      </c>
      <c r="O109" s="40"/>
      <c r="P109" s="54">
        <v>19828567.2434383</v>
      </c>
      <c r="Q109" s="43"/>
      <c r="R109" s="54">
        <v>20781558.7524166</v>
      </c>
      <c r="S109" s="43"/>
      <c r="T109" s="43">
        <v>79460091.062890604</v>
      </c>
      <c r="U109" s="40"/>
      <c r="V109" s="54">
        <v>147246.14360928099</v>
      </c>
      <c r="W109" s="43"/>
      <c r="X109" s="54">
        <v>369839.86050534202</v>
      </c>
      <c r="Y109" s="40"/>
      <c r="Z109" s="40">
        <f t="shared" si="31"/>
        <v>-12731459.772627357</v>
      </c>
      <c r="AA109" s="40"/>
      <c r="AB109" s="40">
        <f t="shared" si="32"/>
        <v>-104962830.75758971</v>
      </c>
      <c r="AC109" s="17"/>
      <c r="AD109" s="40"/>
      <c r="AE109" s="40"/>
      <c r="AF109" s="40">
        <f>AZ109/100*AF25</f>
        <v>5780980808.1601267</v>
      </c>
      <c r="AG109" s="44">
        <f t="shared" si="38"/>
        <v>-1.6813544686007727E-3</v>
      </c>
      <c r="AH109" s="44">
        <f t="shared" si="33"/>
        <v>-1.8156578310972723E-2</v>
      </c>
      <c r="AT109" s="39">
        <v>12243700</v>
      </c>
      <c r="AV109" s="39">
        <f t="shared" si="34"/>
        <v>-2.3906870351040137E-3</v>
      </c>
      <c r="AW109" s="56">
        <v>6175.3153234176398</v>
      </c>
      <c r="AX109" s="44">
        <f t="shared" si="35"/>
        <v>7.1103242249726244E-4</v>
      </c>
      <c r="AY109" s="39">
        <f t="shared" si="39"/>
        <v>91.865020222782633</v>
      </c>
      <c r="AZ109" s="39">
        <f t="shared" si="40"/>
        <v>100.5908493956446</v>
      </c>
      <c r="BB109" s="44">
        <f t="shared" si="41"/>
        <v>1.1961773953151296E-2</v>
      </c>
    </row>
    <row r="110" spans="1:54" s="29" customFormat="1">
      <c r="A110" s="29">
        <f t="shared" si="36"/>
        <v>2039</v>
      </c>
      <c r="B110" s="29">
        <f t="shared" si="37"/>
        <v>1</v>
      </c>
      <c r="C110" s="30"/>
      <c r="D110" s="51">
        <v>165598995.79925099</v>
      </c>
      <c r="E110" s="30"/>
      <c r="F110" s="33">
        <v>30099577.719089098</v>
      </c>
      <c r="G110" s="59">
        <v>7212874</v>
      </c>
      <c r="H110" s="59">
        <v>39683104.6061159</v>
      </c>
      <c r="I110" s="59">
        <v>223079</v>
      </c>
      <c r="J110" s="59">
        <v>1227314.83905413</v>
      </c>
      <c r="K110" s="30"/>
      <c r="L110" s="51">
        <v>2953925.7746326001</v>
      </c>
      <c r="M110" s="33"/>
      <c r="N110" s="51">
        <v>1301223.6191442399</v>
      </c>
      <c r="O110" s="30"/>
      <c r="P110" s="51">
        <v>22486883.316436499</v>
      </c>
      <c r="Q110" s="33"/>
      <c r="R110" s="51">
        <v>18114198.056226999</v>
      </c>
      <c r="S110" s="33"/>
      <c r="T110" s="33">
        <v>69261206.256323397</v>
      </c>
      <c r="U110" s="30"/>
      <c r="V110" s="51">
        <v>140903.61764606301</v>
      </c>
      <c r="W110" s="33"/>
      <c r="X110" s="51">
        <v>353909.263886714</v>
      </c>
      <c r="Y110" s="30"/>
      <c r="Z110" s="30">
        <f t="shared" ref="Z110:Z117" si="42">R110+V110-N110-L110-F110</f>
        <v>-16099625.438992873</v>
      </c>
      <c r="AA110" s="30"/>
      <c r="AB110" s="30">
        <f t="shared" ref="AB110:AB117" si="43">T110-P110-D110</f>
        <v>-118824672.85936409</v>
      </c>
      <c r="AC110" s="17"/>
      <c r="AD110" s="30"/>
      <c r="AE110" s="30"/>
      <c r="AF110" s="30">
        <f>AZ110/100*AF25</f>
        <v>5788302124.9339561</v>
      </c>
      <c r="AG110" s="34">
        <f t="shared" si="38"/>
        <v>1.2664488979958343E-3</v>
      </c>
      <c r="AH110" s="34">
        <f t="shared" ref="AH110:AH117" si="44">AB110/AF110</f>
        <v>-2.0528415810831552E-2</v>
      </c>
      <c r="AT110" s="29">
        <v>12269557</v>
      </c>
      <c r="AV110" s="29">
        <f t="shared" si="34"/>
        <v>2.1118616104608902E-3</v>
      </c>
      <c r="AW110" s="53">
        <v>6170.1056354797001</v>
      </c>
      <c r="AX110" s="34">
        <f t="shared" si="35"/>
        <v>-8.4363108037314072E-4</v>
      </c>
      <c r="AY110" s="29">
        <f t="shared" si="39"/>
        <v>91.787520036523588</v>
      </c>
      <c r="AZ110" s="29">
        <f t="shared" si="40"/>
        <v>100.71824256601018</v>
      </c>
      <c r="BB110" s="34">
        <f t="shared" si="41"/>
        <v>1.3705782603415529E-2</v>
      </c>
    </row>
    <row r="111" spans="1:54" s="39" customFormat="1">
      <c r="A111" s="39">
        <f t="shared" si="36"/>
        <v>2039</v>
      </c>
      <c r="B111" s="39">
        <f t="shared" si="37"/>
        <v>2</v>
      </c>
      <c r="C111" s="40"/>
      <c r="D111" s="54">
        <v>166489399.47071701</v>
      </c>
      <c r="E111" s="40"/>
      <c r="F111" s="43">
        <v>30261419.1262866</v>
      </c>
      <c r="G111" s="57">
        <v>7396843</v>
      </c>
      <c r="H111" s="57">
        <v>40695247.764485598</v>
      </c>
      <c r="I111" s="57">
        <v>228768</v>
      </c>
      <c r="J111" s="57">
        <v>1258614.03852777</v>
      </c>
      <c r="K111" s="40"/>
      <c r="L111" s="54">
        <v>2423370.9204787998</v>
      </c>
      <c r="M111" s="43"/>
      <c r="N111" s="54">
        <v>1307327.5949555601</v>
      </c>
      <c r="O111" s="40"/>
      <c r="P111" s="54">
        <v>19767413.930030599</v>
      </c>
      <c r="Q111" s="43"/>
      <c r="R111" s="54">
        <v>20639414.729934599</v>
      </c>
      <c r="S111" s="43"/>
      <c r="T111" s="43">
        <v>78916591.073066503</v>
      </c>
      <c r="U111" s="40"/>
      <c r="V111" s="54">
        <v>143223.532550893</v>
      </c>
      <c r="W111" s="43"/>
      <c r="X111" s="54">
        <v>359736.22127762</v>
      </c>
      <c r="Y111" s="40"/>
      <c r="Z111" s="40">
        <f t="shared" si="42"/>
        <v>-13209479.379235465</v>
      </c>
      <c r="AA111" s="40"/>
      <c r="AB111" s="40">
        <f t="shared" si="43"/>
        <v>-107340222.32768111</v>
      </c>
      <c r="AC111" s="17"/>
      <c r="AD111" s="40"/>
      <c r="AE111" s="40"/>
      <c r="AF111" s="40">
        <f>AZ111/100*AF25</f>
        <v>5757185932.948349</v>
      </c>
      <c r="AG111" s="44">
        <f t="shared" si="38"/>
        <v>-5.3757028078354118E-3</v>
      </c>
      <c r="AH111" s="44">
        <f t="shared" si="44"/>
        <v>-1.8644564128695845E-2</v>
      </c>
      <c r="AT111" s="39">
        <v>12191116</v>
      </c>
      <c r="AV111" s="39">
        <f t="shared" ref="AV111:AV117" si="45">(AT111-AT110)/AT110</f>
        <v>-6.3931403554341858E-3</v>
      </c>
      <c r="AW111" s="56">
        <v>6176.4237250593496</v>
      </c>
      <c r="AX111" s="44">
        <f t="shared" ref="AX111:AX117" si="46">(AW111-AW110)/AW110</f>
        <v>1.0239840211679438E-3</v>
      </c>
      <c r="AY111" s="39">
        <f t="shared" si="39"/>
        <v>91.881508990383608</v>
      </c>
      <c r="AZ111" s="39">
        <f t="shared" si="40"/>
        <v>100.17681122664784</v>
      </c>
      <c r="BB111" s="44" t="e">
        <f t="shared" si="41"/>
        <v>#DIV/0!</v>
      </c>
    </row>
    <row r="112" spans="1:54" s="39" customFormat="1">
      <c r="A112" s="39">
        <f t="shared" si="36"/>
        <v>2039</v>
      </c>
      <c r="B112" s="39">
        <f t="shared" si="37"/>
        <v>3</v>
      </c>
      <c r="C112" s="40"/>
      <c r="D112" s="54">
        <v>167573393.566838</v>
      </c>
      <c r="E112" s="40"/>
      <c r="F112" s="43">
        <v>30458447.884738602</v>
      </c>
      <c r="G112" s="57">
        <v>7488718</v>
      </c>
      <c r="H112" s="57">
        <v>41200716.906978197</v>
      </c>
      <c r="I112" s="57">
        <v>231610</v>
      </c>
      <c r="J112" s="57">
        <v>1274249.8840022001</v>
      </c>
      <c r="K112" s="40"/>
      <c r="L112" s="54">
        <v>2433605.7439693799</v>
      </c>
      <c r="M112" s="43"/>
      <c r="N112" s="54">
        <v>1315673.80698367</v>
      </c>
      <c r="O112" s="40"/>
      <c r="P112" s="54">
        <v>19866440.873825599</v>
      </c>
      <c r="Q112" s="43"/>
      <c r="R112" s="54">
        <v>18084143.055465002</v>
      </c>
      <c r="S112" s="43"/>
      <c r="T112" s="43">
        <v>69146288.355992198</v>
      </c>
      <c r="U112" s="40"/>
      <c r="V112" s="54">
        <v>144091.03988152</v>
      </c>
      <c r="W112" s="43"/>
      <c r="X112" s="54">
        <v>361915.14958285203</v>
      </c>
      <c r="Y112" s="40"/>
      <c r="Z112" s="40">
        <f t="shared" si="42"/>
        <v>-15979493.340345129</v>
      </c>
      <c r="AA112" s="40"/>
      <c r="AB112" s="40">
        <f t="shared" si="43"/>
        <v>-118293546.08467139</v>
      </c>
      <c r="AC112" s="17"/>
      <c r="AD112" s="40"/>
      <c r="AE112" s="40"/>
      <c r="AF112" s="40">
        <f>AZ112/100*AF25</f>
        <v>5749616627.4720812</v>
      </c>
      <c r="AG112" s="44">
        <f t="shared" si="38"/>
        <v>-1.3147578633770909E-3</v>
      </c>
      <c r="AH112" s="44">
        <f t="shared" si="44"/>
        <v>-2.0574162374488818E-2</v>
      </c>
      <c r="AT112" s="39">
        <v>12174433</v>
      </c>
      <c r="AV112" s="39">
        <f t="shared" si="45"/>
        <v>-1.3684555212172536E-3</v>
      </c>
      <c r="AW112" s="56">
        <v>6176.7558390304102</v>
      </c>
      <c r="AX112" s="44">
        <f t="shared" si="46"/>
        <v>5.3771241392188692E-5</v>
      </c>
      <c r="AY112" s="39">
        <f t="shared" si="39"/>
        <v>91.886449573183</v>
      </c>
      <c r="AZ112" s="39">
        <f t="shared" si="40"/>
        <v>100.04510297635956</v>
      </c>
      <c r="BB112" s="44" t="e">
        <f t="shared" si="41"/>
        <v>#DIV/0!</v>
      </c>
    </row>
    <row r="113" spans="1:54" s="39" customFormat="1">
      <c r="A113" s="39">
        <f t="shared" si="36"/>
        <v>2039</v>
      </c>
      <c r="B113" s="39">
        <f t="shared" si="37"/>
        <v>4</v>
      </c>
      <c r="C113" s="40"/>
      <c r="D113" s="54">
        <v>168145668.67421201</v>
      </c>
      <c r="E113" s="40"/>
      <c r="F113" s="43">
        <v>30562465.659653101</v>
      </c>
      <c r="G113" s="57">
        <v>7605147</v>
      </c>
      <c r="H113" s="57">
        <v>41841274.912869498</v>
      </c>
      <c r="I113" s="57">
        <v>235211</v>
      </c>
      <c r="J113" s="57">
        <v>1294061.52353544</v>
      </c>
      <c r="K113" s="40"/>
      <c r="L113" s="54">
        <v>2360932.8046347499</v>
      </c>
      <c r="M113" s="43"/>
      <c r="N113" s="54">
        <v>1319050.5440283499</v>
      </c>
      <c r="O113" s="40"/>
      <c r="P113" s="54">
        <v>19507918.4570668</v>
      </c>
      <c r="Q113" s="43"/>
      <c r="R113" s="54">
        <v>20723664.015064299</v>
      </c>
      <c r="S113" s="43"/>
      <c r="T113" s="43">
        <v>79238725.516788796</v>
      </c>
      <c r="U113" s="40"/>
      <c r="V113" s="54">
        <v>141911.49746013901</v>
      </c>
      <c r="W113" s="43"/>
      <c r="X113" s="54">
        <v>356440.76739985897</v>
      </c>
      <c r="Y113" s="40"/>
      <c r="Z113" s="40">
        <f t="shared" si="42"/>
        <v>-13376873.495791763</v>
      </c>
      <c r="AA113" s="40"/>
      <c r="AB113" s="40">
        <f t="shared" si="43"/>
        <v>-108414861.61449002</v>
      </c>
      <c r="AC113" s="17"/>
      <c r="AD113" s="40"/>
      <c r="AE113" s="40"/>
      <c r="AF113" s="40">
        <f>AZ113/100*AF25</f>
        <v>5770134610.3708124</v>
      </c>
      <c r="AG113" s="44">
        <f t="shared" si="38"/>
        <v>3.5685827817971091E-3</v>
      </c>
      <c r="AH113" s="44">
        <f t="shared" si="44"/>
        <v>-1.8788965758204875E-2</v>
      </c>
      <c r="AT113" s="39">
        <v>12224963</v>
      </c>
      <c r="AV113" s="39">
        <f t="shared" si="45"/>
        <v>4.1505013005533808E-3</v>
      </c>
      <c r="AW113" s="56">
        <v>6173.1763271903901</v>
      </c>
      <c r="AX113" s="44">
        <f t="shared" si="46"/>
        <v>-5.7951324826561741E-4</v>
      </c>
      <c r="AY113" s="39">
        <f t="shared" si="39"/>
        <v>91.833200158319244</v>
      </c>
      <c r="AZ113" s="39">
        <f t="shared" si="40"/>
        <v>100.40212220824411</v>
      </c>
      <c r="BB113" s="44" t="e">
        <f t="shared" si="41"/>
        <v>#DIV/0!</v>
      </c>
    </row>
    <row r="114" spans="1:54" s="29" customFormat="1">
      <c r="A114" s="29">
        <f t="shared" ref="A114:A117" si="47">A110+1</f>
        <v>2040</v>
      </c>
      <c r="B114" s="29">
        <f t="shared" ref="B114:B117" si="48">B110</f>
        <v>1</v>
      </c>
      <c r="C114" s="30"/>
      <c r="D114" s="51">
        <v>168880439.39072099</v>
      </c>
      <c r="E114" s="30"/>
      <c r="F114" s="33">
        <v>30696018.935024802</v>
      </c>
      <c r="G114" s="59">
        <v>7731204</v>
      </c>
      <c r="H114" s="59">
        <v>42534803.334041603</v>
      </c>
      <c r="I114" s="59">
        <v>239109</v>
      </c>
      <c r="J114" s="59">
        <v>1315507.1694395</v>
      </c>
      <c r="K114" s="30"/>
      <c r="L114" s="51">
        <v>2946890.12452691</v>
      </c>
      <c r="M114" s="33"/>
      <c r="N114" s="51">
        <v>1323652.19039523</v>
      </c>
      <c r="O114" s="30"/>
      <c r="P114" s="51">
        <v>22573770.676116601</v>
      </c>
      <c r="Q114" s="33"/>
      <c r="R114" s="51">
        <v>18039180.878567901</v>
      </c>
      <c r="S114" s="33"/>
      <c r="T114" s="33">
        <v>68974371.575677902</v>
      </c>
      <c r="U114" s="30"/>
      <c r="V114" s="51">
        <v>143126.537721375</v>
      </c>
      <c r="W114" s="33"/>
      <c r="X114" s="51">
        <v>359492.59823025699</v>
      </c>
      <c r="Y114" s="30"/>
      <c r="Z114" s="30">
        <f t="shared" si="42"/>
        <v>-16784253.833657663</v>
      </c>
      <c r="AA114" s="30"/>
      <c r="AB114" s="30">
        <f t="shared" si="43"/>
        <v>-122479838.49115969</v>
      </c>
      <c r="AC114" s="17"/>
      <c r="AD114" s="30"/>
      <c r="AE114" s="30"/>
      <c r="AF114" s="30">
        <f>AZ114/100*AF25</f>
        <v>5764521268.1957111</v>
      </c>
      <c r="AG114" s="34">
        <f t="shared" si="38"/>
        <v>-9.7282690164840783E-4</v>
      </c>
      <c r="AH114" s="34">
        <f t="shared" si="44"/>
        <v>-2.1247183034419744E-2</v>
      </c>
      <c r="AT114" s="29">
        <v>12191848</v>
      </c>
      <c r="AV114" s="29">
        <f t="shared" si="45"/>
        <v>-2.708801654450815E-3</v>
      </c>
      <c r="AW114" s="53">
        <v>6183.9219130998799</v>
      </c>
      <c r="AX114" s="34">
        <f t="shared" si="46"/>
        <v>1.7406899365825304E-3</v>
      </c>
      <c r="AY114" s="29">
        <f t="shared" si="39"/>
        <v>91.993053285679011</v>
      </c>
      <c r="AZ114" s="29">
        <f t="shared" si="40"/>
        <v>100.30444832277733</v>
      </c>
      <c r="BB114" s="34" t="e">
        <f t="shared" si="41"/>
        <v>#DIV/0!</v>
      </c>
    </row>
    <row r="115" spans="1:54" s="39" customFormat="1">
      <c r="A115" s="39">
        <f t="shared" si="47"/>
        <v>2040</v>
      </c>
      <c r="B115" s="39">
        <f t="shared" si="48"/>
        <v>2</v>
      </c>
      <c r="C115" s="40"/>
      <c r="D115" s="54">
        <v>169996533.20082799</v>
      </c>
      <c r="E115" s="40"/>
      <c r="F115" s="43">
        <v>30898882.1964655</v>
      </c>
      <c r="G115" s="57">
        <v>7881446</v>
      </c>
      <c r="H115" s="57">
        <v>43361390.489485003</v>
      </c>
      <c r="I115" s="57">
        <v>243756</v>
      </c>
      <c r="J115" s="57">
        <v>1341073.5923528399</v>
      </c>
      <c r="K115" s="40"/>
      <c r="L115" s="54">
        <v>2366107.62036156</v>
      </c>
      <c r="M115" s="43"/>
      <c r="N115" s="54">
        <v>1330936.40685563</v>
      </c>
      <c r="O115" s="40"/>
      <c r="P115" s="54">
        <v>19600163.110852499</v>
      </c>
      <c r="Q115" s="43"/>
      <c r="R115" s="54">
        <v>20751288.3001609</v>
      </c>
      <c r="S115" s="43"/>
      <c r="T115" s="43">
        <v>79344349.365099296</v>
      </c>
      <c r="U115" s="40"/>
      <c r="V115" s="54">
        <v>139463.72334887099</v>
      </c>
      <c r="W115" s="43"/>
      <c r="X115" s="54">
        <v>350292.66454521299</v>
      </c>
      <c r="Y115" s="40"/>
      <c r="Z115" s="40">
        <f t="shared" si="42"/>
        <v>-13705174.20017292</v>
      </c>
      <c r="AA115" s="40"/>
      <c r="AB115" s="40">
        <f t="shared" si="43"/>
        <v>-110252346.94658118</v>
      </c>
      <c r="AC115" s="17"/>
      <c r="AD115" s="40"/>
      <c r="AE115" s="40"/>
      <c r="AF115" s="40">
        <f>AZ115/100*AF25</f>
        <v>5797997599.7086258</v>
      </c>
      <c r="AG115" s="44">
        <f t="shared" si="38"/>
        <v>5.8073047102127724E-3</v>
      </c>
      <c r="AH115" s="44">
        <f t="shared" si="44"/>
        <v>-1.9015590305198098E-2</v>
      </c>
      <c r="AT115" s="39">
        <v>12321150</v>
      </c>
      <c r="AV115" s="39">
        <f t="shared" si="45"/>
        <v>1.0605611224811858E-2</v>
      </c>
      <c r="AW115" s="56">
        <v>6154.5609512451001</v>
      </c>
      <c r="AX115" s="44">
        <f t="shared" si="46"/>
        <v>-4.747951585963953E-3</v>
      </c>
      <c r="AY115" s="39">
        <f t="shared" si="39"/>
        <v>91.556274722433599</v>
      </c>
      <c r="AZ115" s="39">
        <f t="shared" si="40"/>
        <v>100.8869468179775</v>
      </c>
      <c r="BB115" s="44" t="e">
        <f t="shared" si="41"/>
        <v>#DIV/0!</v>
      </c>
    </row>
    <row r="116" spans="1:54" s="39" customFormat="1">
      <c r="A116" s="39">
        <f t="shared" si="47"/>
        <v>2040</v>
      </c>
      <c r="B116" s="39">
        <f t="shared" si="48"/>
        <v>3</v>
      </c>
      <c r="C116" s="40"/>
      <c r="D116" s="54">
        <v>170907485.50312501</v>
      </c>
      <c r="E116" s="40"/>
      <c r="F116" s="43">
        <v>31064458.560555201</v>
      </c>
      <c r="G116" s="57">
        <v>7948140</v>
      </c>
      <c r="H116" s="57">
        <v>43728321.199573703</v>
      </c>
      <c r="I116" s="57">
        <v>245818</v>
      </c>
      <c r="J116" s="57">
        <v>1352418.1079644801</v>
      </c>
      <c r="K116" s="40"/>
      <c r="L116" s="54">
        <v>2426841.9123781701</v>
      </c>
      <c r="M116" s="43"/>
      <c r="N116" s="54">
        <v>1338223.4327092001</v>
      </c>
      <c r="O116" s="40"/>
      <c r="P116" s="54">
        <v>19955404.707071502</v>
      </c>
      <c r="Q116" s="43"/>
      <c r="R116" s="54">
        <v>18165302.6144908</v>
      </c>
      <c r="S116" s="43"/>
      <c r="T116" s="43">
        <v>69456608.964164302</v>
      </c>
      <c r="U116" s="40"/>
      <c r="V116" s="54">
        <v>139846.75981124199</v>
      </c>
      <c r="W116" s="43"/>
      <c r="X116" s="54">
        <v>351254.74170621199</v>
      </c>
      <c r="Y116" s="40"/>
      <c r="Z116" s="40">
        <f t="shared" si="42"/>
        <v>-16524374.531340528</v>
      </c>
      <c r="AA116" s="40"/>
      <c r="AB116" s="40">
        <f t="shared" si="43"/>
        <v>-121406281.24603221</v>
      </c>
      <c r="AC116" s="17"/>
      <c r="AD116" s="40"/>
      <c r="AE116" s="40"/>
      <c r="AF116" s="40">
        <f>AZ116/100*AF25</f>
        <v>5806547526.8295097</v>
      </c>
      <c r="AG116" s="44">
        <f t="shared" si="38"/>
        <v>1.4746344705823286E-3</v>
      </c>
      <c r="AH116" s="44">
        <f t="shared" si="44"/>
        <v>-2.0908514170437258E-2</v>
      </c>
      <c r="AT116" s="39">
        <v>12358523</v>
      </c>
      <c r="AV116" s="39">
        <f t="shared" si="45"/>
        <v>3.0332395920835311E-3</v>
      </c>
      <c r="AW116" s="56">
        <v>6144.9974294787598</v>
      </c>
      <c r="AX116" s="44">
        <f t="shared" si="46"/>
        <v>-1.5538917953855868E-3</v>
      </c>
      <c r="AY116" s="39">
        <f t="shared" si="39"/>
        <v>91.414006178326346</v>
      </c>
      <c r="AZ116" s="39">
        <f t="shared" si="40"/>
        <v>101.0357181873871</v>
      </c>
      <c r="BB116" s="44" t="e">
        <f t="shared" si="41"/>
        <v>#DIV/0!</v>
      </c>
    </row>
    <row r="117" spans="1:54" s="39" customFormat="1">
      <c r="A117" s="39">
        <f t="shared" si="47"/>
        <v>2040</v>
      </c>
      <c r="B117" s="39">
        <f t="shared" si="48"/>
        <v>4</v>
      </c>
      <c r="C117" s="40"/>
      <c r="D117" s="54">
        <v>171902555.653795</v>
      </c>
      <c r="E117" s="40"/>
      <c r="F117" s="43">
        <v>31245324.339308701</v>
      </c>
      <c r="G117" s="57">
        <v>8054085</v>
      </c>
      <c r="H117" s="57">
        <v>44311199.330745101</v>
      </c>
      <c r="I117" s="57">
        <v>249095</v>
      </c>
      <c r="J117" s="57">
        <v>1370447.19509317</v>
      </c>
      <c r="K117" s="40"/>
      <c r="L117" s="54">
        <v>2366492.5534584201</v>
      </c>
      <c r="M117" s="43"/>
      <c r="N117" s="54">
        <v>1346768.4399546101</v>
      </c>
      <c r="O117" s="40"/>
      <c r="P117" s="54">
        <v>19689263.705427598</v>
      </c>
      <c r="Q117" s="43"/>
      <c r="R117" s="54">
        <v>20797703.706645701</v>
      </c>
      <c r="S117" s="43"/>
      <c r="T117" s="43">
        <v>79521822.694696307</v>
      </c>
      <c r="U117" s="40"/>
      <c r="V117" s="54">
        <v>136010.477382688</v>
      </c>
      <c r="W117" s="43"/>
      <c r="X117" s="54">
        <v>341619.10627659899</v>
      </c>
      <c r="Y117" s="40"/>
      <c r="Z117" s="40">
        <f t="shared" si="42"/>
        <v>-14024871.148693338</v>
      </c>
      <c r="AA117" s="40"/>
      <c r="AB117" s="40">
        <f t="shared" si="43"/>
        <v>-112069996.6645263</v>
      </c>
      <c r="AC117" s="17"/>
      <c r="AD117" s="40"/>
      <c r="AE117" s="40"/>
      <c r="AF117" s="40">
        <f>AZ117/100*AF25</f>
        <v>5802063624.9461002</v>
      </c>
      <c r="AG117" s="44">
        <f t="shared" si="38"/>
        <v>-7.7221479074981406E-4</v>
      </c>
      <c r="AH117" s="44">
        <f t="shared" si="44"/>
        <v>-1.9315540798739071E-2</v>
      </c>
      <c r="AT117" s="39">
        <v>12273086</v>
      </c>
      <c r="AV117" s="39">
        <f t="shared" si="45"/>
        <v>-6.9132047575588117E-3</v>
      </c>
      <c r="AW117" s="56">
        <v>6182.99649234142</v>
      </c>
      <c r="AX117" s="44">
        <f t="shared" si="46"/>
        <v>6.1837394236116637E-3</v>
      </c>
      <c r="AY117" s="39">
        <f t="shared" si="39"/>
        <v>91.979286572201545</v>
      </c>
      <c r="AZ117" s="39">
        <f t="shared" si="40"/>
        <v>100.95769691140876</v>
      </c>
      <c r="BB117" s="44" t="e">
        <f t="shared" si="41"/>
        <v>#DIV/0!</v>
      </c>
    </row>
  </sheetData>
  <mergeCells count="3">
    <mergeCell ref="AK1:AL1"/>
    <mergeCell ref="AO1:AP1"/>
    <mergeCell ref="AQ1:AR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9"/>
  <sheetViews>
    <sheetView topLeftCell="AW1" zoomScale="125" zoomScaleNormal="125" zoomScalePageLayoutView="125" workbookViewId="0">
      <selection activeCell="BA29" sqref="BA29"/>
    </sheetView>
  </sheetViews>
  <sheetFormatPr baseColWidth="10" defaultColWidth="8.83203125" defaultRowHeight="12" x14ac:dyDescent="0"/>
  <cols>
    <col min="3" max="6" width="12.6640625" customWidth="1"/>
    <col min="7" max="10" width="8.83203125" style="1"/>
    <col min="15" max="15" width="12.83203125" customWidth="1"/>
    <col min="16" max="16" width="11.33203125" customWidth="1"/>
    <col min="18" max="21" width="12.6640625" customWidth="1"/>
  </cols>
  <sheetData>
    <row r="1" spans="1:61" s="6" customFormat="1" ht="50.25" customHeight="1">
      <c r="A1" s="2" t="s">
        <v>0</v>
      </c>
      <c r="B1" s="2" t="s">
        <v>1</v>
      </c>
      <c r="C1" s="2" t="s">
        <v>47</v>
      </c>
      <c r="D1" s="2"/>
      <c r="E1" s="2" t="s">
        <v>48</v>
      </c>
      <c r="F1" s="2"/>
      <c r="G1" s="3" t="s">
        <v>4</v>
      </c>
      <c r="H1" s="3"/>
      <c r="I1" s="3" t="s">
        <v>5</v>
      </c>
      <c r="J1" s="3"/>
      <c r="K1" s="2" t="s">
        <v>6</v>
      </c>
      <c r="L1" s="2"/>
      <c r="M1" s="4" t="s">
        <v>7</v>
      </c>
      <c r="N1" s="2"/>
      <c r="O1" s="2" t="s">
        <v>8</v>
      </c>
      <c r="P1" s="5"/>
      <c r="Q1" s="2" t="s">
        <v>9</v>
      </c>
      <c r="R1" s="2"/>
      <c r="S1" s="2" t="s">
        <v>10</v>
      </c>
      <c r="T1" s="2"/>
      <c r="U1" s="5" t="s">
        <v>11</v>
      </c>
      <c r="V1" s="2"/>
      <c r="W1" s="2" t="s">
        <v>12</v>
      </c>
      <c r="X1" s="2"/>
      <c r="Y1" s="6" t="s">
        <v>13</v>
      </c>
      <c r="AA1" s="6" t="s">
        <v>14</v>
      </c>
      <c r="AD1" s="6" t="s">
        <v>15</v>
      </c>
      <c r="AE1" s="6" t="s">
        <v>16</v>
      </c>
      <c r="AF1" s="6" t="s">
        <v>17</v>
      </c>
      <c r="AH1" s="6" t="s">
        <v>19</v>
      </c>
      <c r="AI1" s="7" t="s">
        <v>20</v>
      </c>
      <c r="AJ1" s="7"/>
      <c r="AK1" s="64" t="s">
        <v>21</v>
      </c>
      <c r="AL1" s="64"/>
      <c r="AM1" s="8" t="s">
        <v>22</v>
      </c>
      <c r="AN1" s="9" t="s">
        <v>23</v>
      </c>
      <c r="AO1" s="64" t="s">
        <v>24</v>
      </c>
      <c r="AP1" s="64"/>
      <c r="AQ1" s="64" t="s">
        <v>25</v>
      </c>
      <c r="AR1" s="64"/>
      <c r="AT1" s="6" t="s">
        <v>27</v>
      </c>
      <c r="AV1" s="6" t="s">
        <v>28</v>
      </c>
      <c r="AX1" s="6" t="s">
        <v>29</v>
      </c>
      <c r="AZ1" s="6" t="s">
        <v>50</v>
      </c>
      <c r="BC1" s="6" t="s">
        <v>31</v>
      </c>
      <c r="BE1" s="6" t="s">
        <v>32</v>
      </c>
      <c r="BF1" s="6" t="s">
        <v>33</v>
      </c>
      <c r="BG1" s="6" t="s">
        <v>34</v>
      </c>
      <c r="BH1" s="6" t="s">
        <v>35</v>
      </c>
      <c r="BI1" s="7" t="s">
        <v>51</v>
      </c>
    </row>
    <row r="2" spans="1:61" s="10" customFormat="1">
      <c r="C2" s="10" t="s">
        <v>37</v>
      </c>
      <c r="D2" s="10" t="s">
        <v>38</v>
      </c>
      <c r="E2" s="10" t="s">
        <v>37</v>
      </c>
      <c r="F2" s="11" t="s">
        <v>38</v>
      </c>
      <c r="G2" s="12" t="s">
        <v>39</v>
      </c>
      <c r="H2" s="12" t="s">
        <v>40</v>
      </c>
      <c r="I2" s="12" t="s">
        <v>39</v>
      </c>
      <c r="J2" s="13" t="s">
        <v>40</v>
      </c>
      <c r="K2" s="10" t="s">
        <v>37</v>
      </c>
      <c r="L2" s="11" t="s">
        <v>38</v>
      </c>
      <c r="M2" s="11" t="s">
        <v>37</v>
      </c>
      <c r="N2" s="11" t="s">
        <v>38</v>
      </c>
      <c r="O2" s="10" t="s">
        <v>37</v>
      </c>
      <c r="P2" s="10" t="s">
        <v>38</v>
      </c>
      <c r="Q2" s="11" t="s">
        <v>37</v>
      </c>
      <c r="R2" s="11" t="s">
        <v>38</v>
      </c>
      <c r="S2" s="11" t="s">
        <v>37</v>
      </c>
      <c r="T2" s="10" t="s">
        <v>38</v>
      </c>
      <c r="U2" s="10" t="s">
        <v>37</v>
      </c>
      <c r="V2" s="10" t="s">
        <v>38</v>
      </c>
      <c r="W2" s="10" t="s">
        <v>37</v>
      </c>
      <c r="X2" s="11" t="s">
        <v>38</v>
      </c>
      <c r="AC2" s="6"/>
      <c r="AI2" s="14"/>
      <c r="AJ2" s="14"/>
      <c r="AK2" s="14"/>
      <c r="AL2" s="14"/>
      <c r="AM2" s="14"/>
      <c r="AN2" s="14"/>
      <c r="AO2" s="14"/>
      <c r="AP2" s="14"/>
      <c r="AQ2" s="14"/>
      <c r="AR2" s="14"/>
      <c r="AT2" s="10" t="s">
        <v>41</v>
      </c>
      <c r="AU2" s="10" t="s">
        <v>39</v>
      </c>
      <c r="AV2" s="10" t="s">
        <v>41</v>
      </c>
      <c r="AW2" s="10" t="s">
        <v>39</v>
      </c>
      <c r="AX2" s="10" t="s">
        <v>42</v>
      </c>
      <c r="AY2" s="10" t="s">
        <v>43</v>
      </c>
      <c r="BI2" s="14"/>
    </row>
    <row r="3" spans="1:61">
      <c r="A3" s="10">
        <v>2014</v>
      </c>
      <c r="B3" s="10">
        <v>1</v>
      </c>
      <c r="C3" s="11">
        <v>73541829.264479399</v>
      </c>
      <c r="D3" s="11"/>
      <c r="E3" s="11">
        <v>13367097.642000001</v>
      </c>
      <c r="F3" s="11"/>
      <c r="G3" s="12"/>
      <c r="H3" s="12"/>
      <c r="I3" s="12"/>
      <c r="J3" s="15"/>
      <c r="K3" s="16">
        <v>2431521.2590999999</v>
      </c>
      <c r="L3" s="11"/>
      <c r="M3" s="11">
        <v>552644.92299999902</v>
      </c>
      <c r="N3" s="11"/>
      <c r="O3" s="11">
        <v>15657663.7612308</v>
      </c>
      <c r="P3" s="11"/>
      <c r="Q3" s="11">
        <v>16188956.83674</v>
      </c>
      <c r="R3" s="11"/>
      <c r="S3" s="11">
        <v>61899879.651203699</v>
      </c>
      <c r="T3" s="11"/>
      <c r="U3" s="11">
        <v>147745.90426000001</v>
      </c>
      <c r="V3" s="16"/>
      <c r="W3" s="16">
        <v>371095.07358448301</v>
      </c>
      <c r="X3" s="11"/>
      <c r="Y3" s="11">
        <f t="shared" ref="Y3:Y8" si="0">Q3+U3-M3-K3-E3</f>
        <v>-14561.083099998534</v>
      </c>
      <c r="Z3" s="11"/>
      <c r="AA3" s="11">
        <f t="shared" ref="AA3:AA8" si="1">S3-O3-C3</f>
        <v>-27299613.374506503</v>
      </c>
      <c r="AB3" s="11"/>
      <c r="AC3" s="17"/>
      <c r="AD3" s="11">
        <v>3917648861.1710801</v>
      </c>
      <c r="AE3" s="11">
        <v>87.364011981999994</v>
      </c>
      <c r="AF3" s="11">
        <f>AD3*100/AE3</f>
        <v>4484282225.9333181</v>
      </c>
      <c r="AG3" s="11"/>
      <c r="AH3" s="18">
        <f>AA3/AF3</f>
        <v>-6.087844609027615E-3</v>
      </c>
      <c r="AI3" s="14">
        <v>2014</v>
      </c>
      <c r="AJ3" s="19">
        <f>(SUM(AA3:AA6)/AVERAGE(AF3:AF6))</f>
        <v>-2.0764450566254731E-2</v>
      </c>
      <c r="AK3" s="19"/>
      <c r="AL3" s="19"/>
      <c r="AM3" s="19"/>
      <c r="AN3" s="19"/>
      <c r="AO3" s="16" t="s">
        <v>44</v>
      </c>
      <c r="AP3" s="19" t="s">
        <v>45</v>
      </c>
      <c r="AQ3" s="19" t="s">
        <v>44</v>
      </c>
      <c r="AR3" s="19" t="s">
        <v>45</v>
      </c>
      <c r="AT3" s="10">
        <v>10923418</v>
      </c>
      <c r="BC3" s="18">
        <f>S3/AF3</f>
        <v>1.3803743059084649E-2</v>
      </c>
      <c r="BD3" s="10">
        <v>2014</v>
      </c>
      <c r="BE3" s="18">
        <f>(SUM(S3:S6)/AVERAGE(AF3:AF6))</f>
        <v>5.6918105137217651E-2</v>
      </c>
      <c r="BF3" s="18">
        <f>(SUM(O3:O6)/AVERAGE(AF3:AF6))</f>
        <v>1.3201759021596645E-2</v>
      </c>
      <c r="BG3" s="18">
        <f>(SUM(C3:C6)/AVERAGE(AF3:AF6))</f>
        <v>6.4480796681875729E-2</v>
      </c>
      <c r="BH3" s="18">
        <f>(SUM(H3:H6)+SUM(J3:J6))/AVERAGE(AF3:AF6)</f>
        <v>0</v>
      </c>
      <c r="BI3" s="19">
        <f t="shared" ref="BI3:BI29" si="2">AJ3-BH3</f>
        <v>-2.0764450566254731E-2</v>
      </c>
    </row>
    <row r="4" spans="1:61">
      <c r="A4" s="10">
        <v>2014</v>
      </c>
      <c r="B4" s="10">
        <v>2</v>
      </c>
      <c r="C4" s="11">
        <v>76536005.645554796</v>
      </c>
      <c r="D4" s="11"/>
      <c r="E4" s="11">
        <v>13911324.754000001</v>
      </c>
      <c r="F4" s="11"/>
      <c r="G4" s="12"/>
      <c r="H4" s="12"/>
      <c r="I4" s="12"/>
      <c r="J4" s="15"/>
      <c r="K4" s="16">
        <v>2156056.4542999999</v>
      </c>
      <c r="L4" s="11"/>
      <c r="M4" s="11">
        <v>571465.44299999997</v>
      </c>
      <c r="N4" s="11"/>
      <c r="O4" s="11">
        <v>14331816.6540251</v>
      </c>
      <c r="P4" s="11"/>
      <c r="Q4" s="11">
        <v>18889074.98367</v>
      </c>
      <c r="R4" s="11"/>
      <c r="S4" s="11">
        <v>72224015.420081005</v>
      </c>
      <c r="T4" s="11"/>
      <c r="U4" s="11">
        <v>150093.53833000001</v>
      </c>
      <c r="V4" s="16"/>
      <c r="W4" s="16">
        <v>376991.65286577999</v>
      </c>
      <c r="X4" s="11"/>
      <c r="Y4" s="11">
        <f t="shared" si="0"/>
        <v>2400321.8706999999</v>
      </c>
      <c r="Z4" s="11"/>
      <c r="AA4" s="11">
        <f t="shared" si="1"/>
        <v>-18643806.879498892</v>
      </c>
      <c r="AB4" s="11"/>
      <c r="AC4" s="17"/>
      <c r="AD4" s="11">
        <v>4702629524.92031</v>
      </c>
      <c r="AE4" s="11">
        <v>92.542254682000006</v>
      </c>
      <c r="AF4" s="11">
        <f>AD4*100/AE4</f>
        <v>5081602497.2374029</v>
      </c>
      <c r="AG4" s="11"/>
      <c r="AH4" s="18">
        <f>AA4/AF4</f>
        <v>-3.6688833669368155E-3</v>
      </c>
      <c r="AI4" s="14">
        <v>2015</v>
      </c>
      <c r="AJ4" s="19">
        <f>SUM(AB14:AB17)/AVERAGE(AF14:AF17)</f>
        <v>-3.2822266915484608E-2</v>
      </c>
      <c r="AK4" s="19"/>
      <c r="AL4" s="19"/>
      <c r="AM4" s="19"/>
      <c r="AN4" s="19"/>
      <c r="AO4" s="11">
        <v>545118865</v>
      </c>
      <c r="AP4" s="11">
        <f>AO4</f>
        <v>545118865</v>
      </c>
      <c r="AQ4" s="21">
        <f>AO4/AF17</f>
        <v>9.6335892011156887E-2</v>
      </c>
      <c r="AR4" s="21">
        <f>AP4/AF17</f>
        <v>9.6335892011156887E-2</v>
      </c>
      <c r="AT4" s="10">
        <v>10933469</v>
      </c>
      <c r="AV4" s="10">
        <f t="shared" ref="AV4:AV12" si="3">(AT4-AT3)/AT3</f>
        <v>9.2013324034656552E-4</v>
      </c>
      <c r="BC4" s="18">
        <f>S4/AF4</f>
        <v>1.4212842397520341E-2</v>
      </c>
      <c r="BD4" s="10">
        <v>2015</v>
      </c>
      <c r="BE4" s="18">
        <f>SUM(T14:T17)/AVERAGE(AF14:AF17)</f>
        <v>5.8016302548056807E-2</v>
      </c>
      <c r="BF4" s="18">
        <f>SUM(P14:P17)/AVERAGE(AF14:AF17)</f>
        <v>1.283063277265906E-2</v>
      </c>
      <c r="BG4" s="18">
        <f>SUM(D14:D17)/AVERAGE(AF14:AF17)</f>
        <v>7.8007936690882351E-2</v>
      </c>
      <c r="BH4" s="18">
        <f>(SUM(H14:H17)+SUM(J14:J17))/AVERAGE(AF14:AF17)</f>
        <v>0</v>
      </c>
      <c r="BI4" s="19">
        <f t="shared" si="2"/>
        <v>-3.2822266915484608E-2</v>
      </c>
    </row>
    <row r="5" spans="1:61">
      <c r="A5" s="10">
        <v>2014</v>
      </c>
      <c r="B5" s="10">
        <v>3</v>
      </c>
      <c r="C5" s="11">
        <v>79948619.698482305</v>
      </c>
      <c r="D5" s="11"/>
      <c r="E5" s="11">
        <v>14531608.437999999</v>
      </c>
      <c r="F5" s="11"/>
      <c r="G5" s="12"/>
      <c r="H5" s="12"/>
      <c r="I5" s="12"/>
      <c r="J5" s="15"/>
      <c r="K5" s="16">
        <v>2697105.9034000002</v>
      </c>
      <c r="L5" s="11"/>
      <c r="M5" s="11">
        <v>618357.67000000004</v>
      </c>
      <c r="N5" s="11"/>
      <c r="O5" s="11">
        <v>17397319.126396801</v>
      </c>
      <c r="P5" s="11"/>
      <c r="Q5" s="11">
        <v>16666086.76898</v>
      </c>
      <c r="R5" s="11"/>
      <c r="S5" s="11">
        <v>63724227.302598797</v>
      </c>
      <c r="T5" s="11"/>
      <c r="U5" s="11">
        <v>145660.84302</v>
      </c>
      <c r="V5" s="16"/>
      <c r="W5" s="16">
        <v>365858.00147638301</v>
      </c>
      <c r="X5" s="11"/>
      <c r="Y5" s="11">
        <f t="shared" si="0"/>
        <v>-1035324.3993999995</v>
      </c>
      <c r="Z5" s="11"/>
      <c r="AA5" s="11">
        <f t="shared" si="1"/>
        <v>-33621711.522280306</v>
      </c>
      <c r="AB5" s="11"/>
      <c r="AC5" s="17"/>
      <c r="AD5" s="11">
        <v>4685503118.6782703</v>
      </c>
      <c r="AE5" s="11">
        <v>96.348619912999993</v>
      </c>
      <c r="AF5" s="11">
        <f>AD5*100/AE5</f>
        <v>4863072374.995245</v>
      </c>
      <c r="AG5" s="11"/>
      <c r="AH5" s="18">
        <f>AA5/AF5</f>
        <v>-6.9136769781908049E-3</v>
      </c>
      <c r="AI5" s="14">
        <v>2016</v>
      </c>
      <c r="AJ5" s="19">
        <f>SUM(AB18:AB21)/AVERAGE(AF18:AF21)</f>
        <v>-3.0568238624316336E-2</v>
      </c>
      <c r="AK5" s="19"/>
      <c r="AL5" s="19"/>
      <c r="AM5" s="19"/>
      <c r="AN5" s="19"/>
      <c r="AO5" s="11">
        <v>527406836</v>
      </c>
      <c r="AP5" s="11">
        <f>AO5</f>
        <v>527406836</v>
      </c>
      <c r="AQ5" s="21">
        <f>AO5/AF21</f>
        <v>9.6733053127945015E-2</v>
      </c>
      <c r="AR5" s="21">
        <f>AP5/AF21</f>
        <v>9.6733053127945015E-2</v>
      </c>
      <c r="AT5" s="10">
        <v>10927942</v>
      </c>
      <c r="AV5" s="10">
        <f t="shared" si="3"/>
        <v>-5.0551202001853203E-4</v>
      </c>
      <c r="BC5" s="18">
        <f>S5/AF5</f>
        <v>1.3103697084635945E-2</v>
      </c>
      <c r="BD5" s="10">
        <v>2016</v>
      </c>
      <c r="BE5" s="18">
        <f>SUM(T18:T21)/AVERAGE(AF18:AF21)</f>
        <v>5.6853574673360385E-2</v>
      </c>
      <c r="BF5" s="18">
        <f>SUM(P18:P21)/AVERAGE(AF18:AF21)</f>
        <v>1.2680665697137246E-2</v>
      </c>
      <c r="BG5" s="18">
        <f>SUM(D18:D21)/AVERAGE(AF18:AF21)</f>
        <v>7.4741147600539459E-2</v>
      </c>
      <c r="BH5" s="18">
        <f>(SUM(H18:H21)+SUM(J18:J21))/AVERAGE(AF18:AF21)</f>
        <v>2.3570041187072876E-5</v>
      </c>
      <c r="BI5" s="19">
        <f t="shared" si="2"/>
        <v>-3.0591808665503407E-2</v>
      </c>
    </row>
    <row r="6" spans="1:61">
      <c r="A6" s="10">
        <v>2014</v>
      </c>
      <c r="B6" s="10">
        <v>4</v>
      </c>
      <c r="C6" s="11">
        <v>83342500.446047202</v>
      </c>
      <c r="D6" s="11"/>
      <c r="E6" s="11">
        <v>15148485.804</v>
      </c>
      <c r="F6" s="11"/>
      <c r="G6" s="12"/>
      <c r="H6" s="12"/>
      <c r="I6" s="12"/>
      <c r="J6" s="15"/>
      <c r="K6" s="16">
        <v>2598760.7445</v>
      </c>
      <c r="L6" s="11"/>
      <c r="M6" s="11">
        <v>597485.603</v>
      </c>
      <c r="N6" s="11"/>
      <c r="O6" s="11">
        <v>16772169.366415</v>
      </c>
      <c r="P6" s="11"/>
      <c r="Q6" s="11">
        <v>20600306.344000001</v>
      </c>
      <c r="R6" s="11"/>
      <c r="S6" s="11">
        <v>78767056.8481365</v>
      </c>
      <c r="T6" s="11"/>
      <c r="U6" s="11">
        <v>143630.44399999999</v>
      </c>
      <c r="V6" s="16"/>
      <c r="W6" s="16">
        <v>360758.22508998099</v>
      </c>
      <c r="X6" s="11"/>
      <c r="Y6" s="11">
        <f t="shared" si="0"/>
        <v>2399204.6364999991</v>
      </c>
      <c r="Z6" s="11"/>
      <c r="AA6" s="11">
        <f t="shared" si="1"/>
        <v>-21347612.964325704</v>
      </c>
      <c r="AB6" s="11"/>
      <c r="AC6" s="17"/>
      <c r="AD6" s="11">
        <v>5010564196.8707304</v>
      </c>
      <c r="AE6" s="11">
        <v>100</v>
      </c>
      <c r="AF6" s="11">
        <f>AD6*100/AE6</f>
        <v>5010564196.8707304</v>
      </c>
      <c r="AG6" s="11"/>
      <c r="AH6" s="18">
        <f>AA6/AF6</f>
        <v>-4.260520796771354E-3</v>
      </c>
      <c r="AI6" s="14">
        <v>2017</v>
      </c>
      <c r="AJ6" s="19">
        <f>SUM(AB22:AB25)/AVERAGE(AF22:AF25)</f>
        <v>-3.5813677564702238E-2</v>
      </c>
      <c r="AK6" s="19"/>
      <c r="AL6" s="19"/>
      <c r="AM6" s="19"/>
      <c r="AN6" s="11">
        <v>46349018</v>
      </c>
      <c r="AO6" s="11">
        <v>580675520</v>
      </c>
      <c r="AP6" s="11">
        <f>AO6</f>
        <v>580675520</v>
      </c>
      <c r="AQ6" s="21">
        <f>AO6/AF25</f>
        <v>0.10103933176461725</v>
      </c>
      <c r="AR6" s="21">
        <f>AP6/AF25</f>
        <v>0.10103933176461725</v>
      </c>
      <c r="AT6" s="10">
        <v>11163575</v>
      </c>
      <c r="AV6" s="10">
        <f t="shared" si="3"/>
        <v>2.1562431425789046E-2</v>
      </c>
      <c r="BC6" s="18">
        <f>S6/AF6</f>
        <v>1.5720197118186657E-2</v>
      </c>
      <c r="BD6" s="10">
        <v>2017</v>
      </c>
      <c r="BE6" s="18">
        <f>SUM(T22:T25)/AVERAGE(AF22:AF25)</f>
        <v>5.6355570082997811E-2</v>
      </c>
      <c r="BF6" s="18">
        <f>SUM(P22:P25)/AVERAGE(AF22:AF25)</f>
        <v>1.5577359269079282E-2</v>
      </c>
      <c r="BG6" s="18">
        <f>SUM(D22:D25)/AVERAGE(AF22:AF25)</f>
        <v>7.659188837862077E-2</v>
      </c>
      <c r="BH6" s="18">
        <f>(SUM(H22:H25)+SUM(J22:J25))/AVERAGE(AF22:AF25)</f>
        <v>4.6394536051195531E-4</v>
      </c>
      <c r="BI6" s="19">
        <f t="shared" si="2"/>
        <v>-3.6277622925214192E-2</v>
      </c>
    </row>
    <row r="7" spans="1:61">
      <c r="A7" s="10">
        <v>2015</v>
      </c>
      <c r="B7" s="10">
        <v>1</v>
      </c>
      <c r="C7" s="11">
        <v>87220448.7038403</v>
      </c>
      <c r="D7" s="11"/>
      <c r="E7" s="11">
        <v>15853348.733999999</v>
      </c>
      <c r="F7" s="11"/>
      <c r="G7" s="12"/>
      <c r="H7" s="12"/>
      <c r="I7" s="12"/>
      <c r="J7" s="15"/>
      <c r="K7" s="16">
        <v>3002195.4358999999</v>
      </c>
      <c r="L7" s="11"/>
      <c r="M7" s="11">
        <v>654530.51300000004</v>
      </c>
      <c r="N7" s="11"/>
      <c r="O7" s="11">
        <v>19179435.069263499</v>
      </c>
      <c r="P7" s="11"/>
      <c r="Q7" s="11">
        <v>18139908.10636</v>
      </c>
      <c r="R7" s="11"/>
      <c r="S7" s="11">
        <v>69359510.930272505</v>
      </c>
      <c r="T7" s="11"/>
      <c r="U7" s="11">
        <v>167252.22263999999</v>
      </c>
      <c r="V7" s="16"/>
      <c r="W7" s="16">
        <v>420089.31603637501</v>
      </c>
      <c r="X7" s="11"/>
      <c r="Y7" s="11">
        <f t="shared" si="0"/>
        <v>-1202914.3538999986</v>
      </c>
      <c r="Z7" s="11"/>
      <c r="AA7" s="11">
        <f t="shared" si="1"/>
        <v>-37040372.842831299</v>
      </c>
      <c r="AB7" s="11"/>
      <c r="AC7" s="17"/>
      <c r="AD7" s="11"/>
      <c r="AE7" s="11"/>
      <c r="AF7" s="11"/>
      <c r="AG7" s="11"/>
      <c r="AH7" s="18"/>
      <c r="AI7" s="14">
        <f t="shared" ref="AI7:AI29" si="4">AI6+1</f>
        <v>2018</v>
      </c>
      <c r="AJ7" s="19">
        <f>SUM(AB26:AB29)/AVERAGE(AF26:AF29)</f>
        <v>-3.1819403814859891E-2</v>
      </c>
      <c r="AK7" s="11">
        <v>35535360</v>
      </c>
      <c r="AL7" s="19">
        <f>AK7/AVERAGE(AF26:AF29)</f>
        <v>6.19378912552638E-3</v>
      </c>
      <c r="AM7" s="19">
        <f>(AF29-AF25)/AF25</f>
        <v>8.416565392187993E-3</v>
      </c>
      <c r="AN7" s="11">
        <f>+ (((((((((((AN6*((1+AM7)^(1/12))-AK7/12)*((1+AM7)^(1/12))-AK7/12)*((1+AM7)^(1/12))-AK7/12)*((1+AM7)^(1/12))-AK7/12)*((1+AM7)^(1/12))-AK7/12)*((1+AM7)^(1/12))-AK7/12)*((1+AM7)^(1/12))-AK7/12)*((1+AM7)^(1/12))-AK7/12)*((1+AM7)^(1/12))-AK7/12)*((1+AM7)^(1/12))-AK7/12)*((1+AM7)^(1/12))-AK7/12)*((1+AM7)^(1/12))-AK7/12</f>
        <v>11066884.047739571</v>
      </c>
      <c r="AO7" s="11">
        <f t="shared" ref="AO7:AO29" si="5">AO6*(1+AM7)</f>
        <v>585562813.48572278</v>
      </c>
      <c r="AP7" s="11">
        <f>AO7</f>
        <v>585562813.48572278</v>
      </c>
      <c r="AQ7" s="21">
        <f>AO7/AF29</f>
        <v>0.10103933176461725</v>
      </c>
      <c r="AR7" s="21">
        <f>AP7/AF29</f>
        <v>0.10103933176461725</v>
      </c>
      <c r="AT7" s="10">
        <v>11012334</v>
      </c>
      <c r="AV7" s="10">
        <f t="shared" si="3"/>
        <v>-1.3547721048140941E-2</v>
      </c>
      <c r="BC7" s="18">
        <f t="shared" ref="BC7:BC38" si="6">T14/AF14</f>
        <v>1.3827254222720351E-2</v>
      </c>
      <c r="BD7" s="10">
        <f t="shared" ref="BD7:BD29" si="7">BD6+1</f>
        <v>2018</v>
      </c>
      <c r="BE7" s="18">
        <f>SUM(T26:T29)/AVERAGE(AF26:AF29)</f>
        <v>5.6180734984232143E-2</v>
      </c>
      <c r="BF7" s="18">
        <f>SUM(P26:P29)/AVERAGE(AF26:AF29)</f>
        <v>1.368811548922089E-2</v>
      </c>
      <c r="BG7" s="18">
        <f>SUM(D26:D29)/AVERAGE(AF26:AF29)</f>
        <v>7.4312023309871161E-2</v>
      </c>
      <c r="BH7" s="18">
        <f>(SUM(H26:H29)+SUM(J26:J29))/AVERAGE(AF26:AF29)</f>
        <v>9.082421809843155E-4</v>
      </c>
      <c r="BI7" s="19">
        <f t="shared" si="2"/>
        <v>-3.2727645995844205E-2</v>
      </c>
    </row>
    <row r="8" spans="1:61">
      <c r="A8" s="10">
        <v>2015</v>
      </c>
      <c r="B8" s="10">
        <v>2</v>
      </c>
      <c r="C8" s="11">
        <v>94524704.7581871</v>
      </c>
      <c r="D8" s="11"/>
      <c r="E8" s="11">
        <v>17180984.028999999</v>
      </c>
      <c r="F8" s="11"/>
      <c r="G8" s="12"/>
      <c r="H8" s="12"/>
      <c r="I8" s="12"/>
      <c r="J8" s="15"/>
      <c r="K8" s="16">
        <v>2371185.1833000001</v>
      </c>
      <c r="L8" s="11"/>
      <c r="M8" s="11">
        <v>696491.069000002</v>
      </c>
      <c r="N8" s="16"/>
      <c r="O8" s="16">
        <v>16135978.221071601</v>
      </c>
      <c r="P8" s="16"/>
      <c r="Q8" s="11">
        <v>21552530.200959999</v>
      </c>
      <c r="R8" s="11"/>
      <c r="S8" s="11">
        <v>82407967.299702004</v>
      </c>
      <c r="T8" s="16"/>
      <c r="U8" s="16">
        <v>188439.08603999999</v>
      </c>
      <c r="V8" s="16"/>
      <c r="W8" s="16">
        <v>473304.60259085899</v>
      </c>
      <c r="X8" s="11"/>
      <c r="Y8" s="11">
        <f t="shared" si="0"/>
        <v>1492309.0056999996</v>
      </c>
      <c r="Z8" s="11"/>
      <c r="AA8" s="11">
        <f t="shared" si="1"/>
        <v>-28252715.679556698</v>
      </c>
      <c r="AB8" s="11"/>
      <c r="AC8" s="17"/>
      <c r="AD8" s="11"/>
      <c r="AE8" s="11"/>
      <c r="AF8" s="11"/>
      <c r="AG8" s="11"/>
      <c r="AH8" s="18"/>
      <c r="AI8" s="14">
        <f t="shared" si="4"/>
        <v>2019</v>
      </c>
      <c r="AJ8" s="19">
        <f>SUM(AB30:AB33)/AVERAGE(AF30:AF33)</f>
        <v>-3.0473877282075307E-2</v>
      </c>
      <c r="AK8" s="11">
        <v>34453133</v>
      </c>
      <c r="AL8" s="19">
        <f>AK8/AVERAGE(AF30:AF33)</f>
        <v>5.8110094118490503E-3</v>
      </c>
      <c r="AM8" s="19">
        <f>(AF33-AF29)/AF29</f>
        <v>3.7612533752959303E-2</v>
      </c>
      <c r="AN8" s="11">
        <f>((((AN7*((1+AM8)^(1/12))-AK8/12)*((1+AM8)^(1/12))-AK8/12)*((1+AM8)^(1/12))-AK8/12)*((1+AM8)^(1/12))-AK8/12)*((1+AM8)^(1/12))-AK8/12</f>
        <v>-3205763.8013311378</v>
      </c>
      <c r="AO8" s="11">
        <f t="shared" si="5"/>
        <v>607587314.5724324</v>
      </c>
      <c r="AP8" s="11">
        <f>((((((((AO7*((1+AM8)^(4/12)))*((1+AM8)^(1/12))+AN8)*((1+AM8)^(1/12))-AK8/12)*((1+AM8)^(1/12))-AK8/12)*((1+AM8)^(1/12))-AK8/12)*((1+AM8)^(1/12))-AK8/12)*((1+AM8)^(1/12))-AK8/12)*((1+AM8)^(1/12))-AK8/12)*((1+AM8)^(1/12))-AK8/12</f>
        <v>584027338.36591101</v>
      </c>
      <c r="AQ8" s="21">
        <f>AO8/AF33</f>
        <v>0.10103933176461725</v>
      </c>
      <c r="AR8" s="21">
        <f>AP8/AF33</f>
        <v>9.7121402283202096E-2</v>
      </c>
      <c r="AT8" s="10">
        <v>11082939</v>
      </c>
      <c r="AV8" s="10">
        <f t="shared" si="3"/>
        <v>6.4114473825439729E-3</v>
      </c>
      <c r="BC8" s="18">
        <f t="shared" si="6"/>
        <v>1.4927503834836226E-2</v>
      </c>
      <c r="BD8" s="10">
        <f t="shared" si="7"/>
        <v>2019</v>
      </c>
      <c r="BE8" s="18">
        <f>SUM(T30:T33)/AVERAGE(AF30:AF33)</f>
        <v>5.6535185032102732E-2</v>
      </c>
      <c r="BF8" s="18">
        <f>SUM(P30:P33)/AVERAGE(AF30:AF33)</f>
        <v>1.2592596105085578E-2</v>
      </c>
      <c r="BG8" s="18">
        <f>SUM(D30:D33)/AVERAGE(AF30:AF33)</f>
        <v>7.4416466209092452E-2</v>
      </c>
      <c r="BH8" s="18">
        <f>(SUM(H30:H33)+SUM(J30:J33))/AVERAGE(AF30:AF33)</f>
        <v>1.3283970091806747E-3</v>
      </c>
      <c r="BI8" s="19">
        <f t="shared" si="2"/>
        <v>-3.1802274291255983E-2</v>
      </c>
    </row>
    <row r="9" spans="1:61">
      <c r="A9" s="10">
        <v>2016</v>
      </c>
      <c r="B9" s="10">
        <v>2</v>
      </c>
      <c r="C9" s="11">
        <v>97915025.902647793</v>
      </c>
      <c r="D9" s="11"/>
      <c r="E9" s="11">
        <v>17797214.875</v>
      </c>
      <c r="F9" s="11"/>
      <c r="G9" s="12"/>
      <c r="H9" s="12"/>
      <c r="I9" s="12"/>
      <c r="J9" s="15"/>
      <c r="K9" s="16"/>
      <c r="L9" s="11"/>
      <c r="M9" s="11">
        <v>732730.52299999795</v>
      </c>
      <c r="N9" s="16"/>
      <c r="O9" s="16"/>
      <c r="P9" s="16"/>
      <c r="Q9" s="11"/>
      <c r="R9" s="11"/>
      <c r="S9" s="11"/>
      <c r="T9" s="16"/>
      <c r="U9" s="16"/>
      <c r="V9" s="16"/>
      <c r="W9" s="16"/>
      <c r="X9" s="11"/>
      <c r="Y9" s="11"/>
      <c r="Z9" s="11"/>
      <c r="AA9" s="11"/>
      <c r="AB9" s="11"/>
      <c r="AC9" s="17"/>
      <c r="AD9" s="11"/>
      <c r="AE9" s="11"/>
      <c r="AF9" s="11"/>
      <c r="AG9" s="11"/>
      <c r="AH9" s="18"/>
      <c r="AI9" s="14">
        <f t="shared" si="4"/>
        <v>2020</v>
      </c>
      <c r="AJ9" s="19">
        <f>SUM(AB34:AB37)/AVERAGE(AF34:AF37)</f>
        <v>-3.2458953412062938E-2</v>
      </c>
      <c r="AK9" s="11">
        <v>32921701</v>
      </c>
      <c r="AL9" s="19">
        <f>AK9/AVERAGE(AF34:AF37)</f>
        <v>5.4140173697292274E-3</v>
      </c>
      <c r="AM9" s="19">
        <f>(AF37-AF33)/AF33</f>
        <v>2.4911921652353029E-2</v>
      </c>
      <c r="AN9" s="19"/>
      <c r="AO9" s="11">
        <f t="shared" si="5"/>
        <v>622723482.15002441</v>
      </c>
      <c r="AP9" s="11">
        <f t="shared" ref="AP9:AP29" si="8">(((((((((((AP8*((1+AM9)^(1/12))-AK9/12)*((1+AM9)^(1/12))-AK9/12)*((1+AM9)^(1/12))-AK9/12)*((1+AM9)^(1/12))-AK9/12)*((1+AM9)^(1/12))-AK9/12)*((1+AM9)^(1/12))-AK9/12)*((1+AM9)^(1/12))-AK9/12)*((1+AM9)^(1/12))-AK9/12)*((1+AM9)^(1/12))-AK9/12)*((1+AM9)^(1/12))-AK9/12)*((1+AM9)^(1/12))-AK9/12)*((1+AM9)^(1/12))-AK9/12</f>
        <v>565280651.91578627</v>
      </c>
      <c r="AQ9" s="21">
        <f>AO9/AF37</f>
        <v>0.10103933176461725</v>
      </c>
      <c r="AR9" s="21">
        <f>AP9/AF37</f>
        <v>9.1719006856526675E-2</v>
      </c>
      <c r="AT9" s="10">
        <v>11339977</v>
      </c>
      <c r="AV9" s="10">
        <f t="shared" si="3"/>
        <v>2.3192223651145243E-2</v>
      </c>
      <c r="BC9" s="18">
        <f t="shared" si="6"/>
        <v>1.3592051892300448E-2</v>
      </c>
      <c r="BD9" s="10">
        <f t="shared" si="7"/>
        <v>2020</v>
      </c>
      <c r="BE9" s="18">
        <f>SUM(T34:T37)/AVERAGE(AF34:AF37)</f>
        <v>5.6606596991575983E-2</v>
      </c>
      <c r="BF9" s="18">
        <f>SUM(P34:P37)/AVERAGE(AF34:AF37)</f>
        <v>1.2491225950196154E-2</v>
      </c>
      <c r="BG9" s="18">
        <f>SUM(D34:D37)/AVERAGE(AF34:AF37)</f>
        <v>7.6574324453442769E-2</v>
      </c>
      <c r="BH9" s="18">
        <f>(SUM(H34:H37)+SUM(J34:J37))/AVERAGE(AF34:AF37)</f>
        <v>1.8036769587744137E-3</v>
      </c>
      <c r="BI9" s="19">
        <f t="shared" si="2"/>
        <v>-3.4262630370837349E-2</v>
      </c>
    </row>
    <row r="10" spans="1:61">
      <c r="A10" s="10">
        <v>2016</v>
      </c>
      <c r="B10" s="10">
        <v>3</v>
      </c>
      <c r="C10" s="11">
        <v>100917465.84456199</v>
      </c>
      <c r="D10" s="11"/>
      <c r="E10" s="11">
        <v>18342943.715</v>
      </c>
      <c r="F10" s="11"/>
      <c r="G10" s="12"/>
      <c r="H10" s="12"/>
      <c r="I10" s="12"/>
      <c r="J10" s="15"/>
      <c r="K10" s="16"/>
      <c r="L10" s="11"/>
      <c r="M10" s="11">
        <v>775294.91</v>
      </c>
      <c r="N10" s="16"/>
      <c r="O10" s="16"/>
      <c r="P10" s="16"/>
      <c r="Q10" s="11"/>
      <c r="R10" s="11"/>
      <c r="S10" s="11"/>
      <c r="T10" s="16"/>
      <c r="U10" s="11"/>
      <c r="V10" s="16"/>
      <c r="W10" s="16"/>
      <c r="X10" s="11"/>
      <c r="Y10" s="11"/>
      <c r="Z10" s="11"/>
      <c r="AA10" s="11"/>
      <c r="AB10" s="11"/>
      <c r="AC10" s="17"/>
      <c r="AD10" s="11"/>
      <c r="AE10" s="11"/>
      <c r="AF10" s="11"/>
      <c r="AG10" s="11"/>
      <c r="AH10" s="18"/>
      <c r="AI10" s="14">
        <f t="shared" si="4"/>
        <v>2021</v>
      </c>
      <c r="AJ10" s="19">
        <f>SUM(AB38:AB41)/AVERAGE(AF38:AF41)</f>
        <v>-3.1580597136184524E-2</v>
      </c>
      <c r="AK10" s="11">
        <v>31128780</v>
      </c>
      <c r="AL10" s="19">
        <f>AK10/AVERAGE(AF38:AF41)</f>
        <v>4.9294204477410355E-3</v>
      </c>
      <c r="AM10" s="19">
        <f>(AF41-AF37)/AF37</f>
        <v>3.4729892721250238E-2</v>
      </c>
      <c r="AN10" s="19"/>
      <c r="AO10" s="11">
        <f t="shared" si="5"/>
        <v>644350601.88009822</v>
      </c>
      <c r="AP10" s="11">
        <f t="shared" si="8"/>
        <v>553291558.86458838</v>
      </c>
      <c r="AQ10" s="21">
        <f>AO10/AF41</f>
        <v>0.10103933176461727</v>
      </c>
      <c r="AR10" s="21">
        <f>AP10/AF41</f>
        <v>8.6760544982130955E-2</v>
      </c>
      <c r="AT10" s="10">
        <v>11479064</v>
      </c>
      <c r="AV10" s="10">
        <f t="shared" si="3"/>
        <v>1.2265192424993455E-2</v>
      </c>
      <c r="BC10" s="18">
        <f t="shared" si="6"/>
        <v>1.5585340256804794E-2</v>
      </c>
      <c r="BD10" s="10">
        <f t="shared" si="7"/>
        <v>2021</v>
      </c>
      <c r="BE10" s="18">
        <f>SUM(T38:T41)/AVERAGE(AF38:AF41)</f>
        <v>5.6831465537784266E-2</v>
      </c>
      <c r="BF10" s="18">
        <f>SUM(P38:P41)/AVERAGE(AF38:AF41)</f>
        <v>1.1968987255060419E-2</v>
      </c>
      <c r="BG10" s="18">
        <f>SUM(D38:D41)/AVERAGE(AF38:AF41)</f>
        <v>7.6443075418908379E-2</v>
      </c>
      <c r="BH10" s="18">
        <f>(SUM(H38:H41)+SUM(J38:J41))/AVERAGE(AF38:AF41)</f>
        <v>2.1959106172998468E-3</v>
      </c>
      <c r="BI10" s="19">
        <f t="shared" si="2"/>
        <v>-3.3776507753484369E-2</v>
      </c>
    </row>
    <row r="11" spans="1:61">
      <c r="A11" s="10">
        <v>2016</v>
      </c>
      <c r="B11" s="10">
        <v>4</v>
      </c>
      <c r="C11" s="11">
        <v>108710229.285033</v>
      </c>
      <c r="D11" s="11"/>
      <c r="E11" s="11">
        <v>19759371.113000002</v>
      </c>
      <c r="F11" s="11"/>
      <c r="G11" s="12"/>
      <c r="H11" s="12"/>
      <c r="I11" s="12"/>
      <c r="J11" s="15"/>
      <c r="K11" s="16"/>
      <c r="L11" s="11"/>
      <c r="M11" s="11">
        <v>832906.25299999898</v>
      </c>
      <c r="N11" s="16"/>
      <c r="O11" s="16"/>
      <c r="P11" s="11"/>
      <c r="Q11" s="11"/>
      <c r="R11" s="11"/>
      <c r="S11" s="11"/>
      <c r="T11" s="16"/>
      <c r="U11" s="16"/>
      <c r="V11" s="16"/>
      <c r="W11" s="16"/>
      <c r="X11" s="11"/>
      <c r="Y11" s="11"/>
      <c r="Z11" s="11"/>
      <c r="AA11" s="11"/>
      <c r="AB11" s="11"/>
      <c r="AC11" s="17"/>
      <c r="AD11" s="11"/>
      <c r="AE11" s="11"/>
      <c r="AF11" s="11"/>
      <c r="AG11" s="11"/>
      <c r="AH11" s="18"/>
      <c r="AI11" s="14">
        <f t="shared" si="4"/>
        <v>2022</v>
      </c>
      <c r="AJ11" s="19">
        <f>SUM(AB42:AB45)/AVERAGE(AF42:AF45)</f>
        <v>-3.2399596532792986E-2</v>
      </c>
      <c r="AK11" s="11">
        <v>29368804</v>
      </c>
      <c r="AL11" s="19">
        <f>AK11/AVERAGE(AF42:AF45)</f>
        <v>4.5356389168641131E-3</v>
      </c>
      <c r="AM11" s="19">
        <f>(AF45-AF41)/AF41</f>
        <v>2.3333046137875058E-2</v>
      </c>
      <c r="AN11" s="19"/>
      <c r="AO11" s="11">
        <f t="shared" si="5"/>
        <v>659385264.20273411</v>
      </c>
      <c r="AP11" s="11">
        <f t="shared" si="8"/>
        <v>536519961.13332647</v>
      </c>
      <c r="AQ11" s="21">
        <f>AO11/AF45</f>
        <v>0.10103933176461727</v>
      </c>
      <c r="AR11" s="21">
        <f>AP11/AF45</f>
        <v>8.2212359441842922E-2</v>
      </c>
      <c r="AT11" s="10">
        <v>11462881</v>
      </c>
      <c r="AV11" s="10">
        <f t="shared" si="3"/>
        <v>-1.4097839336029488E-3</v>
      </c>
      <c r="BC11" s="18">
        <f t="shared" si="6"/>
        <v>1.364893781379666E-2</v>
      </c>
      <c r="BD11" s="10">
        <f t="shared" si="7"/>
        <v>2022</v>
      </c>
      <c r="BE11" s="18">
        <f>SUM(T42:T45)/AVERAGE(AF42:AF45)</f>
        <v>5.6975511801368818E-2</v>
      </c>
      <c r="BF11" s="18">
        <f>SUM(P42:P45)/AVERAGE(AF42:AF45)</f>
        <v>1.1850038090913229E-2</v>
      </c>
      <c r="BG11" s="18">
        <f>SUM(D42:D45)/AVERAGE(AF42:AF45)</f>
        <v>7.7525070243248576E-2</v>
      </c>
      <c r="BH11" s="18">
        <f>(SUM(H42:H45)+SUM(J42:J45))/AVERAGE(AF42:AF45)</f>
        <v>2.7195959337302286E-3</v>
      </c>
      <c r="BI11" s="19">
        <f t="shared" si="2"/>
        <v>-3.5119192466523216E-2</v>
      </c>
    </row>
    <row r="12" spans="1:61" ht="11.5" customHeight="1">
      <c r="A12" s="10">
        <v>2017</v>
      </c>
      <c r="B12" s="10">
        <v>1</v>
      </c>
      <c r="C12" s="11">
        <v>106787377.90249901</v>
      </c>
      <c r="D12" s="11"/>
      <c r="E12" s="11">
        <v>19409869.568</v>
      </c>
      <c r="F12" s="11"/>
      <c r="G12" s="12"/>
      <c r="H12" s="12"/>
      <c r="I12" s="12"/>
      <c r="J12" s="15"/>
      <c r="K12" s="16"/>
      <c r="L12" s="11"/>
      <c r="M12" s="11">
        <v>832988.16000000003</v>
      </c>
      <c r="N12" s="16"/>
      <c r="O12" s="16"/>
      <c r="P12" s="16"/>
      <c r="Q12" s="11"/>
      <c r="R12" s="11"/>
      <c r="S12" s="11"/>
      <c r="T12" s="16"/>
      <c r="U12" s="16"/>
      <c r="V12" s="16"/>
      <c r="W12" s="16"/>
      <c r="X12" s="11"/>
      <c r="Y12" s="11"/>
      <c r="Z12" s="11"/>
      <c r="AA12" s="11"/>
      <c r="AB12" s="11"/>
      <c r="AC12" s="17"/>
      <c r="AD12" s="11"/>
      <c r="AE12" s="11"/>
      <c r="AF12" s="11"/>
      <c r="AG12" s="11"/>
      <c r="AH12" s="18"/>
      <c r="AI12" s="14">
        <f t="shared" si="4"/>
        <v>2023</v>
      </c>
      <c r="AJ12" s="19">
        <f>SUM(AB46:AB49)/AVERAGE(AF46:AF49)</f>
        <v>-3.2831521772021366E-2</v>
      </c>
      <c r="AK12" s="11">
        <v>27650569</v>
      </c>
      <c r="AL12" s="19">
        <f>AK12/AVERAGE(AF46:AF49)</f>
        <v>4.1486519369887615E-3</v>
      </c>
      <c r="AM12" s="19">
        <f>(AF49-AF45)/AF45</f>
        <v>3.2783693838291626E-2</v>
      </c>
      <c r="AN12" s="19"/>
      <c r="AO12" s="11">
        <f t="shared" si="5"/>
        <v>681002348.82583761</v>
      </c>
      <c r="AP12" s="11">
        <f t="shared" si="8"/>
        <v>526045444.51625204</v>
      </c>
      <c r="AQ12" s="21">
        <f>AO12/AF49</f>
        <v>0.10103933176461728</v>
      </c>
      <c r="AR12" s="21">
        <f>AP12/AF49</f>
        <v>7.804860039526279E-2</v>
      </c>
      <c r="AT12" s="10">
        <v>11332510</v>
      </c>
      <c r="AV12" s="10">
        <f t="shared" si="3"/>
        <v>-1.1373318801791626E-2</v>
      </c>
      <c r="BC12" s="18">
        <f t="shared" si="6"/>
        <v>1.4371126013635348E-2</v>
      </c>
      <c r="BD12" s="10">
        <f t="shared" si="7"/>
        <v>2023</v>
      </c>
      <c r="BE12" s="18">
        <f>SUM(T46:T49)/AVERAGE(AF46:AF49)</f>
        <v>5.7013869214827963E-2</v>
      </c>
      <c r="BF12" s="18">
        <f>SUM(P46:P49)/AVERAGE(AF46:AF49)</f>
        <v>1.1568769258309712E-2</v>
      </c>
      <c r="BG12" s="18">
        <f>SUM(D46:D49)/AVERAGE(AF46:AF49)</f>
        <v>7.8276621728539622E-2</v>
      </c>
      <c r="BH12" s="18">
        <f>(SUM(H46:H49)+SUM(J46:J49))/AVERAGE(AF46:AF49)</f>
        <v>3.1456239794497073E-3</v>
      </c>
      <c r="BI12" s="19">
        <f t="shared" si="2"/>
        <v>-3.5977145751471075E-2</v>
      </c>
    </row>
    <row r="13" spans="1:61">
      <c r="C13" s="22"/>
      <c r="E13" s="23"/>
      <c r="F13" s="23"/>
      <c r="G13" s="24"/>
      <c r="H13" s="24"/>
      <c r="I13" s="24"/>
      <c r="J13" s="24"/>
      <c r="K13" s="23"/>
      <c r="L13" s="23"/>
      <c r="M13" s="23"/>
      <c r="N13" s="23"/>
      <c r="O13" s="22"/>
      <c r="P13" s="23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5"/>
      <c r="AD13" s="23"/>
      <c r="AE13" s="23"/>
      <c r="AF13" s="23"/>
      <c r="AG13" s="23"/>
      <c r="AH13" s="20"/>
      <c r="AI13" s="26">
        <f t="shared" si="4"/>
        <v>2024</v>
      </c>
      <c r="AJ13" s="27">
        <f>SUM(AB50:AB53)/AVERAGE(AF50:AF53)</f>
        <v>-3.3007850778131405E-2</v>
      </c>
      <c r="AK13" s="23">
        <v>26006201</v>
      </c>
      <c r="AL13" s="27">
        <f>AK13/AVERAGE(AF50:AF53)</f>
        <v>3.7799907960945397E-3</v>
      </c>
      <c r="AM13" s="27">
        <f>(AF53-AF49)/AF49</f>
        <v>2.8915357729933991E-2</v>
      </c>
      <c r="AN13" s="27"/>
      <c r="AO13" s="23">
        <f t="shared" si="5"/>
        <v>700693775.35706198</v>
      </c>
      <c r="AP13" s="23">
        <f t="shared" si="8"/>
        <v>514907152.71192503</v>
      </c>
      <c r="AQ13" s="28">
        <f>AO13/AF53</f>
        <v>0.10103933176461727</v>
      </c>
      <c r="AR13" s="28">
        <f>AP13/AF53</f>
        <v>7.4249089203515639E-2</v>
      </c>
      <c r="BC13" s="20">
        <f t="shared" si="6"/>
        <v>1.3371306482896885E-2</v>
      </c>
      <c r="BD13">
        <f t="shared" si="7"/>
        <v>2024</v>
      </c>
      <c r="BE13" s="20">
        <f>SUM(T50:T53)/AVERAGE(AF50:AF53)</f>
        <v>5.7448179044004809E-2</v>
      </c>
      <c r="BF13" s="20">
        <f>SUM(P50:P53)/AVERAGE(AF50:AF53)</f>
        <v>1.1482600008644305E-2</v>
      </c>
      <c r="BG13" s="20">
        <f>SUM(D50:D53)/AVERAGE(AF50:AF53)</f>
        <v>7.8973429813491897E-2</v>
      </c>
      <c r="BH13" s="20">
        <f>(SUM(H50:H53)+SUM(J50:J53))/AVERAGE(AF50:AF53)</f>
        <v>3.6124958943411357E-3</v>
      </c>
      <c r="BI13" s="27">
        <f t="shared" si="2"/>
        <v>-3.6620346672472541E-2</v>
      </c>
    </row>
    <row r="14" spans="1:61" s="29" customFormat="1">
      <c r="A14" s="29">
        <v>2015</v>
      </c>
      <c r="B14" s="29">
        <v>1</v>
      </c>
      <c r="C14" s="30"/>
      <c r="D14" s="51">
        <v>94935467.946732372</v>
      </c>
      <c r="E14" s="37"/>
      <c r="F14" s="51">
        <v>17255645.071814399</v>
      </c>
      <c r="G14" s="31">
        <v>0</v>
      </c>
      <c r="H14" s="31">
        <v>0</v>
      </c>
      <c r="I14" s="31">
        <v>0</v>
      </c>
      <c r="J14" s="32">
        <v>0</v>
      </c>
      <c r="K14" s="30"/>
      <c r="L14" s="51">
        <v>2539896.5458378801</v>
      </c>
      <c r="M14" s="33"/>
      <c r="N14" s="51">
        <v>705811.99728029966</v>
      </c>
      <c r="O14" s="30"/>
      <c r="P14" s="51">
        <v>17062704.611342739</v>
      </c>
      <c r="Q14" s="33"/>
      <c r="R14" s="51">
        <v>17864532.40085613</v>
      </c>
      <c r="S14" s="33"/>
      <c r="T14" s="51">
        <v>68306587.984066293</v>
      </c>
      <c r="U14" s="30"/>
      <c r="V14" s="51">
        <v>116424.766458671</v>
      </c>
      <c r="W14" s="33"/>
      <c r="X14" s="51">
        <v>292425.44715261337</v>
      </c>
      <c r="Y14" s="30"/>
      <c r="Z14" s="30">
        <f t="shared" ref="Z14:Z45" si="9">R14+V14-N14-L14-F14</f>
        <v>-2520396.4476177767</v>
      </c>
      <c r="AA14" s="30"/>
      <c r="AB14" s="30">
        <f t="shared" ref="AB14:AB45" si="10">T14-P14-D14</f>
        <v>-43691584.574008822</v>
      </c>
      <c r="AC14" s="17"/>
      <c r="AD14" s="30">
        <v>5092693740.32864</v>
      </c>
      <c r="AE14" s="30">
        <v>103.09103866</v>
      </c>
      <c r="AF14" s="30">
        <f t="shared" ref="AF14:AF25" si="11">AD14*100/AE14</f>
        <v>4939996537.5502996</v>
      </c>
      <c r="AG14" s="30"/>
      <c r="AH14" s="34">
        <f t="shared" ref="AH14:AH45" si="12">AB14/AF14</f>
        <v>-8.8444565177114663E-3</v>
      </c>
      <c r="AI14" s="35">
        <f t="shared" si="4"/>
        <v>2025</v>
      </c>
      <c r="AJ14" s="36">
        <f>SUM(AB54:AB57)/AVERAGE(AF54:AF57)</f>
        <v>-3.4036640951336107E-2</v>
      </c>
      <c r="AK14" s="30">
        <v>24341792</v>
      </c>
      <c r="AL14" s="36">
        <f>AK14/AVERAGE(AF54:AF57)</f>
        <v>3.4397227661491707E-3</v>
      </c>
      <c r="AM14" s="36">
        <f>(AF57-AF53)/AF53</f>
        <v>3.2599360018562278E-2</v>
      </c>
      <c r="AN14" s="36"/>
      <c r="AO14" s="30">
        <f t="shared" si="5"/>
        <v>723535944.00269246</v>
      </c>
      <c r="AP14" s="30">
        <f t="shared" si="8"/>
        <v>506989411.1032322</v>
      </c>
      <c r="AQ14" s="37">
        <f>AO14/AF57</f>
        <v>0.10103933176461728</v>
      </c>
      <c r="AR14" s="37">
        <f>AP14/AF57</f>
        <v>7.0799345539379027E-2</v>
      </c>
      <c r="AU14" s="29">
        <v>11004289</v>
      </c>
      <c r="AW14" s="29">
        <f>(AU14-AT6)/AT6</f>
        <v>-1.4268368331829186E-2</v>
      </c>
      <c r="AX14" s="53">
        <v>6368.9065332603705</v>
      </c>
      <c r="BC14" s="34">
        <f t="shared" si="6"/>
        <v>1.5435953799932024E-2</v>
      </c>
      <c r="BD14" s="29">
        <f t="shared" si="7"/>
        <v>2025</v>
      </c>
      <c r="BE14" s="34">
        <f>SUM(T54:T57)/AVERAGE(AF54:AF57)</f>
        <v>5.7406574761000369E-2</v>
      </c>
      <c r="BF14" s="34">
        <f>SUM(P54:P57)/AVERAGE(AF54:AF57)</f>
        <v>1.1471598189177243E-2</v>
      </c>
      <c r="BG14" s="34">
        <f>SUM(D54:D57)/AVERAGE(AF54:AF57)</f>
        <v>7.9971617523159219E-2</v>
      </c>
      <c r="BH14" s="34">
        <f>(SUM(H54:H57)+SUM(J54:J57))/AVERAGE(AF54:AF57)</f>
        <v>4.968576475966084E-3</v>
      </c>
      <c r="BI14" s="36">
        <f t="shared" si="2"/>
        <v>-3.9005217427302188E-2</v>
      </c>
    </row>
    <row r="15" spans="1:61" s="39" customFormat="1">
      <c r="A15" s="39">
        <v>2015</v>
      </c>
      <c r="B15" s="39">
        <v>2</v>
      </c>
      <c r="C15" s="40"/>
      <c r="D15" s="54">
        <v>109339014.26011342</v>
      </c>
      <c r="E15" s="40"/>
      <c r="F15" s="54">
        <v>19873660.112290099</v>
      </c>
      <c r="G15" s="41">
        <v>0</v>
      </c>
      <c r="H15" s="41">
        <v>0</v>
      </c>
      <c r="I15" s="41">
        <v>0</v>
      </c>
      <c r="J15" s="42">
        <v>0</v>
      </c>
      <c r="K15" s="40"/>
      <c r="L15" s="54">
        <v>2236649.19177722</v>
      </c>
      <c r="M15" s="43"/>
      <c r="N15" s="54">
        <v>815524.15203719959</v>
      </c>
      <c r="O15" s="40"/>
      <c r="P15" s="54">
        <v>16092756.554698242</v>
      </c>
      <c r="Q15" s="43"/>
      <c r="R15" s="54">
        <v>21768919.327668261</v>
      </c>
      <c r="S15" s="43"/>
      <c r="T15" s="54">
        <v>83235349.798584893</v>
      </c>
      <c r="U15" s="40"/>
      <c r="V15" s="54">
        <v>117941.839121197</v>
      </c>
      <c r="W15" s="43"/>
      <c r="X15" s="54">
        <v>296235.89629669354</v>
      </c>
      <c r="Y15" s="40"/>
      <c r="Z15" s="40">
        <f t="shared" si="9"/>
        <v>-1038972.2893150598</v>
      </c>
      <c r="AA15" s="40"/>
      <c r="AB15" s="40">
        <f t="shared" si="10"/>
        <v>-42196421.016226768</v>
      </c>
      <c r="AC15" s="17"/>
      <c r="AD15" s="40">
        <v>5951478855.3666</v>
      </c>
      <c r="AE15" s="40">
        <v>106.73436665</v>
      </c>
      <c r="AF15" s="40">
        <f t="shared" si="11"/>
        <v>5575972427.7771788</v>
      </c>
      <c r="AG15" s="40"/>
      <c r="AH15" s="44">
        <f t="shared" si="12"/>
        <v>-7.567544775871151E-3</v>
      </c>
      <c r="AI15" s="45">
        <f t="shared" si="4"/>
        <v>2026</v>
      </c>
      <c r="AJ15" s="46">
        <f>SUM(AB58:AB61)/AVERAGE(AF58:AF61)</f>
        <v>-3.3784225288832841E-2</v>
      </c>
      <c r="AK15" s="40">
        <v>22745123</v>
      </c>
      <c r="AL15" s="46">
        <f>AK15/AVERAGE(AF58:AF61)</f>
        <v>3.1134317597634365E-3</v>
      </c>
      <c r="AM15" s="46">
        <f>(AF61-AF57)/AF57</f>
        <v>3.170131707150825E-2</v>
      </c>
      <c r="AN15" s="46"/>
      <c r="AO15" s="40">
        <f t="shared" si="5"/>
        <v>746472986.37615478</v>
      </c>
      <c r="AP15" s="40">
        <f t="shared" si="8"/>
        <v>499987900.99403101</v>
      </c>
      <c r="AQ15" s="47">
        <f>AO15/AF61</f>
        <v>0.10103933176461727</v>
      </c>
      <c r="AR15" s="47">
        <f>AP15/AF61</f>
        <v>6.7676184307858919E-2</v>
      </c>
      <c r="AU15" s="39">
        <v>11039157</v>
      </c>
      <c r="AW15" s="39">
        <f t="shared" ref="AW15:AW46" si="13">(AU15-AU14)/AU14</f>
        <v>3.1685827226093388E-3</v>
      </c>
      <c r="AX15" s="56">
        <v>6691.6267211455697</v>
      </c>
      <c r="AY15" s="44">
        <f t="shared" ref="AY15:AY46" si="14">(AX15-AX14)/AX14</f>
        <v>5.0671208032313883E-2</v>
      </c>
      <c r="BC15" s="44">
        <f t="shared" si="6"/>
        <v>1.3822787597134706E-2</v>
      </c>
      <c r="BD15" s="39">
        <f t="shared" si="7"/>
        <v>2026</v>
      </c>
      <c r="BE15" s="44">
        <f>SUM(T58:T61)/AVERAGE(AF58:AF61)</f>
        <v>5.7756324274522236E-2</v>
      </c>
      <c r="BF15" s="44">
        <f>SUM(P58:P61)/AVERAGE(AF58:AF61)</f>
        <v>1.1255941300064029E-2</v>
      </c>
      <c r="BG15" s="44">
        <f>SUM(D58:D61)/AVERAGE(AF58:AF61)</f>
        <v>8.0284608263291063E-2</v>
      </c>
      <c r="BH15" s="44">
        <f>(SUM(H58:H61)+SUM(J58:J61))/AVERAGE(AF58:AF61)</f>
        <v>6.3904392236276489E-3</v>
      </c>
      <c r="BI15" s="46">
        <f t="shared" si="2"/>
        <v>-4.017466451246049E-2</v>
      </c>
    </row>
    <row r="16" spans="1:61" s="39" customFormat="1">
      <c r="A16" s="39">
        <v>2015</v>
      </c>
      <c r="B16" s="39">
        <v>3</v>
      </c>
      <c r="C16" s="40"/>
      <c r="D16" s="54">
        <v>106210928.69273417</v>
      </c>
      <c r="E16" s="40"/>
      <c r="F16" s="54">
        <v>19305093.532566201</v>
      </c>
      <c r="G16" s="41">
        <v>0</v>
      </c>
      <c r="H16" s="41">
        <v>0</v>
      </c>
      <c r="I16" s="41">
        <v>0</v>
      </c>
      <c r="J16" s="42">
        <v>0</v>
      </c>
      <c r="K16" s="40"/>
      <c r="L16" s="54">
        <v>2734803.8185367598</v>
      </c>
      <c r="M16" s="43"/>
      <c r="N16" s="54">
        <v>793894.77475969866</v>
      </c>
      <c r="O16" s="40"/>
      <c r="P16" s="54">
        <v>18558684.828998163</v>
      </c>
      <c r="Q16" s="43"/>
      <c r="R16" s="54">
        <v>20018134.006362755</v>
      </c>
      <c r="S16" s="43"/>
      <c r="T16" s="54">
        <v>76541070.379033163</v>
      </c>
      <c r="U16" s="40"/>
      <c r="V16" s="54">
        <v>123359.29092606</v>
      </c>
      <c r="W16" s="43"/>
      <c r="X16" s="54">
        <v>309842.97333581443</v>
      </c>
      <c r="Y16" s="40"/>
      <c r="Z16" s="40">
        <f t="shared" si="9"/>
        <v>-2692298.8285738435</v>
      </c>
      <c r="AA16" s="40"/>
      <c r="AB16" s="40">
        <f t="shared" si="10"/>
        <v>-48228543.142699167</v>
      </c>
      <c r="AC16" s="17"/>
      <c r="AD16" s="40">
        <v>6221730755.7715998</v>
      </c>
      <c r="AE16" s="40">
        <v>110.48458934999999</v>
      </c>
      <c r="AF16" s="40">
        <f t="shared" si="11"/>
        <v>5631310929.7641611</v>
      </c>
      <c r="AG16" s="40"/>
      <c r="AH16" s="44">
        <f t="shared" si="12"/>
        <v>-8.5643545071873647E-3</v>
      </c>
      <c r="AI16" s="45">
        <f t="shared" si="4"/>
        <v>2027</v>
      </c>
      <c r="AJ16" s="46">
        <f>SUM(AB62:AB65)/AVERAGE(AF62:AF65)</f>
        <v>-3.3854047722324969E-2</v>
      </c>
      <c r="AK16" s="40">
        <v>21188031</v>
      </c>
      <c r="AL16" s="46">
        <f>AK16/AVERAGE(AF62:AF65)</f>
        <v>2.8163612223900004E-3</v>
      </c>
      <c r="AM16" s="46">
        <f>(AF65-AF61)/AF61</f>
        <v>2.9876091213081366E-2</v>
      </c>
      <c r="AN16" s="46"/>
      <c r="AO16" s="40">
        <f t="shared" si="5"/>
        <v>768774681.40523005</v>
      </c>
      <c r="AP16" s="40">
        <f t="shared" si="8"/>
        <v>493448964.11613232</v>
      </c>
      <c r="AQ16" s="47">
        <f>AO16/AF65</f>
        <v>0.10103933176461727</v>
      </c>
      <c r="AR16" s="47">
        <f>AP16/AF65</f>
        <v>6.485353225096134E-2</v>
      </c>
      <c r="AU16" s="39">
        <v>11069835</v>
      </c>
      <c r="AW16" s="39">
        <f t="shared" si="13"/>
        <v>2.7790165499050334E-3</v>
      </c>
      <c r="AX16" s="56">
        <v>6984.1911310188098</v>
      </c>
      <c r="AY16" s="44">
        <f t="shared" si="14"/>
        <v>4.3720969812726586E-2</v>
      </c>
      <c r="BC16" s="44">
        <f t="shared" si="6"/>
        <v>1.4452308760858797E-2</v>
      </c>
      <c r="BD16" s="39">
        <f t="shared" si="7"/>
        <v>2027</v>
      </c>
      <c r="BE16" s="44">
        <f>SUM(T62:T65)/AVERAGE(AF62:AF65)</f>
        <v>5.8128841460516598E-2</v>
      </c>
      <c r="BF16" s="44">
        <f>SUM(P62:P65)/AVERAGE(AF62:AF65)</f>
        <v>1.1113107432581421E-2</v>
      </c>
      <c r="BG16" s="44">
        <f>SUM(D62:D65)/AVERAGE(AF62:AF65)</f>
        <v>8.0869781750260133E-2</v>
      </c>
      <c r="BH16" s="44">
        <f>(SUM(H62:H65)+SUM(J62:J65))/AVERAGE(AF62:AF65)</f>
        <v>7.8548048979579822E-3</v>
      </c>
      <c r="BI16" s="46">
        <f t="shared" si="2"/>
        <v>-4.1708852620282955E-2</v>
      </c>
    </row>
    <row r="17" spans="1:61" s="39" customFormat="1">
      <c r="A17" s="39">
        <v>2015</v>
      </c>
      <c r="B17" s="39">
        <v>4</v>
      </c>
      <c r="C17" s="40"/>
      <c r="D17" s="54">
        <v>114771012.9103847</v>
      </c>
      <c r="E17" s="40"/>
      <c r="F17" s="54">
        <v>20860990.166767199</v>
      </c>
      <c r="G17" s="41">
        <v>0</v>
      </c>
      <c r="H17" s="41">
        <v>0</v>
      </c>
      <c r="I17" s="41">
        <v>0</v>
      </c>
      <c r="J17" s="42">
        <v>0</v>
      </c>
      <c r="K17" s="40"/>
      <c r="L17" s="54">
        <v>2602828.7029223</v>
      </c>
      <c r="M17" s="43"/>
      <c r="N17" s="54">
        <v>858883.92639520019</v>
      </c>
      <c r="O17" s="40"/>
      <c r="P17" s="54">
        <v>18231416.464090243</v>
      </c>
      <c r="Q17" s="43"/>
      <c r="R17" s="54">
        <v>23064733.345551129</v>
      </c>
      <c r="S17" s="43"/>
      <c r="T17" s="54">
        <v>88190007.006363854</v>
      </c>
      <c r="U17" s="40"/>
      <c r="V17" s="54">
        <v>115904.1045511</v>
      </c>
      <c r="W17" s="43"/>
      <c r="X17" s="54">
        <v>291117.69455178827</v>
      </c>
      <c r="Y17" s="40"/>
      <c r="Z17" s="40">
        <f t="shared" si="9"/>
        <v>-1142065.3459824696</v>
      </c>
      <c r="AA17" s="40"/>
      <c r="AB17" s="40">
        <f t="shared" si="10"/>
        <v>-44812422.368111089</v>
      </c>
      <c r="AC17" s="17"/>
      <c r="AD17" s="40">
        <v>6552140231.3025303</v>
      </c>
      <c r="AE17" s="40">
        <v>115.79241048</v>
      </c>
      <c r="AF17" s="40">
        <f t="shared" si="11"/>
        <v>5658523044.9401817</v>
      </c>
      <c r="AG17" s="40"/>
      <c r="AH17" s="44">
        <f t="shared" si="12"/>
        <v>-7.9194556622301099E-3</v>
      </c>
      <c r="AI17" s="45">
        <f t="shared" si="4"/>
        <v>2028</v>
      </c>
      <c r="AJ17" s="46">
        <f>SUM(AB66:AB69)/AVERAGE(AF66:AF69)</f>
        <v>-3.3947715767231532E-2</v>
      </c>
      <c r="AK17" s="40">
        <v>19675061</v>
      </c>
      <c r="AL17" s="46">
        <f>AK17/AVERAGE(AF66:AF69)</f>
        <v>2.5385138096191721E-3</v>
      </c>
      <c r="AM17" s="46">
        <f>(AF69-AF65)/AF65</f>
        <v>3.2765183664173823E-2</v>
      </c>
      <c r="AN17" s="46"/>
      <c r="AO17" s="40">
        <f t="shared" si="5"/>
        <v>793963725.03783906</v>
      </c>
      <c r="AP17" s="40">
        <f t="shared" si="8"/>
        <v>489648101.1812349</v>
      </c>
      <c r="AQ17" s="47">
        <f>AO17/AF69</f>
        <v>0.10103933176461725</v>
      </c>
      <c r="AR17" s="47">
        <f>AP17/AF69</f>
        <v>6.2312314005035729E-2</v>
      </c>
      <c r="AU17" s="39">
        <v>11079853</v>
      </c>
      <c r="AW17" s="39">
        <f t="shared" si="13"/>
        <v>9.0498187190685316E-4</v>
      </c>
      <c r="AX17" s="56">
        <v>6967.8308273951197</v>
      </c>
      <c r="AY17" s="44">
        <f t="shared" si="14"/>
        <v>-2.3424765039761273E-3</v>
      </c>
      <c r="BC17" s="44">
        <f t="shared" si="6"/>
        <v>1.3109477068090984E-2</v>
      </c>
      <c r="BD17" s="39">
        <f t="shared" si="7"/>
        <v>2028</v>
      </c>
      <c r="BE17" s="44">
        <f>SUM(T66:T69)/AVERAGE(AF66:AF69)</f>
        <v>5.8269710175945032E-2</v>
      </c>
      <c r="BF17" s="44">
        <f>SUM(P66:P69)/AVERAGE(AF66:AF69)</f>
        <v>1.0844424787238882E-2</v>
      </c>
      <c r="BG17" s="44">
        <f>SUM(D66:D69)/AVERAGE(AF66:AF69)</f>
        <v>8.1373001155937708E-2</v>
      </c>
      <c r="BH17" s="44">
        <f>(SUM(H66:H69)+SUM(J66:J69))/AVERAGE(AF66:AF69)</f>
        <v>9.3902364426251272E-3</v>
      </c>
      <c r="BI17" s="46">
        <f t="shared" si="2"/>
        <v>-4.3337952209856659E-2</v>
      </c>
    </row>
    <row r="18" spans="1:61" s="29" customFormat="1">
      <c r="A18" s="29">
        <f t="shared" ref="A18:A49" si="15">A14+1</f>
        <v>2016</v>
      </c>
      <c r="B18" s="29">
        <f t="shared" ref="B18:B49" si="16">B14</f>
        <v>1</v>
      </c>
      <c r="C18" s="30"/>
      <c r="D18" s="51">
        <v>100240264.60821281</v>
      </c>
      <c r="E18" s="30"/>
      <c r="F18" s="51">
        <v>18219854.6591102</v>
      </c>
      <c r="G18" s="31">
        <v>0</v>
      </c>
      <c r="H18" s="31">
        <v>0</v>
      </c>
      <c r="I18" s="31">
        <v>0</v>
      </c>
      <c r="J18" s="32">
        <v>0</v>
      </c>
      <c r="K18" s="30"/>
      <c r="L18" s="51">
        <v>2640788.5999428201</v>
      </c>
      <c r="M18" s="33"/>
      <c r="N18" s="51">
        <v>746581.10841980204</v>
      </c>
      <c r="O18" s="30"/>
      <c r="P18" s="51">
        <v>17810533.580370989</v>
      </c>
      <c r="Q18" s="33"/>
      <c r="R18" s="51">
        <v>18956103.483738676</v>
      </c>
      <c r="S18" s="33"/>
      <c r="T18" s="51">
        <v>72480304.62778914</v>
      </c>
      <c r="U18" s="30"/>
      <c r="V18" s="51">
        <v>109424.910354893</v>
      </c>
      <c r="W18" s="33"/>
      <c r="X18" s="51">
        <v>274843.82673443662</v>
      </c>
      <c r="Y18" s="30"/>
      <c r="Z18" s="30">
        <f t="shared" si="9"/>
        <v>-2541695.9733792525</v>
      </c>
      <c r="AA18" s="30"/>
      <c r="AB18" s="30">
        <f t="shared" si="10"/>
        <v>-45570493.560794666</v>
      </c>
      <c r="AC18" s="17"/>
      <c r="AD18" s="30">
        <v>6962845278.2518702</v>
      </c>
      <c r="AE18" s="30">
        <v>131.11898839</v>
      </c>
      <c r="AF18" s="30">
        <f t="shared" si="11"/>
        <v>5310325654.3908043</v>
      </c>
      <c r="AG18" s="30"/>
      <c r="AH18" s="34">
        <f t="shared" si="12"/>
        <v>-8.5814875634067818E-3</v>
      </c>
      <c r="AI18" s="35">
        <f t="shared" si="4"/>
        <v>2029</v>
      </c>
      <c r="AJ18" s="36">
        <f>SUM(AB70:AB73)/AVERAGE(AF70:AF73)</f>
        <v>-3.3948011080015002E-2</v>
      </c>
      <c r="AK18" s="30">
        <v>18242950</v>
      </c>
      <c r="AL18" s="36">
        <f>AK18/AVERAGE(AF70:AF73)</f>
        <v>2.279791590727347E-3</v>
      </c>
      <c r="AM18" s="36">
        <f>(AF73-AF69)/AF69</f>
        <v>2.9284493745853908E-2</v>
      </c>
      <c r="AN18" s="36"/>
      <c r="AO18" s="30">
        <f t="shared" si="5"/>
        <v>817214550.77814448</v>
      </c>
      <c r="AP18" s="30">
        <f t="shared" si="8"/>
        <v>485500666.04352885</v>
      </c>
      <c r="AQ18" s="37">
        <f>AO18/AF73</f>
        <v>0.10103933176461725</v>
      </c>
      <c r="AR18" s="37">
        <f>AP18/AF73</f>
        <v>6.0026663526249434E-2</v>
      </c>
      <c r="AU18" s="29">
        <v>11091626</v>
      </c>
      <c r="AW18" s="29">
        <f t="shared" si="13"/>
        <v>1.0625592234842828E-3</v>
      </c>
      <c r="AX18" s="53">
        <v>6546.8359095504502</v>
      </c>
      <c r="AY18" s="34">
        <f t="shared" si="14"/>
        <v>-6.0419796099162169E-2</v>
      </c>
      <c r="BC18" s="34">
        <f t="shared" si="6"/>
        <v>1.4943361760088751E-2</v>
      </c>
      <c r="BD18" s="29">
        <f t="shared" si="7"/>
        <v>2029</v>
      </c>
      <c r="BE18" s="34">
        <f>SUM(T70:T73)/AVERAGE(AF70:AF73)</f>
        <v>5.8431499252008454E-2</v>
      </c>
      <c r="BF18" s="34">
        <f>SUM(P70:P73)/AVERAGE(AF70:AF73)</f>
        <v>1.0780699284665215E-2</v>
      </c>
      <c r="BG18" s="34">
        <f>SUM(D70:D73)/AVERAGE(AF70:AF73)</f>
        <v>8.1598811047358236E-2</v>
      </c>
      <c r="BH18" s="34">
        <f>(SUM(H70:H73)+SUM(J70:J73))/AVERAGE(AF70:AF73)</f>
        <v>1.071528524117939E-2</v>
      </c>
      <c r="BI18" s="36">
        <f t="shared" si="2"/>
        <v>-4.4663296321194396E-2</v>
      </c>
    </row>
    <row r="19" spans="1:61" s="39" customFormat="1">
      <c r="A19" s="39">
        <f t="shared" si="15"/>
        <v>2016</v>
      </c>
      <c r="B19" s="39">
        <f t="shared" si="16"/>
        <v>2</v>
      </c>
      <c r="C19" s="40"/>
      <c r="D19" s="54">
        <v>103301064.5111973</v>
      </c>
      <c r="E19" s="40"/>
      <c r="F19" s="54">
        <v>18776191.272854801</v>
      </c>
      <c r="G19" s="41">
        <v>0</v>
      </c>
      <c r="H19" s="41">
        <v>0</v>
      </c>
      <c r="I19" s="41">
        <v>0</v>
      </c>
      <c r="J19" s="42">
        <v>0</v>
      </c>
      <c r="K19" s="40"/>
      <c r="L19" s="54">
        <v>2248745.6258871201</v>
      </c>
      <c r="M19" s="43"/>
      <c r="N19" s="54">
        <v>770770.99337759987</v>
      </c>
      <c r="O19" s="40"/>
      <c r="P19" s="54">
        <v>15909306.334169954</v>
      </c>
      <c r="Q19" s="43"/>
      <c r="R19" s="54">
        <v>21350096.797455873</v>
      </c>
      <c r="S19" s="43"/>
      <c r="T19" s="54">
        <v>81633945.55425714</v>
      </c>
      <c r="U19" s="40"/>
      <c r="V19" s="54">
        <v>106122.576781039</v>
      </c>
      <c r="W19" s="43"/>
      <c r="X19" s="54">
        <v>266549.31688610336</v>
      </c>
      <c r="Y19" s="40"/>
      <c r="Z19" s="40">
        <f t="shared" si="9"/>
        <v>-339488.5178826116</v>
      </c>
      <c r="AA19" s="40"/>
      <c r="AB19" s="40">
        <f t="shared" si="10"/>
        <v>-37576425.291110113</v>
      </c>
      <c r="AC19" s="17"/>
      <c r="AD19" s="40">
        <v>8401125356.75455</v>
      </c>
      <c r="AE19" s="40">
        <v>147.89635652000001</v>
      </c>
      <c r="AF19" s="40">
        <f t="shared" si="11"/>
        <v>5680414010.4820404</v>
      </c>
      <c r="AG19" s="40"/>
      <c r="AH19" s="44">
        <f t="shared" si="12"/>
        <v>-6.6150856648424777E-3</v>
      </c>
      <c r="AI19" s="45">
        <f t="shared" si="4"/>
        <v>2030</v>
      </c>
      <c r="AJ19" s="46">
        <f>SUM(AB74:AB77)/AVERAGE(AF74:AF77)</f>
        <v>-3.4772249581960089E-2</v>
      </c>
      <c r="AK19" s="40">
        <v>16840766</v>
      </c>
      <c r="AL19" s="46">
        <f>AK19/AVERAGE(AF74:AF77)</f>
        <v>2.0633083698474966E-3</v>
      </c>
      <c r="AM19" s="46">
        <f>(AF77-AF73)/AF73</f>
        <v>1.6099987416002815E-2</v>
      </c>
      <c r="AN19" s="46"/>
      <c r="AO19" s="40">
        <f t="shared" si="5"/>
        <v>830371694.76184702</v>
      </c>
      <c r="AP19" s="40">
        <f t="shared" si="8"/>
        <v>476352542.30438089</v>
      </c>
      <c r="AQ19" s="47">
        <f>AO19/AF77</f>
        <v>0.10103933176461725</v>
      </c>
      <c r="AR19" s="47">
        <f>AP19/AF77</f>
        <v>5.7962407512716502E-2</v>
      </c>
      <c r="AU19" s="39">
        <v>11171229</v>
      </c>
      <c r="AW19" s="39">
        <f t="shared" si="13"/>
        <v>7.1768557648806408E-3</v>
      </c>
      <c r="AX19" s="56">
        <v>6356.20465033455</v>
      </c>
      <c r="AY19" s="44">
        <f t="shared" si="14"/>
        <v>-2.9118075028856223E-2</v>
      </c>
      <c r="BC19" s="44">
        <f t="shared" si="6"/>
        <v>1.3122013834968475E-2</v>
      </c>
      <c r="BD19" s="39">
        <f t="shared" si="7"/>
        <v>2030</v>
      </c>
      <c r="BE19" s="44">
        <f>SUM(T74:T77)/AVERAGE(AF74:AF77)</f>
        <v>5.8592996078593418E-2</v>
      </c>
      <c r="BF19" s="44">
        <f>SUM(P74:P77)/AVERAGE(AF74:AF77)</f>
        <v>1.0700537848278267E-2</v>
      </c>
      <c r="BG19" s="44">
        <f>SUM(D74:D77)/AVERAGE(AF74:AF77)</f>
        <v>8.2664707812275237E-2</v>
      </c>
      <c r="BH19" s="44">
        <f>(SUM(H74:H77)+SUM(J74:J77))/AVERAGE(AF74:AF77)</f>
        <v>1.2093813245392578E-2</v>
      </c>
      <c r="BI19" s="46">
        <f t="shared" si="2"/>
        <v>-4.6866062827352666E-2</v>
      </c>
    </row>
    <row r="20" spans="1:61" s="39" customFormat="1">
      <c r="A20" s="39">
        <f t="shared" si="15"/>
        <v>2016</v>
      </c>
      <c r="B20" s="39">
        <f t="shared" si="16"/>
        <v>3</v>
      </c>
      <c r="C20" s="40"/>
      <c r="D20" s="54">
        <v>97904122.82760933</v>
      </c>
      <c r="E20" s="40"/>
      <c r="F20" s="54">
        <v>17795233.237049598</v>
      </c>
      <c r="G20" s="41">
        <v>0</v>
      </c>
      <c r="H20" s="41">
        <v>0</v>
      </c>
      <c r="I20" s="41">
        <v>0</v>
      </c>
      <c r="J20" s="42">
        <v>0</v>
      </c>
      <c r="K20" s="40"/>
      <c r="L20" s="54">
        <v>1926072.42011175</v>
      </c>
      <c r="M20" s="43"/>
      <c r="N20" s="54">
        <v>731080.45248199999</v>
      </c>
      <c r="O20" s="40"/>
      <c r="P20" s="54">
        <v>14016587.890072886</v>
      </c>
      <c r="Q20" s="43"/>
      <c r="R20" s="54">
        <v>18954291.24004633</v>
      </c>
      <c r="S20" s="43"/>
      <c r="T20" s="54">
        <v>72473375.356961221</v>
      </c>
      <c r="U20" s="40"/>
      <c r="V20" s="54">
        <v>115976.965700388</v>
      </c>
      <c r="W20" s="43"/>
      <c r="X20" s="54">
        <v>291300.70075234747</v>
      </c>
      <c r="Y20" s="40"/>
      <c r="Z20" s="40">
        <f t="shared" si="9"/>
        <v>-1382117.9038966298</v>
      </c>
      <c r="AA20" s="40"/>
      <c r="AB20" s="40">
        <f t="shared" si="10"/>
        <v>-39447335.360720992</v>
      </c>
      <c r="AC20" s="17"/>
      <c r="AD20" s="40">
        <v>8448889759.2748203</v>
      </c>
      <c r="AE20" s="40">
        <v>155.88165151000001</v>
      </c>
      <c r="AF20" s="40">
        <f t="shared" si="11"/>
        <v>5420066876.0125456</v>
      </c>
      <c r="AG20" s="40"/>
      <c r="AH20" s="44">
        <f t="shared" si="12"/>
        <v>-7.2780163535070162E-3</v>
      </c>
      <c r="AI20" s="45">
        <f t="shared" si="4"/>
        <v>2031</v>
      </c>
      <c r="AJ20" s="46">
        <f>SUM(AB78:AB81)/AVERAGE(AF78:AF81)</f>
        <v>-3.5745452835450824E-2</v>
      </c>
      <c r="AK20" s="40">
        <v>15487278</v>
      </c>
      <c r="AL20" s="46">
        <f>AK20/AVERAGE(AF78:AF81)</f>
        <v>1.8623698397468747E-3</v>
      </c>
      <c r="AM20" s="46">
        <f>(AF81-AF77)/AF77</f>
        <v>2.3868552009857911E-2</v>
      </c>
      <c r="AN20" s="46"/>
      <c r="AO20" s="40">
        <f t="shared" si="5"/>
        <v>850191464.74578393</v>
      </c>
      <c r="AP20" s="40">
        <f t="shared" si="8"/>
        <v>472066404.31741959</v>
      </c>
      <c r="AQ20" s="47">
        <f>AO20/AF81</f>
        <v>0.10103933176461724</v>
      </c>
      <c r="AR20" s="47">
        <f>AP20/AF81</f>
        <v>5.6101802968605056E-2</v>
      </c>
      <c r="AU20" s="39">
        <v>11262070</v>
      </c>
      <c r="AW20" s="39">
        <f t="shared" si="13"/>
        <v>8.1316925827946054E-3</v>
      </c>
      <c r="AX20" s="56">
        <v>6421.7509021330998</v>
      </c>
      <c r="AY20" s="44">
        <f t="shared" si="14"/>
        <v>1.0312168252024391E-2</v>
      </c>
      <c r="BC20" s="44">
        <f t="shared" si="6"/>
        <v>1.4954098156535379E-2</v>
      </c>
      <c r="BD20" s="39">
        <f t="shared" si="7"/>
        <v>2031</v>
      </c>
      <c r="BE20" s="44">
        <f>SUM(T78:T81)/AVERAGE(AF78:AF81)</f>
        <v>5.8545343134358718E-2</v>
      </c>
      <c r="BF20" s="44">
        <f>SUM(P78:P81)/AVERAGE(AF78:AF81)</f>
        <v>1.0491158791667942E-2</v>
      </c>
      <c r="BG20" s="44">
        <f>SUM(D78:D81)/AVERAGE(AF78:AF81)</f>
        <v>8.3799637178141595E-2</v>
      </c>
      <c r="BH20" s="44">
        <f>(SUM(H78:H81)+SUM(J78:J81))/AVERAGE(AF78:AF81)</f>
        <v>1.3448934856370817E-2</v>
      </c>
      <c r="BI20" s="46">
        <f t="shared" si="2"/>
        <v>-4.9194387691821641E-2</v>
      </c>
    </row>
    <row r="21" spans="1:61">
      <c r="A21" s="39">
        <f t="shared" si="15"/>
        <v>2016</v>
      </c>
      <c r="B21" s="39">
        <f t="shared" si="16"/>
        <v>4</v>
      </c>
      <c r="C21" s="40"/>
      <c r="D21" s="54">
        <v>107070882.14754768</v>
      </c>
      <c r="E21" s="40"/>
      <c r="F21" s="54">
        <v>19461400.252441101</v>
      </c>
      <c r="G21" s="57">
        <v>22714</v>
      </c>
      <c r="H21" s="57">
        <v>124965.72628654201</v>
      </c>
      <c r="I21" s="58">
        <v>702</v>
      </c>
      <c r="J21" s="57">
        <v>3862.1968765145998</v>
      </c>
      <c r="K21" s="40"/>
      <c r="L21" s="54">
        <v>3308222.0510012801</v>
      </c>
      <c r="M21" s="43"/>
      <c r="N21" s="54">
        <v>800938.06766759977</v>
      </c>
      <c r="O21" s="40"/>
      <c r="P21" s="54">
        <v>21572904.882644054</v>
      </c>
      <c r="Q21" s="43"/>
      <c r="R21" s="54">
        <v>22010676.469193127</v>
      </c>
      <c r="S21" s="43"/>
      <c r="T21" s="54">
        <v>84159729.182707667</v>
      </c>
      <c r="U21" s="40"/>
      <c r="V21" s="54">
        <v>116561.02930682201</v>
      </c>
      <c r="W21" s="43"/>
      <c r="X21" s="54">
        <v>292767.70014149946</v>
      </c>
      <c r="Y21" s="40"/>
      <c r="Z21" s="40">
        <f t="shared" si="9"/>
        <v>-1443322.8726100326</v>
      </c>
      <c r="AA21" s="40"/>
      <c r="AB21" s="40">
        <f t="shared" si="10"/>
        <v>-44484057.847484067</v>
      </c>
      <c r="AC21" s="17"/>
      <c r="AD21" s="40">
        <v>8942134800.3519897</v>
      </c>
      <c r="AE21" s="40">
        <v>164.01000929</v>
      </c>
      <c r="AF21" s="40">
        <f t="shared" si="11"/>
        <v>5452188460.364418</v>
      </c>
      <c r="AG21" s="40"/>
      <c r="AH21" s="44">
        <f t="shared" si="12"/>
        <v>-8.1589362089862175E-3</v>
      </c>
      <c r="AI21" s="45">
        <f t="shared" si="4"/>
        <v>2032</v>
      </c>
      <c r="AJ21" s="46">
        <f>SUM(AB82:AB85)/AVERAGE(AF82:AF85)</f>
        <v>-3.5866519001201552E-2</v>
      </c>
      <c r="AK21" s="40">
        <v>14182517</v>
      </c>
      <c r="AL21" s="46">
        <f>AK21/AVERAGE(AF82:AF85)</f>
        <v>1.6563869312611029E-3</v>
      </c>
      <c r="AM21" s="46">
        <f>(AF85-AF81)/AF81</f>
        <v>2.7867731524136932E-2</v>
      </c>
      <c r="AN21" s="46"/>
      <c r="AO21" s="40">
        <f t="shared" si="5"/>
        <v>873884372.22943211</v>
      </c>
      <c r="AP21" s="40">
        <f t="shared" si="8"/>
        <v>470859056.9566136</v>
      </c>
      <c r="AQ21" s="47">
        <f>AO21/AF85</f>
        <v>0.10103933176461724</v>
      </c>
      <c r="AR21" s="47">
        <f>AP21/AF85</f>
        <v>5.4441166339708309E-2</v>
      </c>
      <c r="AU21" s="39">
        <v>11267048</v>
      </c>
      <c r="AW21" s="39">
        <f t="shared" si="13"/>
        <v>4.4201465627544492E-4</v>
      </c>
      <c r="AX21" s="56">
        <v>6485.7556979742603</v>
      </c>
      <c r="AY21" s="44">
        <f t="shared" si="14"/>
        <v>9.9668761396366559E-3</v>
      </c>
      <c r="BC21" s="44">
        <f t="shared" si="6"/>
        <v>1.3135789985320809E-2</v>
      </c>
      <c r="BD21" s="39">
        <f t="shared" si="7"/>
        <v>2032</v>
      </c>
      <c r="BE21" s="44">
        <f>SUM(T82:T85)/AVERAGE(AF82:AF85)</f>
        <v>5.8758729576779183E-2</v>
      </c>
      <c r="BF21" s="44">
        <f>SUM(P82:P85)/AVERAGE(AF82:AF85)</f>
        <v>1.041549952977576E-2</v>
      </c>
      <c r="BG21" s="44">
        <f>SUM(D82:D85)/AVERAGE(AF82:AF85)</f>
        <v>8.4209749048204968E-2</v>
      </c>
      <c r="BH21" s="44">
        <f>(SUM(H82:H85)+SUM(J82:J85))/AVERAGE(AF82:AF85)</f>
        <v>1.4697832931712743E-2</v>
      </c>
      <c r="BI21" s="46">
        <f t="shared" si="2"/>
        <v>-5.0564351932914295E-2</v>
      </c>
    </row>
    <row r="22" spans="1:61" s="29" customFormat="1">
      <c r="A22" s="29">
        <f t="shared" si="15"/>
        <v>2017</v>
      </c>
      <c r="B22" s="29">
        <f t="shared" si="16"/>
        <v>1</v>
      </c>
      <c r="C22" s="30"/>
      <c r="D22" s="51">
        <v>102493934.18028198</v>
      </c>
      <c r="E22" s="30"/>
      <c r="F22" s="51">
        <v>18629485.7810276</v>
      </c>
      <c r="G22" s="59">
        <v>68797</v>
      </c>
      <c r="H22" s="59">
        <v>378500.79560338298</v>
      </c>
      <c r="I22" s="59">
        <v>2128</v>
      </c>
      <c r="J22" s="59">
        <v>11707.6281384944</v>
      </c>
      <c r="K22" s="30"/>
      <c r="L22" s="51">
        <v>3669517.0411676099</v>
      </c>
      <c r="M22" s="33"/>
      <c r="N22" s="51">
        <v>767468.07415959984</v>
      </c>
      <c r="O22" s="30"/>
      <c r="P22" s="51">
        <v>23263524.275104851</v>
      </c>
      <c r="Q22" s="33"/>
      <c r="R22" s="51">
        <v>19236463.486876279</v>
      </c>
      <c r="S22" s="33"/>
      <c r="T22" s="51">
        <v>73552285.399063855</v>
      </c>
      <c r="U22" s="30"/>
      <c r="V22" s="51">
        <v>87135.567113885394</v>
      </c>
      <c r="W22" s="33"/>
      <c r="X22" s="51">
        <v>218859.42270899663</v>
      </c>
      <c r="Y22" s="30"/>
      <c r="Z22" s="30">
        <f t="shared" si="9"/>
        <v>-3742871.8423646465</v>
      </c>
      <c r="AA22" s="30"/>
      <c r="AB22" s="30">
        <f t="shared" si="10"/>
        <v>-52205173.056322977</v>
      </c>
      <c r="AC22" s="17"/>
      <c r="AD22" s="30">
        <v>9157377218.4824009</v>
      </c>
      <c r="AE22" s="30">
        <v>172.09591728000001</v>
      </c>
      <c r="AF22" s="30">
        <f t="shared" si="11"/>
        <v>5321089171.2110472</v>
      </c>
      <c r="AG22" s="30"/>
      <c r="AH22" s="34">
        <f t="shared" si="12"/>
        <v>-9.8109938353920494E-3</v>
      </c>
      <c r="AI22" s="35">
        <f t="shared" si="4"/>
        <v>2033</v>
      </c>
      <c r="AJ22" s="36">
        <f>SUM(AB86:AB89)/AVERAGE(AF86:AF89)</f>
        <v>-3.7086675511279581E-2</v>
      </c>
      <c r="AK22" s="30">
        <v>12927227</v>
      </c>
      <c r="AL22" s="36">
        <f>AK22/AVERAGE(AF86:AF89)</f>
        <v>1.4791171623881392E-3</v>
      </c>
      <c r="AM22" s="36">
        <f>(AF89-AF85)/AF85</f>
        <v>1.8261613585077965E-2</v>
      </c>
      <c r="AN22" s="36"/>
      <c r="AO22" s="30">
        <f t="shared" si="5"/>
        <v>889842910.9531244</v>
      </c>
      <c r="AP22" s="30">
        <f t="shared" si="8"/>
        <v>466422629.9695546</v>
      </c>
      <c r="AQ22" s="37">
        <f>AO22/AF89</f>
        <v>0.10103933176461724</v>
      </c>
      <c r="AR22" s="37">
        <f>AP22/AF89</f>
        <v>5.2961067927754395E-2</v>
      </c>
      <c r="AU22" s="29">
        <v>11118502</v>
      </c>
      <c r="AW22" s="29">
        <f t="shared" si="13"/>
        <v>-1.3184109981602989E-2</v>
      </c>
      <c r="AX22" s="53">
        <v>6583.2437564605498</v>
      </c>
      <c r="AY22" s="34">
        <f t="shared" si="14"/>
        <v>1.5031102469175418E-2</v>
      </c>
      <c r="BC22" s="34">
        <f t="shared" si="6"/>
        <v>1.496327177239205E-2</v>
      </c>
      <c r="BD22" s="29">
        <f t="shared" si="7"/>
        <v>2033</v>
      </c>
      <c r="BE22" s="34">
        <f>SUM(T86:T89)/AVERAGE(AF86:AF89)</f>
        <v>5.881117884794785E-2</v>
      </c>
      <c r="BF22" s="34">
        <f>SUM(P86:P89)/AVERAGE(AF86:AF89)</f>
        <v>1.0509535389871366E-2</v>
      </c>
      <c r="BG22" s="34">
        <f>SUM(D86:D89)/AVERAGE(AF86:AF89)</f>
        <v>8.5388318969356072E-2</v>
      </c>
      <c r="BH22" s="34">
        <f>(SUM(H86:H89)+SUM(J86:J89))/AVERAGE(AF86:AF89)</f>
        <v>1.6092839015995911E-2</v>
      </c>
      <c r="BI22" s="36">
        <f t="shared" si="2"/>
        <v>-5.3179514527275491E-2</v>
      </c>
    </row>
    <row r="23" spans="1:61" s="39" customFormat="1">
      <c r="A23" s="39">
        <f t="shared" si="15"/>
        <v>2017</v>
      </c>
      <c r="B23" s="39">
        <f t="shared" si="16"/>
        <v>2</v>
      </c>
      <c r="C23" s="40"/>
      <c r="D23" s="54">
        <v>109624897.34845485</v>
      </c>
      <c r="E23" s="40"/>
      <c r="F23" s="54">
        <v>19925622.747658599</v>
      </c>
      <c r="G23" s="57">
        <v>101425</v>
      </c>
      <c r="H23" s="57">
        <v>558010.42478702799</v>
      </c>
      <c r="I23" s="57">
        <v>3137</v>
      </c>
      <c r="J23" s="57">
        <v>17258.8484353651</v>
      </c>
      <c r="K23" s="40"/>
      <c r="L23" s="54">
        <v>3385199.3744059298</v>
      </c>
      <c r="M23" s="43"/>
      <c r="N23" s="54">
        <v>823073.95504080132</v>
      </c>
      <c r="O23" s="40"/>
      <c r="P23" s="54">
        <v>22094125.700910278</v>
      </c>
      <c r="Q23" s="43"/>
      <c r="R23" s="54">
        <v>21829419.896147445</v>
      </c>
      <c r="S23" s="43"/>
      <c r="T23" s="54">
        <v>83466678.965852171</v>
      </c>
      <c r="U23" s="40"/>
      <c r="V23" s="54">
        <v>96012.055103505103</v>
      </c>
      <c r="W23" s="43"/>
      <c r="X23" s="54">
        <v>241154.60137642204</v>
      </c>
      <c r="Y23" s="40"/>
      <c r="Z23" s="40">
        <f t="shared" si="9"/>
        <v>-2208464.1258543767</v>
      </c>
      <c r="AA23" s="40"/>
      <c r="AB23" s="40">
        <f t="shared" si="10"/>
        <v>-48252344.083512954</v>
      </c>
      <c r="AC23" s="17"/>
      <c r="AD23" s="40">
        <v>10595155405.883801</v>
      </c>
      <c r="AE23" s="40">
        <v>183.45579240999999</v>
      </c>
      <c r="AF23" s="40">
        <f t="shared" si="11"/>
        <v>5775318002.6090412</v>
      </c>
      <c r="AG23" s="40"/>
      <c r="AH23" s="44">
        <f t="shared" si="12"/>
        <v>-8.3549241897527739E-3</v>
      </c>
      <c r="AI23" s="45">
        <f t="shared" si="4"/>
        <v>2034</v>
      </c>
      <c r="AJ23" s="46">
        <f>SUM(AB90:AB93)/AVERAGE(AF90:AF93)</f>
        <v>-3.8630399649679736E-2</v>
      </c>
      <c r="AK23" s="40">
        <v>11761006</v>
      </c>
      <c r="AL23" s="46">
        <f>AK23/AVERAGE(AF90:AF93)</f>
        <v>1.3220046421681048E-3</v>
      </c>
      <c r="AM23" s="46">
        <f>(AF93-AF89)/AF89</f>
        <v>1.6932720984185603E-2</v>
      </c>
      <c r="AN23" s="46"/>
      <c r="AO23" s="40">
        <f t="shared" si="5"/>
        <v>904910372.68404925</v>
      </c>
      <c r="AP23" s="40">
        <f t="shared" si="8"/>
        <v>462468429.76778227</v>
      </c>
      <c r="AQ23" s="47">
        <f>AO23/AF93</f>
        <v>0.10103933176461724</v>
      </c>
      <c r="AR23" s="47">
        <f>AP23/AF93</f>
        <v>5.1637711884515568E-2</v>
      </c>
      <c r="AU23" s="39">
        <v>11135499</v>
      </c>
      <c r="AW23" s="39">
        <f t="shared" si="13"/>
        <v>1.5287131305997876E-3</v>
      </c>
      <c r="AX23" s="56">
        <v>6550.8123021847196</v>
      </c>
      <c r="AY23" s="44">
        <f t="shared" si="14"/>
        <v>-4.9263638831545924E-3</v>
      </c>
      <c r="BC23" s="44">
        <f t="shared" si="6"/>
        <v>1.316856941653854E-2</v>
      </c>
      <c r="BD23" s="39">
        <f t="shared" si="7"/>
        <v>2034</v>
      </c>
      <c r="BE23" s="44">
        <f>SUM(T90:T93)/AVERAGE(AF90:AF93)</f>
        <v>5.8935260851266817E-2</v>
      </c>
      <c r="BF23" s="44">
        <f>SUM(P90:P93)/AVERAGE(AF90:AF93)</f>
        <v>1.0399179264501478E-2</v>
      </c>
      <c r="BG23" s="44">
        <f>SUM(D90:D93)/AVERAGE(AF90:AF93)</f>
        <v>8.7166481236445076E-2</v>
      </c>
      <c r="BH23" s="44">
        <f>(SUM(H90:H93)+SUM(J90:J93))/AVERAGE(AF90:AF93)</f>
        <v>1.758642399673729E-2</v>
      </c>
      <c r="BI23" s="46">
        <f t="shared" si="2"/>
        <v>-5.621682364641703E-2</v>
      </c>
    </row>
    <row r="24" spans="1:61" s="39" customFormat="1">
      <c r="A24" s="39">
        <f t="shared" si="15"/>
        <v>2017</v>
      </c>
      <c r="B24" s="39">
        <f t="shared" si="16"/>
        <v>3</v>
      </c>
      <c r="C24" s="40"/>
      <c r="D24" s="54">
        <v>105154028.96075203</v>
      </c>
      <c r="E24" s="40"/>
      <c r="F24" s="54">
        <v>19112989.495518502</v>
      </c>
      <c r="G24" s="57">
        <v>122031</v>
      </c>
      <c r="H24" s="57">
        <v>671378.55703412101</v>
      </c>
      <c r="I24" s="57">
        <v>3774</v>
      </c>
      <c r="J24" s="57">
        <v>20763.434489980202</v>
      </c>
      <c r="K24" s="40"/>
      <c r="L24" s="54">
        <v>3008282.7897310699</v>
      </c>
      <c r="M24" s="43"/>
      <c r="N24" s="54">
        <v>789476.62349499762</v>
      </c>
      <c r="O24" s="40"/>
      <c r="P24" s="54">
        <v>19953461.145896759</v>
      </c>
      <c r="Q24" s="43"/>
      <c r="R24" s="54">
        <v>19580943.123712502</v>
      </c>
      <c r="S24" s="43"/>
      <c r="T24" s="54">
        <v>74869433.147142887</v>
      </c>
      <c r="U24" s="40"/>
      <c r="V24" s="54">
        <v>104459.80879528</v>
      </c>
      <c r="W24" s="43"/>
      <c r="X24" s="54">
        <v>262372.92309518921</v>
      </c>
      <c r="Y24" s="40"/>
      <c r="Z24" s="40">
        <f t="shared" si="9"/>
        <v>-3225345.9762367867</v>
      </c>
      <c r="AA24" s="40"/>
      <c r="AB24" s="40">
        <f t="shared" si="10"/>
        <v>-50238056.959505901</v>
      </c>
      <c r="AC24" s="17"/>
      <c r="AD24" s="40">
        <v>10937239663.7218</v>
      </c>
      <c r="AE24" s="40">
        <v>191.50871928999999</v>
      </c>
      <c r="AF24" s="40">
        <f t="shared" si="11"/>
        <v>5711092269.986743</v>
      </c>
      <c r="AG24" s="40"/>
      <c r="AH24" s="44">
        <f t="shared" si="12"/>
        <v>-8.7965759585989876E-3</v>
      </c>
      <c r="AI24" s="45">
        <f t="shared" si="4"/>
        <v>2035</v>
      </c>
      <c r="AJ24" s="46">
        <f>SUM(AB94:AB97)/AVERAGE(AF94:AF97)</f>
        <v>-3.9706341051136886E-2</v>
      </c>
      <c r="AK24" s="40">
        <v>10643718</v>
      </c>
      <c r="AL24" s="46">
        <f>AK24/AVERAGE(AF94:AF97)</f>
        <v>1.1700451235011112E-3</v>
      </c>
      <c r="AM24" s="46">
        <f>(AF97-AF93)/AF93</f>
        <v>2.3749027775273435E-2</v>
      </c>
      <c r="AN24" s="46"/>
      <c r="AO24" s="40">
        <f t="shared" si="5"/>
        <v>926401114.25905573</v>
      </c>
      <c r="AP24" s="40">
        <f t="shared" si="8"/>
        <v>462692521.77224159</v>
      </c>
      <c r="AQ24" s="47">
        <f>AO24/AF97</f>
        <v>0.10103933176461724</v>
      </c>
      <c r="AR24" s="47">
        <f>AP24/AF97</f>
        <v>5.0464256241470634E-2</v>
      </c>
      <c r="AU24" s="39">
        <v>11142497</v>
      </c>
      <c r="AW24" s="39">
        <f t="shared" si="13"/>
        <v>6.2844062937817151E-4</v>
      </c>
      <c r="AX24" s="56">
        <v>6730.9197858612497</v>
      </c>
      <c r="AY24" s="44">
        <f t="shared" si="14"/>
        <v>2.7493916077623477E-2</v>
      </c>
      <c r="BC24" s="44">
        <f t="shared" si="6"/>
        <v>1.5078307760605507E-2</v>
      </c>
      <c r="BD24" s="39">
        <f t="shared" si="7"/>
        <v>2035</v>
      </c>
      <c r="BE24" s="44">
        <f>SUM(T94:T97)/AVERAGE(AF94:AF97)</f>
        <v>5.9118082468921196E-2</v>
      </c>
      <c r="BF24" s="44">
        <f>SUM(P94:P97)/AVERAGE(AF94:AF97)</f>
        <v>1.0263249016395599E-2</v>
      </c>
      <c r="BG24" s="44">
        <f>SUM(D94:D97)/AVERAGE(AF94:AF97)</f>
        <v>8.8561174503662479E-2</v>
      </c>
      <c r="BH24" s="44">
        <f>(SUM(H94:H97)+SUM(J94:J97))/AVERAGE(AF94:AF97)</f>
        <v>1.8958104434615868E-2</v>
      </c>
      <c r="BI24" s="46">
        <f t="shared" si="2"/>
        <v>-5.8664445485752753E-2</v>
      </c>
    </row>
    <row r="25" spans="1:61">
      <c r="A25" s="39">
        <f t="shared" si="15"/>
        <v>2017</v>
      </c>
      <c r="B25" s="39">
        <f t="shared" si="16"/>
        <v>4</v>
      </c>
      <c r="C25" s="40"/>
      <c r="D25" s="54">
        <v>114600535.52053557</v>
      </c>
      <c r="E25" s="40"/>
      <c r="F25" s="54">
        <v>20830003.883182898</v>
      </c>
      <c r="G25" s="57">
        <v>168974</v>
      </c>
      <c r="H25" s="57">
        <v>929645.09260993998</v>
      </c>
      <c r="I25" s="57">
        <v>5226</v>
      </c>
      <c r="J25" s="57">
        <v>28751.910080719801</v>
      </c>
      <c r="K25" s="40"/>
      <c r="L25" s="54">
        <v>3427329.4687653901</v>
      </c>
      <c r="M25" s="43"/>
      <c r="N25" s="54">
        <v>861449.46977990121</v>
      </c>
      <c r="O25" s="40"/>
      <c r="P25" s="54">
        <v>22523869.720306732</v>
      </c>
      <c r="Q25" s="43"/>
      <c r="R25" s="54">
        <v>22460551.896395687</v>
      </c>
      <c r="S25" s="43"/>
      <c r="T25" s="54">
        <v>85879866.870084718</v>
      </c>
      <c r="U25" s="40"/>
      <c r="V25" s="54">
        <v>108003.11649644699</v>
      </c>
      <c r="W25" s="43"/>
      <c r="X25" s="54">
        <v>271272.69047656399</v>
      </c>
      <c r="Y25" s="40"/>
      <c r="Z25" s="40">
        <f t="shared" si="9"/>
        <v>-2550227.8088360541</v>
      </c>
      <c r="AA25" s="40"/>
      <c r="AB25" s="40">
        <f t="shared" si="10"/>
        <v>-51244538.370757587</v>
      </c>
      <c r="AC25" s="17"/>
      <c r="AD25" s="40">
        <v>11544217084.2855</v>
      </c>
      <c r="AE25" s="40">
        <v>200.87293846</v>
      </c>
      <c r="AF25" s="40">
        <f t="shared" si="11"/>
        <v>5747024548.3486614</v>
      </c>
      <c r="AG25" s="40"/>
      <c r="AH25" s="44">
        <f t="shared" si="12"/>
        <v>-8.9167077571440153E-3</v>
      </c>
      <c r="AI25" s="45">
        <f t="shared" si="4"/>
        <v>2036</v>
      </c>
      <c r="AJ25" s="46">
        <f>SUM(AB98:AB101)/AVERAGE(AF98:AF101)</f>
        <v>-3.9656197019596634E-2</v>
      </c>
      <c r="AK25" s="40">
        <v>9587255</v>
      </c>
      <c r="AL25" s="46">
        <f>AK25/AVERAGE(AF98:AF101)</f>
        <v>1.0240137558366943E-3</v>
      </c>
      <c r="AM25" s="46">
        <f>(AF101-AF97)/AF97</f>
        <v>3.0542841216086233E-2</v>
      </c>
      <c r="AN25" s="46"/>
      <c r="AO25" s="40">
        <f t="shared" si="5"/>
        <v>954696036.39427543</v>
      </c>
      <c r="AP25" s="40">
        <f t="shared" si="8"/>
        <v>467103729.94677585</v>
      </c>
      <c r="AQ25" s="47">
        <f>AO25/AF101</f>
        <v>0.10103933176461724</v>
      </c>
      <c r="AR25" s="47">
        <f>AP25/AF101</f>
        <v>4.9435471542160325E-2</v>
      </c>
      <c r="AS25" s="39"/>
      <c r="AT25" s="39"/>
      <c r="AU25" s="39">
        <v>11181611</v>
      </c>
      <c r="AV25" s="39"/>
      <c r="AW25" s="39">
        <f t="shared" si="13"/>
        <v>3.5103442253563094E-3</v>
      </c>
      <c r="AX25" s="56">
        <v>6722.1618287808296</v>
      </c>
      <c r="AY25" s="44">
        <f t="shared" si="14"/>
        <v>-1.3011530903720965E-3</v>
      </c>
      <c r="AZ25" s="39">
        <v>100</v>
      </c>
      <c r="BA25">
        <v>100</v>
      </c>
      <c r="BC25" s="44">
        <f t="shared" si="6"/>
        <v>1.3140896851303699E-2</v>
      </c>
      <c r="BD25" s="39">
        <f t="shared" si="7"/>
        <v>2036</v>
      </c>
      <c r="BE25" s="44">
        <f>SUM(T98:T101)/AVERAGE(AF98:AF101)</f>
        <v>5.9271345642515488E-2</v>
      </c>
      <c r="BF25" s="44">
        <f>SUM(P98:P101)/AVERAGE(AF98:AF101)</f>
        <v>1.01562060380689E-2</v>
      </c>
      <c r="BG25" s="44">
        <f>SUM(D98:D101)/AVERAGE(AF98:AF101)</f>
        <v>8.8771336624043226E-2</v>
      </c>
      <c r="BH25" s="44">
        <f>(SUM(H98:H101)+SUM(J98:J101))/AVERAGE(AF98:AF101)</f>
        <v>2.029093764450253E-2</v>
      </c>
      <c r="BI25" s="46">
        <f t="shared" si="2"/>
        <v>-5.9947134664099164E-2</v>
      </c>
    </row>
    <row r="26" spans="1:61" s="29" customFormat="1">
      <c r="A26" s="29">
        <f t="shared" si="15"/>
        <v>2018</v>
      </c>
      <c r="B26" s="29">
        <f t="shared" si="16"/>
        <v>1</v>
      </c>
      <c r="C26" s="30">
        <f>D26*0.081</f>
        <v>8708565.1420347113</v>
      </c>
      <c r="D26" s="51">
        <v>107513149.90166309</v>
      </c>
      <c r="E26" s="30"/>
      <c r="F26" s="51">
        <v>19541787.651974499</v>
      </c>
      <c r="G26" s="59">
        <v>183168</v>
      </c>
      <c r="H26" s="59">
        <v>1007736.29270289</v>
      </c>
      <c r="I26" s="59">
        <v>5665</v>
      </c>
      <c r="J26" s="59">
        <v>31167.1585547795</v>
      </c>
      <c r="K26" s="30"/>
      <c r="L26" s="51">
        <v>3677262.4433084</v>
      </c>
      <c r="M26" s="33"/>
      <c r="N26" s="51">
        <v>810651.3727139011</v>
      </c>
      <c r="O26" s="30"/>
      <c r="P26" s="51">
        <v>23541296.971146353</v>
      </c>
      <c r="Q26" s="33"/>
      <c r="R26" s="51">
        <v>19522625.706674058</v>
      </c>
      <c r="S26" s="33"/>
      <c r="T26" s="51">
        <v>74646451.448626727</v>
      </c>
      <c r="U26" s="30"/>
      <c r="V26" s="51">
        <v>93458.325591348694</v>
      </c>
      <c r="W26" s="33"/>
      <c r="X26" s="51">
        <v>234740.36910253332</v>
      </c>
      <c r="Y26" s="30"/>
      <c r="Z26" s="30">
        <f t="shared" si="9"/>
        <v>-4413617.4357313942</v>
      </c>
      <c r="AA26" s="30"/>
      <c r="AB26" s="30">
        <f t="shared" si="10"/>
        <v>-56407995.42418272</v>
      </c>
      <c r="AC26" s="17"/>
      <c r="AD26" s="30"/>
      <c r="AE26" s="30"/>
      <c r="AF26" s="30">
        <f>BA26/100*AF25</f>
        <v>5688642946.6873112</v>
      </c>
      <c r="AG26" s="34">
        <f t="shared" ref="AG26:AG57" si="17">(AF26-AF25)/AF25</f>
        <v>-1.0158578786326136E-2</v>
      </c>
      <c r="AH26" s="34">
        <f t="shared" si="12"/>
        <v>-9.9158966299741132E-3</v>
      </c>
      <c r="AI26" s="35">
        <f t="shared" si="4"/>
        <v>2037</v>
      </c>
      <c r="AJ26" s="36">
        <f>SUM(AB102:AB105)/AVERAGE(AF102:AF105)</f>
        <v>-4.1281620068818324E-2</v>
      </c>
      <c r="AK26" s="30">
        <v>8587936</v>
      </c>
      <c r="AL26" s="36">
        <f>AK26/AVERAGE(AF102:AF105)</f>
        <v>9.014208740867381E-4</v>
      </c>
      <c r="AM26" s="36">
        <f>(AF105-AF101)/AF101</f>
        <v>1.5891388454604562E-2</v>
      </c>
      <c r="AN26" s="36"/>
      <c r="AO26" s="30">
        <f t="shared" si="5"/>
        <v>969867481.96468818</v>
      </c>
      <c r="AP26" s="30">
        <f t="shared" si="8"/>
        <v>465876348.14405191</v>
      </c>
      <c r="AQ26" s="37">
        <f>AO26/AF105</f>
        <v>0.10103933176461724</v>
      </c>
      <c r="AR26" s="37">
        <f>AP26/AF105</f>
        <v>4.8534295433908588E-2</v>
      </c>
      <c r="AU26" s="29">
        <v>11203608</v>
      </c>
      <c r="AW26" s="29">
        <f t="shared" si="13"/>
        <v>1.9672478321773133E-3</v>
      </c>
      <c r="AX26" s="53">
        <v>6640.8100989576496</v>
      </c>
      <c r="AY26" s="34">
        <f t="shared" si="14"/>
        <v>-1.2102018947963117E-2</v>
      </c>
      <c r="AZ26" s="29">
        <f t="shared" ref="AZ26:AZ57" si="18">AZ25*((1+AY26))</f>
        <v>98.789798105203687</v>
      </c>
      <c r="BA26" s="29">
        <f>BA25*(1+AW26)*(1+AY26)</f>
        <v>98.984142121367384</v>
      </c>
      <c r="BC26" s="34">
        <f t="shared" si="6"/>
        <v>1.5125932632274269E-2</v>
      </c>
      <c r="BD26" s="29">
        <f t="shared" si="7"/>
        <v>2037</v>
      </c>
      <c r="BE26" s="34">
        <f>SUM(T102:T105)/AVERAGE(AF102:AF105)</f>
        <v>5.9347973413490837E-2</v>
      </c>
      <c r="BF26" s="34">
        <f>SUM(P102:P105)/AVERAGE(AF102:AF105)</f>
        <v>1.0214022499632668E-2</v>
      </c>
      <c r="BG26" s="34">
        <f>SUM(D102:D105)/AVERAGE(AF102:AF105)</f>
        <v>9.0415570982676496E-2</v>
      </c>
      <c r="BH26" s="34">
        <f>(SUM(H102:H105)+SUM(J102:J105))/AVERAGE(AF102:AF105)</f>
        <v>2.195317965396873E-2</v>
      </c>
      <c r="BI26" s="36">
        <f t="shared" si="2"/>
        <v>-6.3234799722787061E-2</v>
      </c>
    </row>
    <row r="27" spans="1:61" s="39" customFormat="1">
      <c r="A27" s="39">
        <f t="shared" si="15"/>
        <v>2018</v>
      </c>
      <c r="B27" s="39">
        <f t="shared" si="16"/>
        <v>2</v>
      </c>
      <c r="C27" s="40">
        <f>D27*0.081</f>
        <v>8603940.1686725244</v>
      </c>
      <c r="D27" s="54">
        <v>106221483.56385833</v>
      </c>
      <c r="E27" s="40"/>
      <c r="F27" s="54">
        <v>19307012.005333401</v>
      </c>
      <c r="G27" s="57">
        <v>219481</v>
      </c>
      <c r="H27" s="57">
        <v>1207519.70463576</v>
      </c>
      <c r="I27" s="57">
        <v>6788</v>
      </c>
      <c r="J27" s="57">
        <v>37345.573216212397</v>
      </c>
      <c r="K27" s="40"/>
      <c r="L27" s="54">
        <v>2747400.8313832702</v>
      </c>
      <c r="M27" s="43"/>
      <c r="N27" s="54">
        <v>801995.89075169712</v>
      </c>
      <c r="O27" s="40"/>
      <c r="P27" s="54">
        <v>18668620.738514721</v>
      </c>
      <c r="Q27" s="43"/>
      <c r="R27" s="54">
        <v>22277150.344264936</v>
      </c>
      <c r="S27" s="43"/>
      <c r="T27" s="54">
        <v>85178615.139788479</v>
      </c>
      <c r="U27" s="40"/>
      <c r="V27" s="54">
        <v>96698.981289949399</v>
      </c>
      <c r="W27" s="43"/>
      <c r="X27" s="54">
        <v>242879.96191045514</v>
      </c>
      <c r="Y27" s="40"/>
      <c r="Z27" s="40">
        <f t="shared" si="9"/>
        <v>-482559.4019134827</v>
      </c>
      <c r="AA27" s="40"/>
      <c r="AB27" s="40">
        <f t="shared" si="10"/>
        <v>-39711489.162584573</v>
      </c>
      <c r="AC27" s="17"/>
      <c r="AD27" s="40"/>
      <c r="AE27" s="40"/>
      <c r="AF27" s="40">
        <f>BA27/100*AF25</f>
        <v>5696004817.419426</v>
      </c>
      <c r="AG27" s="44">
        <f t="shared" si="17"/>
        <v>1.2941347877004406E-3</v>
      </c>
      <c r="AH27" s="44">
        <f t="shared" si="12"/>
        <v>-6.9718145323788292E-3</v>
      </c>
      <c r="AI27" s="45">
        <f t="shared" si="4"/>
        <v>2038</v>
      </c>
      <c r="AJ27" s="46">
        <f>SUM(AB106:AB109)/AVERAGE(AF106:AF109)</f>
        <v>-4.1889325051174514E-2</v>
      </c>
      <c r="AK27" s="40">
        <v>7643270</v>
      </c>
      <c r="AL27" s="46">
        <f>AK27/AVERAGE(AF106:AF109)</f>
        <v>7.8317140234376967E-4</v>
      </c>
      <c r="AM27" s="46">
        <f>(AF109-AF105)/AF105</f>
        <v>2.4250987377232237E-2</v>
      </c>
      <c r="AN27" s="46"/>
      <c r="AO27" s="40">
        <f t="shared" si="5"/>
        <v>993387726.02740192</v>
      </c>
      <c r="AP27" s="40">
        <f t="shared" si="8"/>
        <v>469446451.90868986</v>
      </c>
      <c r="AQ27" s="47">
        <f>AO27/AF109</f>
        <v>0.10103933176461725</v>
      </c>
      <c r="AR27" s="47">
        <f>AP27/AF109</f>
        <v>4.7748280512594291E-2</v>
      </c>
      <c r="AU27" s="39">
        <v>11276429</v>
      </c>
      <c r="AW27" s="39">
        <f t="shared" si="13"/>
        <v>6.4997811419321349E-3</v>
      </c>
      <c r="AX27" s="56">
        <v>6606.4636345783301</v>
      </c>
      <c r="AY27" s="44">
        <f t="shared" si="14"/>
        <v>-5.1720292957497128E-3</v>
      </c>
      <c r="AZ27" s="39">
        <f t="shared" si="18"/>
        <v>98.278854375282378</v>
      </c>
      <c r="BA27" s="39">
        <f t="shared" ref="BA27:BA90" si="19">BA26*(1+AW27)*(1+AY27)</f>
        <v>99.112240943117328</v>
      </c>
      <c r="BC27" s="44">
        <f t="shared" si="6"/>
        <v>1.3231789082117232E-2</v>
      </c>
      <c r="BD27" s="39">
        <f t="shared" si="7"/>
        <v>2038</v>
      </c>
      <c r="BE27" s="44">
        <f>SUM(T106:T109)/AVERAGE(AF106:AF109)</f>
        <v>5.9578734142422304E-2</v>
      </c>
      <c r="BF27" s="44">
        <f>SUM(P106:P109)/AVERAGE(AF106:AF109)</f>
        <v>1.0306121450662368E-2</v>
      </c>
      <c r="BG27" s="44">
        <f>SUM(D106:D109)/AVERAGE(AF106:AF109)</f>
        <v>9.1161937742934449E-2</v>
      </c>
      <c r="BH27" s="44">
        <f>(SUM(H106:H109)+SUM(J106:J109))/AVERAGE(AF106:AF109)</f>
        <v>2.3619442271913153E-2</v>
      </c>
      <c r="BI27" s="46">
        <f t="shared" si="2"/>
        <v>-6.5508767323087663E-2</v>
      </c>
    </row>
    <row r="28" spans="1:61" s="39" customFormat="1">
      <c r="A28" s="39">
        <f t="shared" si="15"/>
        <v>2018</v>
      </c>
      <c r="B28" s="39">
        <f t="shared" si="16"/>
        <v>3</v>
      </c>
      <c r="C28" s="40">
        <f>D28*0.081</f>
        <v>8543798.4066677447</v>
      </c>
      <c r="D28" s="54">
        <v>105478992.67491043</v>
      </c>
      <c r="E28" s="40"/>
      <c r="F28" s="54">
        <v>19172055.497235399</v>
      </c>
      <c r="G28" s="57">
        <v>249655</v>
      </c>
      <c r="H28" s="57">
        <v>1373528.1498664599</v>
      </c>
      <c r="I28" s="57">
        <v>7721</v>
      </c>
      <c r="J28" s="57">
        <v>42478.663936708297</v>
      </c>
      <c r="K28" s="40"/>
      <c r="L28" s="54">
        <v>2626493.1461475901</v>
      </c>
      <c r="M28" s="43"/>
      <c r="N28" s="54">
        <v>797733.7875680998</v>
      </c>
      <c r="O28" s="40"/>
      <c r="P28" s="54">
        <v>18017781.350863416</v>
      </c>
      <c r="Q28" s="43"/>
      <c r="R28" s="54">
        <v>19819135.291422132</v>
      </c>
      <c r="S28" s="43"/>
      <c r="T28" s="54">
        <v>75780181.54490076</v>
      </c>
      <c r="U28" s="40"/>
      <c r="V28" s="54">
        <v>96428.701769524298</v>
      </c>
      <c r="W28" s="43"/>
      <c r="X28" s="54">
        <v>242201.09767889525</v>
      </c>
      <c r="Y28" s="40"/>
      <c r="Z28" s="40">
        <f t="shared" si="9"/>
        <v>-2680718.4377594329</v>
      </c>
      <c r="AA28" s="40"/>
      <c r="AB28" s="40">
        <f t="shared" si="10"/>
        <v>-47716592.480873078</v>
      </c>
      <c r="AC28" s="17"/>
      <c r="AD28" s="40"/>
      <c r="AE28" s="40"/>
      <c r="AF28" s="40">
        <f>BA28/100*AF25</f>
        <v>5768985468.6764021</v>
      </c>
      <c r="AG28" s="44">
        <f t="shared" si="17"/>
        <v>1.2812603499524426E-2</v>
      </c>
      <c r="AH28" s="44">
        <f t="shared" si="12"/>
        <v>-8.2712277123868118E-3</v>
      </c>
      <c r="AI28" s="45">
        <f t="shared" si="4"/>
        <v>2039</v>
      </c>
      <c r="AJ28" s="46">
        <f>SUM(AB110:AB113)/AVERAGE(AF110:AF113)</f>
        <v>-4.3124214636936463E-2</v>
      </c>
      <c r="AK28" s="40">
        <v>6785350</v>
      </c>
      <c r="AL28" s="46">
        <f>AK28/AVERAGE(AF110:AF113)</f>
        <v>6.8050321818885614E-4</v>
      </c>
      <c r="AM28" s="46">
        <f>(AF113-AF109)/AF109</f>
        <v>2.190318940175235E-2</v>
      </c>
      <c r="AN28" s="46"/>
      <c r="AO28" s="40">
        <f t="shared" si="5"/>
        <v>1015146085.5399561</v>
      </c>
      <c r="AP28" s="40">
        <f t="shared" si="8"/>
        <v>472875625.06800097</v>
      </c>
      <c r="AQ28" s="47">
        <f>AO28/AF113</f>
        <v>0.10103933176461724</v>
      </c>
      <c r="AR28" s="47">
        <f>AP28/AF113</f>
        <v>4.7066168943785895E-2</v>
      </c>
      <c r="AU28" s="39">
        <v>11306949</v>
      </c>
      <c r="AW28" s="39">
        <f t="shared" si="13"/>
        <v>2.7065305869437921E-3</v>
      </c>
      <c r="AX28" s="56">
        <v>6673.0488229148204</v>
      </c>
      <c r="AY28" s="44">
        <f t="shared" si="14"/>
        <v>1.0078794347399786E-2</v>
      </c>
      <c r="AZ28" s="39">
        <f t="shared" si="18"/>
        <v>99.269386737228913</v>
      </c>
      <c r="BA28" s="39">
        <f>BA27*(1+AW28)*(1+AY28)</f>
        <v>100.38212678827082</v>
      </c>
      <c r="BC28" s="44">
        <f t="shared" si="6"/>
        <v>1.5065770435016045E-2</v>
      </c>
      <c r="BD28" s="39">
        <f t="shared" si="7"/>
        <v>2039</v>
      </c>
      <c r="BE28" s="44">
        <f>SUM(T110:T113)/AVERAGE(AF110:AF113)</f>
        <v>5.9720162459714683E-2</v>
      </c>
      <c r="BF28" s="44">
        <f>SUM(P110:P113)/AVERAGE(AF110:AF113)</f>
        <v>1.0290548774667842E-2</v>
      </c>
      <c r="BG28" s="44">
        <f>SUM(D110:D113)/AVERAGE(AF110:AF113)</f>
        <v>9.2553828321983292E-2</v>
      </c>
      <c r="BH28" s="44">
        <f>(SUM(H110:H113)+SUM(J110:J113))/AVERAGE(AF110:AF113)</f>
        <v>2.5351628043029689E-2</v>
      </c>
      <c r="BI28" s="46">
        <f t="shared" si="2"/>
        <v>-6.8475842679966148E-2</v>
      </c>
    </row>
    <row r="29" spans="1:61" s="39" customFormat="1">
      <c r="A29" s="39">
        <f t="shared" si="15"/>
        <v>2018</v>
      </c>
      <c r="B29" s="39">
        <f t="shared" si="16"/>
        <v>4</v>
      </c>
      <c r="C29" s="40">
        <f>D29*0.081</f>
        <v>8677817.5155689381</v>
      </c>
      <c r="D29" s="54">
        <v>107133549.57492517</v>
      </c>
      <c r="E29" s="40"/>
      <c r="F29" s="54">
        <v>19472790.7991754</v>
      </c>
      <c r="G29" s="57">
        <v>266411</v>
      </c>
      <c r="H29" s="57">
        <v>1465714.7180472</v>
      </c>
      <c r="I29" s="57">
        <v>8239</v>
      </c>
      <c r="J29" s="57">
        <v>45328.547101999698</v>
      </c>
      <c r="K29" s="40"/>
      <c r="L29" s="54">
        <v>2662944.5633632098</v>
      </c>
      <c r="M29" s="43"/>
      <c r="N29" s="54">
        <v>815475.44803979993</v>
      </c>
      <c r="O29" s="40"/>
      <c r="P29" s="54">
        <v>18304537.309357189</v>
      </c>
      <c r="Q29" s="43"/>
      <c r="R29" s="54">
        <v>22679770.124790549</v>
      </c>
      <c r="S29" s="43"/>
      <c r="T29" s="54">
        <v>86718066.766369</v>
      </c>
      <c r="U29" s="40"/>
      <c r="V29" s="54">
        <v>104461.713769498</v>
      </c>
      <c r="W29" s="43"/>
      <c r="X29" s="54">
        <v>262377.70784120553</v>
      </c>
      <c r="Y29" s="40"/>
      <c r="Z29" s="40">
        <f t="shared" si="9"/>
        <v>-166978.97201836109</v>
      </c>
      <c r="AA29" s="40"/>
      <c r="AB29" s="40">
        <f t="shared" si="10"/>
        <v>-38720020.11791335</v>
      </c>
      <c r="AC29" s="17"/>
      <c r="AD29" s="40"/>
      <c r="AE29" s="40"/>
      <c r="AF29" s="40">
        <f>BA29/100*AF25</f>
        <v>5795394756.2703476</v>
      </c>
      <c r="AG29" s="44">
        <f t="shared" si="17"/>
        <v>4.577804492200372E-3</v>
      </c>
      <c r="AH29" s="44">
        <f t="shared" si="12"/>
        <v>-6.6811704372717823E-3</v>
      </c>
      <c r="AI29" s="45">
        <f t="shared" si="4"/>
        <v>2040</v>
      </c>
      <c r="AJ29" s="46">
        <f>SUM(AB114:AB117)/AVERAGE(AF114:AF117)</f>
        <v>-4.4430853611092259E-2</v>
      </c>
      <c r="AK29" s="40">
        <v>5982042</v>
      </c>
      <c r="AL29" s="46">
        <f>AK29/AVERAGE(AF114:AF117)</f>
        <v>5.8748975585507478E-4</v>
      </c>
      <c r="AM29" s="46">
        <f>(AF117-AF113)/AF113</f>
        <v>2.2660090713958105E-2</v>
      </c>
      <c r="AN29" s="46"/>
      <c r="AO29" s="40">
        <f t="shared" si="5"/>
        <v>1038149387.9262109</v>
      </c>
      <c r="AP29" s="40">
        <f t="shared" si="8"/>
        <v>477547110.24302965</v>
      </c>
      <c r="AQ29" s="47">
        <f>AO29/AF117</f>
        <v>0.10103933176461723</v>
      </c>
      <c r="AR29" s="47">
        <f>AP29/AF117</f>
        <v>4.6477936091129574E-2</v>
      </c>
      <c r="AU29" s="39">
        <v>11331440</v>
      </c>
      <c r="AW29" s="39">
        <f t="shared" si="13"/>
        <v>2.1660131305093885E-3</v>
      </c>
      <c r="AX29" s="56">
        <v>6689.1080399471102</v>
      </c>
      <c r="AY29" s="44">
        <f t="shared" si="14"/>
        <v>2.4065786806689413E-3</v>
      </c>
      <c r="AZ29" s="39">
        <f t="shared" si="18"/>
        <v>99.508286326993797</v>
      </c>
      <c r="BA29" s="39">
        <f t="shared" si="19"/>
        <v>100.84165653921879</v>
      </c>
      <c r="BC29" s="44">
        <f t="shared" si="6"/>
        <v>1.3162163317552921E-2</v>
      </c>
      <c r="BD29" s="39">
        <f t="shared" si="7"/>
        <v>2040</v>
      </c>
      <c r="BE29" s="44">
        <f>SUM(T114:T117)/AVERAGE(AF114:AF117)</f>
        <v>5.9764480129746562E-2</v>
      </c>
      <c r="BF29" s="44">
        <f>SUM(P114:P117)/AVERAGE(AF114:AF117)</f>
        <v>1.0234253657061713E-2</v>
      </c>
      <c r="BG29" s="44">
        <f>SUM(D114:D117)/AVERAGE(AF114:AF117)</f>
        <v>9.3961080083777113E-2</v>
      </c>
      <c r="BH29" s="44">
        <f>(SUM(H114:H117)+SUM(J114:J117))/AVERAGE(AF114:AF117)</f>
        <v>2.7178741312989151E-2</v>
      </c>
      <c r="BI29" s="46">
        <f t="shared" si="2"/>
        <v>-7.1609594924081407E-2</v>
      </c>
    </row>
    <row r="30" spans="1:61" s="29" customFormat="1">
      <c r="A30" s="29">
        <f t="shared" si="15"/>
        <v>2019</v>
      </c>
      <c r="B30" s="29">
        <f t="shared" si="16"/>
        <v>1</v>
      </c>
      <c r="C30" s="30"/>
      <c r="D30" s="51">
        <v>108392365.23527169</v>
      </c>
      <c r="E30" s="30"/>
      <c r="F30" s="51">
        <v>19701595.446327601</v>
      </c>
      <c r="G30" s="59">
        <v>300922</v>
      </c>
      <c r="H30" s="59">
        <v>1655584.0576560199</v>
      </c>
      <c r="I30" s="59">
        <v>9307</v>
      </c>
      <c r="J30" s="59">
        <v>51204.367991056097</v>
      </c>
      <c r="K30" s="30"/>
      <c r="L30" s="51">
        <v>3084034.7874580398</v>
      </c>
      <c r="M30" s="33"/>
      <c r="N30" s="51">
        <v>826048.45478370041</v>
      </c>
      <c r="O30" s="30"/>
      <c r="P30" s="51">
        <v>20547746.047527589</v>
      </c>
      <c r="Q30" s="33"/>
      <c r="R30" s="51">
        <v>20201219.857457146</v>
      </c>
      <c r="S30" s="33"/>
      <c r="T30" s="51">
        <v>77241114.999054521</v>
      </c>
      <c r="U30" s="30"/>
      <c r="V30" s="51">
        <v>103207.309524075</v>
      </c>
      <c r="W30" s="33"/>
      <c r="X30" s="51">
        <v>259227.00603148213</v>
      </c>
      <c r="Y30" s="30"/>
      <c r="Z30" s="30">
        <f t="shared" si="9"/>
        <v>-3307251.5215881206</v>
      </c>
      <c r="AA30" s="30"/>
      <c r="AB30" s="30">
        <f t="shared" si="10"/>
        <v>-51698996.28374476</v>
      </c>
      <c r="AC30" s="17"/>
      <c r="AD30" s="30"/>
      <c r="AE30" s="30"/>
      <c r="AF30" s="30">
        <f>BA30/100*AF25</f>
        <v>5865566148.8974361</v>
      </c>
      <c r="AG30" s="34">
        <f t="shared" si="17"/>
        <v>1.2108129916631885E-2</v>
      </c>
      <c r="AH30" s="34">
        <f t="shared" si="12"/>
        <v>-8.8139823115732374E-3</v>
      </c>
      <c r="AK30" s="30"/>
      <c r="AP30" s="49">
        <f>(AP29-AP6)/AP6</f>
        <v>-0.17760075326917579</v>
      </c>
      <c r="AU30" s="29">
        <v>11393915</v>
      </c>
      <c r="AW30" s="29">
        <f t="shared" si="13"/>
        <v>5.5134210656368476E-3</v>
      </c>
      <c r="AX30" s="53">
        <v>6732.9788815213096</v>
      </c>
      <c r="AY30" s="34">
        <f t="shared" si="14"/>
        <v>6.5585488098270101E-3</v>
      </c>
      <c r="AZ30" s="29">
        <f t="shared" si="18"/>
        <v>100.16091627985162</v>
      </c>
      <c r="BA30" s="29">
        <f t="shared" si="19"/>
        <v>102.06266041760404</v>
      </c>
      <c r="BC30" s="34">
        <f t="shared" si="6"/>
        <v>1.5133906462293286E-2</v>
      </c>
    </row>
    <row r="31" spans="1:61" s="39" customFormat="1">
      <c r="A31" s="39">
        <f t="shared" si="15"/>
        <v>2019</v>
      </c>
      <c r="B31" s="39">
        <f t="shared" si="16"/>
        <v>2</v>
      </c>
      <c r="C31" s="40"/>
      <c r="D31" s="54">
        <v>109772886.00674729</v>
      </c>
      <c r="E31" s="40"/>
      <c r="F31" s="54">
        <v>19952521.438078299</v>
      </c>
      <c r="G31" s="57">
        <v>324097</v>
      </c>
      <c r="H31" s="57">
        <v>1783086.0699255699</v>
      </c>
      <c r="I31" s="57">
        <v>10024</v>
      </c>
      <c r="J31" s="57">
        <v>55149.090441855202</v>
      </c>
      <c r="K31" s="40"/>
      <c r="L31" s="54">
        <v>2569487.0643447302</v>
      </c>
      <c r="M31" s="43"/>
      <c r="N31" s="54">
        <v>836772.47064249963</v>
      </c>
      <c r="O31" s="40"/>
      <c r="P31" s="54">
        <v>17936755.837394558</v>
      </c>
      <c r="Q31" s="43"/>
      <c r="R31" s="54">
        <v>23302395.123625655</v>
      </c>
      <c r="S31" s="43"/>
      <c r="T31" s="54">
        <v>89098727.413382128</v>
      </c>
      <c r="U31" s="40"/>
      <c r="V31" s="54">
        <v>104897.45287220999</v>
      </c>
      <c r="W31" s="43"/>
      <c r="X31" s="54">
        <v>263472.15884014883</v>
      </c>
      <c r="Y31" s="40"/>
      <c r="Z31" s="40">
        <f t="shared" si="9"/>
        <v>48511.60343233496</v>
      </c>
      <c r="AA31" s="40"/>
      <c r="AB31" s="40">
        <f t="shared" si="10"/>
        <v>-38610914.430759713</v>
      </c>
      <c r="AC31" s="17"/>
      <c r="AD31" s="40"/>
      <c r="AE31" s="40"/>
      <c r="AF31" s="40">
        <f>BA31/100*AF25</f>
        <v>5909066775.1302185</v>
      </c>
      <c r="AG31" s="44">
        <f t="shared" si="17"/>
        <v>7.4162706767801562E-3</v>
      </c>
      <c r="AH31" s="44">
        <f t="shared" si="12"/>
        <v>-6.5341814367817566E-3</v>
      </c>
      <c r="AK31" s="40"/>
      <c r="AU31" s="39">
        <v>11408161</v>
      </c>
      <c r="AW31" s="39">
        <f t="shared" si="13"/>
        <v>1.2503165066616699E-3</v>
      </c>
      <c r="AX31" s="56">
        <v>6774.4422783636501</v>
      </c>
      <c r="AY31" s="44">
        <f t="shared" si="14"/>
        <v>6.1582544029860128E-3</v>
      </c>
      <c r="AZ31" s="39">
        <f t="shared" si="18"/>
        <v>100.77773268353914</v>
      </c>
      <c r="BA31" s="39">
        <f t="shared" si="19"/>
        <v>102.81958473325328</v>
      </c>
      <c r="BC31" s="44">
        <f t="shared" si="6"/>
        <v>1.3195488220161509E-2</v>
      </c>
    </row>
    <row r="32" spans="1:61" s="39" customFormat="1">
      <c r="A32" s="39">
        <f t="shared" si="15"/>
        <v>2019</v>
      </c>
      <c r="B32" s="39">
        <f t="shared" si="16"/>
        <v>3</v>
      </c>
      <c r="C32" s="40">
        <f>SUM(C26:C29)</f>
        <v>34534121.232943922</v>
      </c>
      <c r="D32" s="54">
        <v>110969964.69968459</v>
      </c>
      <c r="E32" s="40"/>
      <c r="F32" s="54">
        <v>20170104.660609499</v>
      </c>
      <c r="G32" s="57">
        <v>359761</v>
      </c>
      <c r="H32" s="57">
        <v>1979298.8753444001</v>
      </c>
      <c r="I32" s="57">
        <v>11126</v>
      </c>
      <c r="J32" s="57">
        <v>61211.969299289798</v>
      </c>
      <c r="K32" s="40"/>
      <c r="L32" s="54">
        <v>2530124.2755160299</v>
      </c>
      <c r="M32" s="43"/>
      <c r="N32" s="54">
        <v>846830.70797590166</v>
      </c>
      <c r="O32" s="40"/>
      <c r="P32" s="54">
        <v>17787839.593188193</v>
      </c>
      <c r="Q32" s="43"/>
      <c r="R32" s="54">
        <v>20372508.153940961</v>
      </c>
      <c r="S32" s="43"/>
      <c r="T32" s="54">
        <v>77896050.646508232</v>
      </c>
      <c r="U32" s="40"/>
      <c r="V32" s="54">
        <v>107487.165492054</v>
      </c>
      <c r="W32" s="43"/>
      <c r="X32" s="54">
        <v>269976.77030633099</v>
      </c>
      <c r="Y32" s="40"/>
      <c r="Z32" s="40">
        <f t="shared" si="9"/>
        <v>-3067064.3246684149</v>
      </c>
      <c r="AA32" s="40"/>
      <c r="AB32" s="40">
        <f t="shared" si="10"/>
        <v>-50861753.646364555</v>
      </c>
      <c r="AC32" s="17"/>
      <c r="AD32" s="40"/>
      <c r="AE32" s="40"/>
      <c r="AF32" s="40">
        <f>BA32/100*AF25</f>
        <v>5927757559.3160696</v>
      </c>
      <c r="AG32" s="44">
        <f t="shared" si="17"/>
        <v>3.1630687039306991E-3</v>
      </c>
      <c r="AH32" s="44">
        <f t="shared" si="12"/>
        <v>-8.580268868525193E-3</v>
      </c>
      <c r="AK32" s="40"/>
      <c r="AU32" s="39">
        <v>11419136</v>
      </c>
      <c r="AW32" s="39">
        <f t="shared" si="13"/>
        <v>9.6203060247834857E-4</v>
      </c>
      <c r="AX32" s="56">
        <v>6789.3387530698801</v>
      </c>
      <c r="AY32" s="44">
        <f t="shared" si="14"/>
        <v>2.1989226705505628E-3</v>
      </c>
      <c r="AZ32" s="39">
        <f t="shared" si="18"/>
        <v>100.99933512462366</v>
      </c>
      <c r="BA32" s="39">
        <f t="shared" si="19"/>
        <v>103.14481014387417</v>
      </c>
      <c r="BC32" s="44">
        <f t="shared" si="6"/>
        <v>1.5150130872623369E-2</v>
      </c>
    </row>
    <row r="33" spans="1:55" s="39" customFormat="1">
      <c r="A33" s="39">
        <f t="shared" si="15"/>
        <v>2019</v>
      </c>
      <c r="B33" s="39">
        <f t="shared" si="16"/>
        <v>4</v>
      </c>
      <c r="C33" s="40"/>
      <c r="D33" s="54">
        <v>112075635.04469112</v>
      </c>
      <c r="E33" s="40"/>
      <c r="F33" s="54">
        <v>20371073.333883099</v>
      </c>
      <c r="G33" s="57">
        <v>403828</v>
      </c>
      <c r="H33" s="57">
        <v>2221742.5074773999</v>
      </c>
      <c r="I33" s="57">
        <v>12489</v>
      </c>
      <c r="J33" s="57">
        <v>68710.793149274701</v>
      </c>
      <c r="K33" s="40"/>
      <c r="L33" s="54">
        <v>2636845.5631802599</v>
      </c>
      <c r="M33" s="43"/>
      <c r="N33" s="54">
        <v>855337.75664480031</v>
      </c>
      <c r="O33" s="40"/>
      <c r="P33" s="54">
        <v>18388420.134000678</v>
      </c>
      <c r="Q33" s="43"/>
      <c r="R33" s="54">
        <v>23788631.307101645</v>
      </c>
      <c r="S33" s="43"/>
      <c r="T33" s="54">
        <v>90957893.603819206</v>
      </c>
      <c r="U33" s="40"/>
      <c r="V33" s="54">
        <v>106708.805249937</v>
      </c>
      <c r="W33" s="43"/>
      <c r="X33" s="54">
        <v>268021.75378561771</v>
      </c>
      <c r="Y33" s="40"/>
      <c r="Z33" s="40">
        <f t="shared" si="9"/>
        <v>32083.458643421531</v>
      </c>
      <c r="AA33" s="40"/>
      <c r="AB33" s="40">
        <f t="shared" si="10"/>
        <v>-39506161.574872583</v>
      </c>
      <c r="AC33" s="17"/>
      <c r="AD33" s="40"/>
      <c r="AE33" s="40"/>
      <c r="AF33" s="40">
        <f>BA33/100*AF25</f>
        <v>6013374237.1522894</v>
      </c>
      <c r="AG33" s="44">
        <f t="shared" si="17"/>
        <v>1.4443350116717329E-2</v>
      </c>
      <c r="AH33" s="44">
        <f t="shared" si="12"/>
        <v>-6.5697161056088261E-3</v>
      </c>
      <c r="AK33" s="40"/>
      <c r="AU33" s="39">
        <v>11487083</v>
      </c>
      <c r="AW33" s="39">
        <f t="shared" si="13"/>
        <v>5.9502750470788682E-3</v>
      </c>
      <c r="AX33" s="56">
        <v>6846.66003935347</v>
      </c>
      <c r="AY33" s="44">
        <f t="shared" si="14"/>
        <v>8.4428378621808162E-3</v>
      </c>
      <c r="AZ33" s="39">
        <f t="shared" si="18"/>
        <v>101.85205613526891</v>
      </c>
      <c r="BA33" s="39">
        <f t="shared" si="19"/>
        <v>104.63456674950449</v>
      </c>
      <c r="BC33" s="44">
        <f t="shared" si="6"/>
        <v>1.3244909073691703E-2</v>
      </c>
    </row>
    <row r="34" spans="1:55" s="29" customFormat="1">
      <c r="A34" s="29">
        <f t="shared" si="15"/>
        <v>2020</v>
      </c>
      <c r="B34" s="29">
        <f t="shared" si="16"/>
        <v>1</v>
      </c>
      <c r="C34" s="30"/>
      <c r="D34" s="51">
        <v>115015294.63792981</v>
      </c>
      <c r="E34" s="30"/>
      <c r="F34" s="51">
        <v>20905391.262366299</v>
      </c>
      <c r="G34" s="59">
        <v>451000</v>
      </c>
      <c r="H34" s="59">
        <v>2481268.9334872998</v>
      </c>
      <c r="I34" s="59">
        <v>13948</v>
      </c>
      <c r="J34" s="59">
        <v>76737.780674680398</v>
      </c>
      <c r="K34" s="30"/>
      <c r="L34" s="51">
        <v>3123018.11987276</v>
      </c>
      <c r="M34" s="33"/>
      <c r="N34" s="51">
        <v>877780.20168310031</v>
      </c>
      <c r="O34" s="30"/>
      <c r="P34" s="51">
        <v>21034643.552854095</v>
      </c>
      <c r="Q34" s="33"/>
      <c r="R34" s="51">
        <v>20850083.74534101</v>
      </c>
      <c r="S34" s="33"/>
      <c r="T34" s="51">
        <v>79722102.312514707</v>
      </c>
      <c r="U34" s="30"/>
      <c r="V34" s="51">
        <v>105577.22431627</v>
      </c>
      <c r="W34" s="33"/>
      <c r="X34" s="51">
        <v>265179.54872408207</v>
      </c>
      <c r="Y34" s="30"/>
      <c r="Z34" s="30">
        <f t="shared" si="9"/>
        <v>-3950528.6142648794</v>
      </c>
      <c r="AA34" s="30"/>
      <c r="AB34" s="30">
        <f t="shared" si="10"/>
        <v>-56327835.878269196</v>
      </c>
      <c r="AC34" s="17"/>
      <c r="AD34" s="30"/>
      <c r="AE34" s="30"/>
      <c r="AF34" s="30">
        <f>BA34/100*AF25</f>
        <v>6025043311.8117914</v>
      </c>
      <c r="AG34" s="34">
        <f t="shared" si="17"/>
        <v>1.9405202801793472E-3</v>
      </c>
      <c r="AH34" s="34">
        <f t="shared" si="12"/>
        <v>-9.3489511963907937E-3</v>
      </c>
      <c r="AK34" s="30"/>
      <c r="AU34" s="29">
        <v>11486509</v>
      </c>
      <c r="AW34" s="29">
        <f t="shared" si="13"/>
        <v>-4.996916971871797E-5</v>
      </c>
      <c r="AX34" s="53">
        <v>6860.2889249529399</v>
      </c>
      <c r="AY34" s="34">
        <f t="shared" si="14"/>
        <v>1.9905889179736231E-3</v>
      </c>
      <c r="AZ34" s="29">
        <f t="shared" si="18"/>
        <v>102.05480170948461</v>
      </c>
      <c r="BA34" s="29">
        <f t="shared" si="19"/>
        <v>104.8376122482897</v>
      </c>
      <c r="BC34" s="34">
        <f t="shared" si="6"/>
        <v>1.5225991248807044E-2</v>
      </c>
    </row>
    <row r="35" spans="1:55" s="39" customFormat="1">
      <c r="A35" s="39">
        <f t="shared" si="15"/>
        <v>2020</v>
      </c>
      <c r="B35" s="39">
        <f t="shared" si="16"/>
        <v>2</v>
      </c>
      <c r="C35" s="40"/>
      <c r="D35" s="54">
        <v>115781300.88285151</v>
      </c>
      <c r="E35" s="40"/>
      <c r="F35" s="54">
        <v>21044621.964769099</v>
      </c>
      <c r="G35" s="57">
        <v>475849</v>
      </c>
      <c r="H35" s="57">
        <v>2617980.7998469998</v>
      </c>
      <c r="I35" s="57">
        <v>14717</v>
      </c>
      <c r="J35" s="57">
        <v>80968.591782999094</v>
      </c>
      <c r="K35" s="40"/>
      <c r="L35" s="54">
        <v>2607673.1836767299</v>
      </c>
      <c r="M35" s="43"/>
      <c r="N35" s="54">
        <v>884176.06507940218</v>
      </c>
      <c r="O35" s="40"/>
      <c r="P35" s="54">
        <v>18395704.382407807</v>
      </c>
      <c r="Q35" s="43"/>
      <c r="R35" s="54">
        <v>23794948.029688749</v>
      </c>
      <c r="S35" s="43"/>
      <c r="T35" s="54">
        <v>90982046.140112087</v>
      </c>
      <c r="U35" s="40"/>
      <c r="V35" s="54">
        <v>112213.851914069</v>
      </c>
      <c r="W35" s="43"/>
      <c r="X35" s="54">
        <v>281848.84385692369</v>
      </c>
      <c r="Y35" s="40"/>
      <c r="Z35" s="40">
        <f t="shared" si="9"/>
        <v>-629309.33192241192</v>
      </c>
      <c r="AA35" s="40"/>
      <c r="AB35" s="40">
        <f t="shared" si="10"/>
        <v>-43194959.125147223</v>
      </c>
      <c r="AC35" s="17"/>
      <c r="AD35" s="40"/>
      <c r="AE35" s="40"/>
      <c r="AF35" s="40">
        <f>BA35/100*AF25</f>
        <v>6038990606.7233391</v>
      </c>
      <c r="AG35" s="44">
        <f t="shared" si="17"/>
        <v>2.3148870787708196E-3</v>
      </c>
      <c r="AH35" s="44">
        <f t="shared" si="12"/>
        <v>-7.1526786408737482E-3</v>
      </c>
      <c r="AK35" s="60"/>
      <c r="AU35" s="39">
        <v>11514056</v>
      </c>
      <c r="AW35" s="39">
        <f t="shared" si="13"/>
        <v>2.3982047112834719E-3</v>
      </c>
      <c r="AX35" s="56">
        <v>6859.7187094149504</v>
      </c>
      <c r="AY35" s="44">
        <f t="shared" si="14"/>
        <v>-8.3118297819127066E-5</v>
      </c>
      <c r="AZ35" s="39">
        <f t="shared" si="18"/>
        <v>102.04631908808224</v>
      </c>
      <c r="BA35" s="39">
        <f t="shared" si="19"/>
        <v>105.08029948225244</v>
      </c>
      <c r="BC35" s="44">
        <f t="shared" si="6"/>
        <v>1.3338865880412401E-2</v>
      </c>
    </row>
    <row r="36" spans="1:55">
      <c r="A36" s="39">
        <f t="shared" si="15"/>
        <v>2020</v>
      </c>
      <c r="B36" s="39">
        <f t="shared" si="16"/>
        <v>3</v>
      </c>
      <c r="C36" s="40"/>
      <c r="D36" s="54">
        <v>116858796.34838837</v>
      </c>
      <c r="E36" s="40"/>
      <c r="F36" s="54">
        <v>21240469.5201867</v>
      </c>
      <c r="G36" s="57">
        <v>492592</v>
      </c>
      <c r="H36" s="57">
        <v>2710095.84586336</v>
      </c>
      <c r="I36" s="57">
        <v>15235</v>
      </c>
      <c r="J36" s="57">
        <v>83818.474948290503</v>
      </c>
      <c r="K36" s="40"/>
      <c r="L36" s="54">
        <v>2537719.82835946</v>
      </c>
      <c r="M36" s="43"/>
      <c r="N36" s="54">
        <v>893472.98883450031</v>
      </c>
      <c r="O36" s="40"/>
      <c r="P36" s="54">
        <v>18083865.020586811</v>
      </c>
      <c r="Q36" s="43"/>
      <c r="R36" s="54">
        <v>20984951.361783326</v>
      </c>
      <c r="S36" s="43"/>
      <c r="T36" s="54">
        <v>80237780.333187491</v>
      </c>
      <c r="U36" s="40"/>
      <c r="V36" s="54">
        <v>113423.14339395901</v>
      </c>
      <c r="W36" s="43"/>
      <c r="X36" s="54">
        <v>284886.23540599941</v>
      </c>
      <c r="Y36" s="40"/>
      <c r="Z36" s="40">
        <f t="shared" si="9"/>
        <v>-3573287.8322033733</v>
      </c>
      <c r="AA36" s="40"/>
      <c r="AB36" s="40">
        <f t="shared" si="10"/>
        <v>-54704881.035787694</v>
      </c>
      <c r="AC36" s="17"/>
      <c r="AD36" s="40"/>
      <c r="AE36" s="40"/>
      <c r="AF36" s="40">
        <f>BA36/100*AF25</f>
        <v>6096093658.5692749</v>
      </c>
      <c r="AG36" s="44">
        <f t="shared" si="17"/>
        <v>9.4557278798151727E-3</v>
      </c>
      <c r="AH36" s="44">
        <f t="shared" si="12"/>
        <v>-8.9737599354119298E-3</v>
      </c>
      <c r="AI36" s="39"/>
      <c r="AJ36" s="39"/>
      <c r="AU36" s="39">
        <v>11647076</v>
      </c>
      <c r="AW36" s="39">
        <f t="shared" si="13"/>
        <v>1.1552835942434187E-2</v>
      </c>
      <c r="AX36" s="56">
        <v>6845.4974340631697</v>
      </c>
      <c r="AY36" s="44">
        <f t="shared" si="14"/>
        <v>-2.0731572174033804E-3</v>
      </c>
      <c r="AZ36" s="39">
        <f t="shared" si="18"/>
        <v>101.83476102515533</v>
      </c>
      <c r="BA36" s="39">
        <f t="shared" si="19"/>
        <v>106.07391019968611</v>
      </c>
      <c r="BC36" s="44">
        <f t="shared" si="6"/>
        <v>1.5180176679186398E-2</v>
      </c>
    </row>
    <row r="37" spans="1:55">
      <c r="A37" s="39">
        <f t="shared" si="15"/>
        <v>2020</v>
      </c>
      <c r="B37" s="39">
        <f t="shared" si="16"/>
        <v>4</v>
      </c>
      <c r="C37" s="40"/>
      <c r="D37" s="54">
        <v>117979799.48214883</v>
      </c>
      <c r="E37" s="40"/>
      <c r="F37" s="54">
        <v>21444225.109313998</v>
      </c>
      <c r="G37" s="57">
        <v>514289</v>
      </c>
      <c r="H37" s="57">
        <v>2829466.3382134102</v>
      </c>
      <c r="I37" s="57">
        <v>15906</v>
      </c>
      <c r="J37" s="57">
        <v>87510.118971283795</v>
      </c>
      <c r="K37" s="40"/>
      <c r="L37" s="54">
        <v>2597007.2403785498</v>
      </c>
      <c r="M37" s="43"/>
      <c r="N37" s="54">
        <v>902789.87643900141</v>
      </c>
      <c r="O37" s="40"/>
      <c r="P37" s="54">
        <v>18442766.450068071</v>
      </c>
      <c r="Q37" s="43"/>
      <c r="R37" s="54">
        <v>24394104.717065286</v>
      </c>
      <c r="S37" s="43"/>
      <c r="T37" s="54">
        <v>93272973.664224938</v>
      </c>
      <c r="U37" s="40"/>
      <c r="V37" s="54">
        <v>110288.795699735</v>
      </c>
      <c r="W37" s="43"/>
      <c r="X37" s="54">
        <v>277013.65765562374</v>
      </c>
      <c r="Y37" s="40"/>
      <c r="Z37" s="40">
        <f t="shared" si="9"/>
        <v>-439628.71336653084</v>
      </c>
      <c r="AA37" s="40"/>
      <c r="AB37" s="40">
        <f t="shared" si="10"/>
        <v>-43149592.26799196</v>
      </c>
      <c r="AC37" s="17"/>
      <c r="AD37" s="40"/>
      <c r="AE37" s="40"/>
      <c r="AF37" s="40">
        <f>BA37/100*AF25</f>
        <v>6163178945.0145054</v>
      </c>
      <c r="AG37" s="44">
        <f t="shared" si="17"/>
        <v>1.1004635132357053E-2</v>
      </c>
      <c r="AH37" s="44">
        <f t="shared" si="12"/>
        <v>-7.0011908875202075E-3</v>
      </c>
      <c r="AI37" s="39"/>
      <c r="AJ37" s="39"/>
      <c r="AU37" s="39">
        <v>11680443</v>
      </c>
      <c r="AW37" s="39">
        <f t="shared" si="13"/>
        <v>2.8648392094290445E-3</v>
      </c>
      <c r="AX37" s="56">
        <v>6901.05921061137</v>
      </c>
      <c r="AY37" s="44">
        <f t="shared" si="14"/>
        <v>8.1165433313472625E-3</v>
      </c>
      <c r="AZ37" s="39">
        <f t="shared" si="18"/>
        <v>102.6613072756534</v>
      </c>
      <c r="BA37" s="39">
        <f t="shared" si="19"/>
        <v>107.24121487849605</v>
      </c>
      <c r="BC37" s="44">
        <f t="shared" si="6"/>
        <v>1.3310078301530248E-2</v>
      </c>
    </row>
    <row r="38" spans="1:55" s="29" customFormat="1">
      <c r="A38" s="29">
        <f t="shared" si="15"/>
        <v>2021</v>
      </c>
      <c r="B38" s="29">
        <f t="shared" si="16"/>
        <v>1</v>
      </c>
      <c r="C38" s="30"/>
      <c r="D38" s="51">
        <v>118973961.95355202</v>
      </c>
      <c r="E38" s="30"/>
      <c r="F38" s="51">
        <v>21624925.906616401</v>
      </c>
      <c r="G38" s="59">
        <v>557756</v>
      </c>
      <c r="H38" s="59">
        <v>3068608.94737504</v>
      </c>
      <c r="I38" s="59">
        <v>17250</v>
      </c>
      <c r="J38" s="59">
        <v>94904.410427174997</v>
      </c>
      <c r="K38" s="30"/>
      <c r="L38" s="51">
        <v>3045106.2594723101</v>
      </c>
      <c r="M38" s="33"/>
      <c r="N38" s="51">
        <v>911283.19560159743</v>
      </c>
      <c r="O38" s="30"/>
      <c r="P38" s="51">
        <v>20814682.12641703</v>
      </c>
      <c r="Q38" s="33"/>
      <c r="R38" s="51">
        <v>21553709.399889503</v>
      </c>
      <c r="S38" s="33"/>
      <c r="T38" s="51">
        <v>82412475.987112507</v>
      </c>
      <c r="U38" s="30"/>
      <c r="V38" s="51">
        <v>113854.509645281</v>
      </c>
      <c r="W38" s="33"/>
      <c r="X38" s="51">
        <v>285969.70306297904</v>
      </c>
      <c r="Y38" s="30"/>
      <c r="Z38" s="30">
        <f t="shared" si="9"/>
        <v>-3913751.4521555267</v>
      </c>
      <c r="AA38" s="30"/>
      <c r="AB38" s="30">
        <f t="shared" si="10"/>
        <v>-57376168.092856541</v>
      </c>
      <c r="AC38" s="17"/>
      <c r="AD38" s="30"/>
      <c r="AE38" s="30"/>
      <c r="AF38" s="30">
        <f>BA38/100*AF25</f>
        <v>6245504115.6562681</v>
      </c>
      <c r="AG38" s="34">
        <f t="shared" si="17"/>
        <v>1.3357582406130993E-2</v>
      </c>
      <c r="AH38" s="34">
        <f t="shared" si="12"/>
        <v>-9.1867953379496797E-3</v>
      </c>
      <c r="AU38" s="29">
        <v>11765572</v>
      </c>
      <c r="AW38" s="29">
        <f t="shared" si="13"/>
        <v>7.2881653546873178E-3</v>
      </c>
      <c r="AX38" s="53">
        <v>6942.6415580334296</v>
      </c>
      <c r="AY38" s="34">
        <f t="shared" si="14"/>
        <v>6.0255021951008403E-3</v>
      </c>
      <c r="AZ38" s="29">
        <f t="shared" si="18"/>
        <v>103.27989320799476</v>
      </c>
      <c r="BA38" s="29">
        <f t="shared" si="19"/>
        <v>108.67369824356916</v>
      </c>
      <c r="BC38" s="34">
        <f t="shared" si="6"/>
        <v>1.5136639084791112E-2</v>
      </c>
    </row>
    <row r="39" spans="1:55" s="39" customFormat="1">
      <c r="A39" s="39">
        <f t="shared" si="15"/>
        <v>2021</v>
      </c>
      <c r="B39" s="39">
        <f t="shared" si="16"/>
        <v>2</v>
      </c>
      <c r="C39" s="40"/>
      <c r="D39" s="54">
        <v>119825777.54248244</v>
      </c>
      <c r="E39" s="40"/>
      <c r="F39" s="54">
        <v>21779753.473037299</v>
      </c>
      <c r="G39" s="57">
        <v>584130</v>
      </c>
      <c r="H39" s="57">
        <v>3213710.9137869999</v>
      </c>
      <c r="I39" s="57">
        <v>18065</v>
      </c>
      <c r="J39" s="57">
        <v>99388.299963299505</v>
      </c>
      <c r="K39" s="40"/>
      <c r="L39" s="54">
        <v>2558451.3542028498</v>
      </c>
      <c r="M39" s="43"/>
      <c r="N39" s="54">
        <v>918106.55287609994</v>
      </c>
      <c r="O39" s="40"/>
      <c r="P39" s="54">
        <v>18326967.608022153</v>
      </c>
      <c r="Q39" s="43"/>
      <c r="R39" s="54">
        <v>24953762.273399439</v>
      </c>
      <c r="S39" s="43"/>
      <c r="T39" s="54">
        <v>95412872.837340385</v>
      </c>
      <c r="U39" s="40"/>
      <c r="V39" s="54">
        <v>113127.736069798</v>
      </c>
      <c r="W39" s="43"/>
      <c r="X39" s="54">
        <v>284144.2573760018</v>
      </c>
      <c r="Y39" s="40"/>
      <c r="Z39" s="40">
        <f t="shared" si="9"/>
        <v>-189421.37064700946</v>
      </c>
      <c r="AA39" s="40"/>
      <c r="AB39" s="40">
        <f t="shared" si="10"/>
        <v>-42739872.313164204</v>
      </c>
      <c r="AC39" s="17"/>
      <c r="AD39" s="40"/>
      <c r="AE39" s="40"/>
      <c r="AF39" s="40">
        <f>BA39/100*AF25</f>
        <v>6297824991.7136765</v>
      </c>
      <c r="AG39" s="44">
        <f t="shared" si="17"/>
        <v>8.3773663564243022E-3</v>
      </c>
      <c r="AH39" s="44">
        <f t="shared" si="12"/>
        <v>-6.7864496662576245E-3</v>
      </c>
      <c r="AU39" s="39">
        <v>11749859</v>
      </c>
      <c r="AW39" s="39">
        <f t="shared" si="13"/>
        <v>-1.3355066799982185E-3</v>
      </c>
      <c r="AX39" s="56">
        <v>7010.1647316734498</v>
      </c>
      <c r="AY39" s="44">
        <f t="shared" si="14"/>
        <v>9.7258619900789881E-3</v>
      </c>
      <c r="AZ39" s="39">
        <f t="shared" si="18"/>
        <v>104.28437919568583</v>
      </c>
      <c r="BA39" s="39">
        <f t="shared" si="19"/>
        <v>109.58409762706304</v>
      </c>
      <c r="BC39" s="44">
        <f t="shared" ref="BC39:BC70" si="20">T46/AF46</f>
        <v>1.329398920073561E-2</v>
      </c>
    </row>
    <row r="40" spans="1:55" s="39" customFormat="1">
      <c r="A40" s="39">
        <f t="shared" si="15"/>
        <v>2021</v>
      </c>
      <c r="B40" s="39">
        <f t="shared" si="16"/>
        <v>3</v>
      </c>
      <c r="C40" s="40"/>
      <c r="D40" s="54">
        <v>121207167.29226731</v>
      </c>
      <c r="E40" s="40"/>
      <c r="F40" s="54">
        <v>22030837.411881998</v>
      </c>
      <c r="G40" s="57">
        <v>634442</v>
      </c>
      <c r="H40" s="57">
        <v>3490512.6933471202</v>
      </c>
      <c r="I40" s="57">
        <v>19622</v>
      </c>
      <c r="J40" s="57">
        <v>107954.454574031</v>
      </c>
      <c r="K40" s="40"/>
      <c r="L40" s="54">
        <v>2520202.3064387199</v>
      </c>
      <c r="M40" s="43"/>
      <c r="N40" s="54">
        <v>930288.41785330325</v>
      </c>
      <c r="O40" s="40"/>
      <c r="P40" s="54">
        <v>18195514.144219093</v>
      </c>
      <c r="Q40" s="43"/>
      <c r="R40" s="54">
        <v>21958413.002359048</v>
      </c>
      <c r="S40" s="43"/>
      <c r="T40" s="54">
        <v>83959895.287504032</v>
      </c>
      <c r="U40" s="40"/>
      <c r="V40" s="54">
        <v>111066.27878022099</v>
      </c>
      <c r="W40" s="43"/>
      <c r="X40" s="54">
        <v>278966.47099921259</v>
      </c>
      <c r="Y40" s="40"/>
      <c r="Z40" s="40">
        <f t="shared" si="9"/>
        <v>-3411848.8550347537</v>
      </c>
      <c r="AA40" s="40"/>
      <c r="AB40" s="40">
        <f t="shared" si="10"/>
        <v>-55442786.148982368</v>
      </c>
      <c r="AC40" s="17"/>
      <c r="AD40" s="40"/>
      <c r="AE40" s="40"/>
      <c r="AF40" s="40">
        <f>BA40/100*AF25</f>
        <v>6339031458.832221</v>
      </c>
      <c r="AG40" s="44">
        <f t="shared" si="17"/>
        <v>6.5429679568361661E-3</v>
      </c>
      <c r="AH40" s="44">
        <f t="shared" si="12"/>
        <v>-8.7462550878704831E-3</v>
      </c>
      <c r="AU40" s="39">
        <v>11814074</v>
      </c>
      <c r="AW40" s="39">
        <f t="shared" si="13"/>
        <v>5.4651719650423043E-3</v>
      </c>
      <c r="AX40" s="56">
        <v>7017.6791913089301</v>
      </c>
      <c r="AY40" s="44">
        <f t="shared" si="14"/>
        <v>1.0719376681019126E-3</v>
      </c>
      <c r="AZ40" s="39">
        <f t="shared" si="18"/>
        <v>104.39616554994031</v>
      </c>
      <c r="BA40" s="39">
        <f t="shared" si="19"/>
        <v>110.30110286641572</v>
      </c>
      <c r="BC40" s="44">
        <f t="shared" si="20"/>
        <v>1.5141376276096545E-2</v>
      </c>
    </row>
    <row r="41" spans="1:55" s="39" customFormat="1">
      <c r="A41" s="39">
        <f t="shared" si="15"/>
        <v>2021</v>
      </c>
      <c r="B41" s="39">
        <f t="shared" si="16"/>
        <v>4</v>
      </c>
      <c r="C41" s="40"/>
      <c r="D41" s="54">
        <v>122723203.67104781</v>
      </c>
      <c r="E41" s="40"/>
      <c r="F41" s="54">
        <v>22306394.9693891</v>
      </c>
      <c r="G41" s="57">
        <v>668540</v>
      </c>
      <c r="H41" s="57">
        <v>3678109.8288106401</v>
      </c>
      <c r="I41" s="57">
        <v>20677</v>
      </c>
      <c r="J41" s="57">
        <v>113758.753298707</v>
      </c>
      <c r="K41" s="40"/>
      <c r="L41" s="54">
        <v>2514814.2259779298</v>
      </c>
      <c r="M41" s="43"/>
      <c r="N41" s="54">
        <v>944501.58312170208</v>
      </c>
      <c r="O41" s="40"/>
      <c r="P41" s="54">
        <v>18245752.010839202</v>
      </c>
      <c r="Q41" s="43"/>
      <c r="R41" s="54">
        <v>25394894.327809673</v>
      </c>
      <c r="S41" s="43"/>
      <c r="T41" s="54">
        <v>97099579.481042996</v>
      </c>
      <c r="U41" s="40"/>
      <c r="V41" s="54">
        <v>110207.48594489699</v>
      </c>
      <c r="W41" s="43"/>
      <c r="X41" s="54">
        <v>276809.43099372345</v>
      </c>
      <c r="Y41" s="40"/>
      <c r="Z41" s="40">
        <f t="shared" si="9"/>
        <v>-260608.96473416314</v>
      </c>
      <c r="AA41" s="40"/>
      <c r="AB41" s="40">
        <f t="shared" si="10"/>
        <v>-43869376.20084402</v>
      </c>
      <c r="AC41" s="17"/>
      <c r="AD41" s="40"/>
      <c r="AE41" s="40"/>
      <c r="AF41" s="40">
        <f>BA41/100*AF25</f>
        <v>6377225488.5967274</v>
      </c>
      <c r="AG41" s="44">
        <f t="shared" si="17"/>
        <v>6.0252153680812395E-3</v>
      </c>
      <c r="AH41" s="44">
        <f t="shared" si="12"/>
        <v>-6.8790693192969142E-3</v>
      </c>
      <c r="AU41" s="39">
        <v>11800283</v>
      </c>
      <c r="AW41" s="39">
        <f t="shared" si="13"/>
        <v>-1.1673365174452099E-3</v>
      </c>
      <c r="AX41" s="56">
        <v>7068.2132032058598</v>
      </c>
      <c r="AY41" s="44">
        <f t="shared" si="14"/>
        <v>7.2009578265580729E-3</v>
      </c>
      <c r="AZ41" s="39">
        <f t="shared" si="18"/>
        <v>105.14791793531981</v>
      </c>
      <c r="BA41" s="39">
        <f t="shared" si="19"/>
        <v>110.96569076652277</v>
      </c>
      <c r="BC41" s="44">
        <f t="shared" si="20"/>
        <v>1.3291431432020077E-2</v>
      </c>
    </row>
    <row r="42" spans="1:55" s="29" customFormat="1">
      <c r="A42" s="29">
        <f t="shared" si="15"/>
        <v>2022</v>
      </c>
      <c r="B42" s="29">
        <f t="shared" si="16"/>
        <v>1</v>
      </c>
      <c r="C42" s="30"/>
      <c r="D42" s="51">
        <v>123682650.13519152</v>
      </c>
      <c r="E42" s="30"/>
      <c r="F42" s="51">
        <v>22480785.721430901</v>
      </c>
      <c r="G42" s="59">
        <v>709259</v>
      </c>
      <c r="H42" s="59">
        <v>3902133.75276335</v>
      </c>
      <c r="I42" s="59">
        <v>21935</v>
      </c>
      <c r="J42" s="59">
        <v>120679.898128701</v>
      </c>
      <c r="K42" s="30"/>
      <c r="L42" s="51">
        <v>3055512.3632956701</v>
      </c>
      <c r="M42" s="33"/>
      <c r="N42" s="51">
        <v>952625.95175429806</v>
      </c>
      <c r="O42" s="30"/>
      <c r="P42" s="51">
        <v>21096135.094892025</v>
      </c>
      <c r="Q42" s="33"/>
      <c r="R42" s="51">
        <v>22454688.5952751</v>
      </c>
      <c r="S42" s="33"/>
      <c r="T42" s="51">
        <v>85857448.030067876</v>
      </c>
      <c r="U42" s="30"/>
      <c r="V42" s="51">
        <v>114225.06384314199</v>
      </c>
      <c r="W42" s="33"/>
      <c r="X42" s="51">
        <v>286900.42837426619</v>
      </c>
      <c r="Y42" s="30"/>
      <c r="Z42" s="30">
        <f t="shared" si="9"/>
        <v>-3920010.3773626275</v>
      </c>
      <c r="AA42" s="30"/>
      <c r="AB42" s="30">
        <f t="shared" si="10"/>
        <v>-58921337.200015664</v>
      </c>
      <c r="AC42" s="17"/>
      <c r="AD42" s="30"/>
      <c r="AE42" s="30"/>
      <c r="AF42" s="30">
        <f>BA42/100*AF25</f>
        <v>6436637777.1401205</v>
      </c>
      <c r="AG42" s="34">
        <f t="shared" si="17"/>
        <v>9.3163223802623409E-3</v>
      </c>
      <c r="AH42" s="34">
        <f t="shared" si="12"/>
        <v>-9.1540551511654512E-3</v>
      </c>
      <c r="AU42" s="29">
        <v>11874129</v>
      </c>
      <c r="AW42" s="29">
        <f t="shared" si="13"/>
        <v>6.2579855076357067E-3</v>
      </c>
      <c r="AX42" s="53">
        <v>7089.6957428470696</v>
      </c>
      <c r="AY42" s="34">
        <f t="shared" si="14"/>
        <v>3.0393168716905915E-3</v>
      </c>
      <c r="AZ42" s="29">
        <f t="shared" si="18"/>
        <v>105.46749577632377</v>
      </c>
      <c r="BA42" s="29">
        <f t="shared" si="19"/>
        <v>111.99948291485221</v>
      </c>
      <c r="BC42" s="34">
        <f t="shared" si="20"/>
        <v>1.5267429306021197E-2</v>
      </c>
    </row>
    <row r="43" spans="1:55" s="39" customFormat="1">
      <c r="A43" s="39">
        <f t="shared" si="15"/>
        <v>2022</v>
      </c>
      <c r="B43" s="39">
        <f t="shared" si="16"/>
        <v>2</v>
      </c>
      <c r="C43" s="40"/>
      <c r="D43" s="54">
        <v>124735936.83314943</v>
      </c>
      <c r="E43" s="40"/>
      <c r="F43" s="54">
        <v>22672233.046776399</v>
      </c>
      <c r="G43" s="57">
        <v>754152</v>
      </c>
      <c r="H43" s="57">
        <v>4149121.79318695</v>
      </c>
      <c r="I43" s="57">
        <v>23325</v>
      </c>
      <c r="J43" s="57">
        <v>128327.268012398</v>
      </c>
      <c r="K43" s="40"/>
      <c r="L43" s="54">
        <v>2584714.9809986199</v>
      </c>
      <c r="M43" s="43"/>
      <c r="N43" s="54">
        <v>961408.22242350131</v>
      </c>
      <c r="O43" s="40"/>
      <c r="P43" s="54">
        <v>18701482.702109233</v>
      </c>
      <c r="Q43" s="43"/>
      <c r="R43" s="54">
        <v>25646140.460443772</v>
      </c>
      <c r="S43" s="43"/>
      <c r="T43" s="54">
        <v>98060240.845098913</v>
      </c>
      <c r="U43" s="40"/>
      <c r="V43" s="54">
        <v>116823.520970043</v>
      </c>
      <c r="W43" s="43"/>
      <c r="X43" s="54">
        <v>293427.00352106418</v>
      </c>
      <c r="Y43" s="40"/>
      <c r="Z43" s="40">
        <f t="shared" si="9"/>
        <v>-455392.26878470555</v>
      </c>
      <c r="AA43" s="40"/>
      <c r="AB43" s="40">
        <f t="shared" si="10"/>
        <v>-45377178.690159753</v>
      </c>
      <c r="AC43" s="17"/>
      <c r="AD43" s="40"/>
      <c r="AE43" s="40"/>
      <c r="AF43" s="40">
        <f>BA43/100*AF25</f>
        <v>6459756227.9726105</v>
      </c>
      <c r="AG43" s="44">
        <f t="shared" si="17"/>
        <v>3.5916967262933021E-3</v>
      </c>
      <c r="AH43" s="44">
        <f t="shared" si="12"/>
        <v>-7.0245961439943296E-3</v>
      </c>
      <c r="AU43" s="39">
        <v>11920159</v>
      </c>
      <c r="AW43" s="39">
        <f t="shared" si="13"/>
        <v>3.8764948570122492E-3</v>
      </c>
      <c r="AX43" s="56">
        <v>7087.68440768256</v>
      </c>
      <c r="AY43" s="44">
        <f t="shared" si="14"/>
        <v>-2.8369837542588779E-4</v>
      </c>
      <c r="AZ43" s="39">
        <f t="shared" si="18"/>
        <v>105.4375748191118</v>
      </c>
      <c r="BA43" s="39">
        <f t="shared" si="19"/>
        <v>112.40175109098401</v>
      </c>
      <c r="BC43" s="44">
        <f t="shared" si="20"/>
        <v>1.33921203747699E-2</v>
      </c>
    </row>
    <row r="44" spans="1:55" s="39" customFormat="1">
      <c r="A44" s="39">
        <f t="shared" si="15"/>
        <v>2022</v>
      </c>
      <c r="B44" s="39">
        <f t="shared" si="16"/>
        <v>3</v>
      </c>
      <c r="C44" s="40"/>
      <c r="D44" s="54">
        <v>126134758.96616213</v>
      </c>
      <c r="E44" s="40"/>
      <c r="F44" s="54">
        <v>22926485.527623799</v>
      </c>
      <c r="G44" s="57">
        <v>793275</v>
      </c>
      <c r="H44" s="57">
        <v>4364364.9960357798</v>
      </c>
      <c r="I44" s="57">
        <v>24534</v>
      </c>
      <c r="J44" s="57">
        <v>134978.82929972801</v>
      </c>
      <c r="K44" s="40"/>
      <c r="L44" s="54">
        <v>2507502.8262513601</v>
      </c>
      <c r="M44" s="43"/>
      <c r="N44" s="54">
        <v>973377.4761416018</v>
      </c>
      <c r="O44" s="40"/>
      <c r="P44" s="54">
        <v>18366679.766530767</v>
      </c>
      <c r="Q44" s="43"/>
      <c r="R44" s="54">
        <v>22550414.605716009</v>
      </c>
      <c r="S44" s="43"/>
      <c r="T44" s="54">
        <v>86223464.727724746</v>
      </c>
      <c r="U44" s="40"/>
      <c r="V44" s="54">
        <v>112042.94964699</v>
      </c>
      <c r="W44" s="43"/>
      <c r="X44" s="54">
        <v>281419.58663451206</v>
      </c>
      <c r="Y44" s="40"/>
      <c r="Z44" s="40">
        <f t="shared" si="9"/>
        <v>-3744908.2746537626</v>
      </c>
      <c r="AA44" s="40"/>
      <c r="AB44" s="40">
        <f t="shared" si="10"/>
        <v>-58277974.004968151</v>
      </c>
      <c r="AC44" s="17"/>
      <c r="AD44" s="40"/>
      <c r="AE44" s="40"/>
      <c r="AF44" s="40">
        <f>BA44/100*AF25</f>
        <v>6478058413.6617517</v>
      </c>
      <c r="AG44" s="44">
        <f t="shared" si="17"/>
        <v>2.8332625943201266E-3</v>
      </c>
      <c r="AH44" s="44">
        <f t="shared" si="12"/>
        <v>-8.9962100190489423E-3</v>
      </c>
      <c r="AU44" s="39">
        <v>11915197</v>
      </c>
      <c r="AW44" s="39">
        <f t="shared" si="13"/>
        <v>-4.1626961519556911E-4</v>
      </c>
      <c r="AX44" s="56">
        <v>7110.7256578285396</v>
      </c>
      <c r="AY44" s="44">
        <f t="shared" si="14"/>
        <v>3.2508854543529691E-3</v>
      </c>
      <c r="AZ44" s="39">
        <f t="shared" si="18"/>
        <v>105.7803402974335</v>
      </c>
      <c r="BA44" s="39">
        <f t="shared" si="19"/>
        <v>112.72021476788619</v>
      </c>
      <c r="BC44" s="44">
        <f t="shared" si="20"/>
        <v>1.5272751325033045E-2</v>
      </c>
    </row>
    <row r="45" spans="1:55" s="39" customFormat="1">
      <c r="A45" s="39">
        <f t="shared" si="15"/>
        <v>2022</v>
      </c>
      <c r="B45" s="39">
        <f t="shared" si="16"/>
        <v>4</v>
      </c>
      <c r="C45" s="40"/>
      <c r="D45" s="54">
        <v>127430748.21256036</v>
      </c>
      <c r="E45" s="40"/>
      <c r="F45" s="54">
        <v>23162046.914073002</v>
      </c>
      <c r="G45" s="57">
        <v>848064</v>
      </c>
      <c r="H45" s="57">
        <v>4665797.9086673502</v>
      </c>
      <c r="I45" s="57">
        <v>26229</v>
      </c>
      <c r="J45" s="57">
        <v>144304.21919387701</v>
      </c>
      <c r="K45" s="40"/>
      <c r="L45" s="54">
        <v>2534297.9114676202</v>
      </c>
      <c r="M45" s="43"/>
      <c r="N45" s="54">
        <v>984355.08685459942</v>
      </c>
      <c r="O45" s="40"/>
      <c r="P45" s="54">
        <v>18566115.16632054</v>
      </c>
      <c r="Q45" s="43"/>
      <c r="R45" s="54">
        <v>25834929.981243562</v>
      </c>
      <c r="S45" s="43"/>
      <c r="T45" s="54">
        <v>98782093.940585613</v>
      </c>
      <c r="U45" s="40"/>
      <c r="V45" s="54">
        <v>117185.02510105399</v>
      </c>
      <c r="W45" s="43"/>
      <c r="X45" s="54">
        <v>294334.99767363077</v>
      </c>
      <c r="Y45" s="40"/>
      <c r="Z45" s="40">
        <f t="shared" si="9"/>
        <v>-728584.90605060384</v>
      </c>
      <c r="AA45" s="40"/>
      <c r="AB45" s="40">
        <f t="shared" si="10"/>
        <v>-47214769.438295275</v>
      </c>
      <c r="AC45" s="17"/>
      <c r="AD45" s="40"/>
      <c r="AE45" s="40"/>
      <c r="AF45" s="40">
        <f>BA45/100*AF25</f>
        <v>6526025585.1537876</v>
      </c>
      <c r="AG45" s="44">
        <f t="shared" si="17"/>
        <v>7.4045598895614477E-3</v>
      </c>
      <c r="AH45" s="44">
        <f t="shared" si="12"/>
        <v>-7.2348428338536224E-3</v>
      </c>
      <c r="AU45" s="39">
        <v>11995476</v>
      </c>
      <c r="AW45" s="39">
        <f t="shared" si="13"/>
        <v>6.7375302313507695E-3</v>
      </c>
      <c r="AX45" s="56">
        <v>7115.4369800577597</v>
      </c>
      <c r="AY45" s="44">
        <f t="shared" si="14"/>
        <v>6.6256560243371755E-4</v>
      </c>
      <c r="AZ45" s="39">
        <f t="shared" si="18"/>
        <v>105.85042671232831</v>
      </c>
      <c r="BA45" s="39">
        <f t="shared" si="19"/>
        <v>113.55485834889922</v>
      </c>
      <c r="BC45" s="44">
        <f t="shared" si="20"/>
        <v>1.3432314839306717E-2</v>
      </c>
    </row>
    <row r="46" spans="1:55" s="29" customFormat="1">
      <c r="A46" s="29">
        <f t="shared" si="15"/>
        <v>2023</v>
      </c>
      <c r="B46" s="29">
        <f t="shared" si="16"/>
        <v>1</v>
      </c>
      <c r="C46" s="30"/>
      <c r="D46" s="51">
        <v>128745628.83686674</v>
      </c>
      <c r="E46" s="30"/>
      <c r="F46" s="51">
        <v>23401042.032078501</v>
      </c>
      <c r="G46" s="59">
        <v>881904</v>
      </c>
      <c r="H46" s="59">
        <v>4851975.6042531803</v>
      </c>
      <c r="I46" s="59">
        <v>27276</v>
      </c>
      <c r="J46" s="59">
        <v>150064.504278935</v>
      </c>
      <c r="K46" s="30"/>
      <c r="L46" s="51">
        <v>3042989.0961831501</v>
      </c>
      <c r="M46" s="33"/>
      <c r="N46" s="51">
        <v>996290.86390699819</v>
      </c>
      <c r="O46" s="30"/>
      <c r="P46" s="51">
        <v>21271383.26574431</v>
      </c>
      <c r="Q46" s="33"/>
      <c r="R46" s="51">
        <v>22875051.334227327</v>
      </c>
      <c r="S46" s="33"/>
      <c r="T46" s="51">
        <v>87464741.396004915</v>
      </c>
      <c r="U46" s="30"/>
      <c r="V46" s="51">
        <v>115738.301071671</v>
      </c>
      <c r="W46" s="33"/>
      <c r="X46" s="51">
        <v>290701.24401393218</v>
      </c>
      <c r="Y46" s="30"/>
      <c r="Z46" s="30">
        <f t="shared" ref="Z46:Z77" si="21">R46+V46-N46-L46-F46</f>
        <v>-4449532.3568696529</v>
      </c>
      <c r="AA46" s="30"/>
      <c r="AB46" s="30">
        <f t="shared" ref="AB46:AB77" si="22">T46-P46-D46</f>
        <v>-62552270.706606135</v>
      </c>
      <c r="AC46" s="17"/>
      <c r="AD46" s="30"/>
      <c r="AE46" s="30"/>
      <c r="AF46" s="30">
        <f>BA46/100*AF25</f>
        <v>6579269779.3951225</v>
      </c>
      <c r="AG46" s="34">
        <f t="shared" si="17"/>
        <v>8.1587473948096997E-3</v>
      </c>
      <c r="AH46" s="34">
        <f t="shared" ref="AH46:AH77" si="23">AB46/AF46</f>
        <v>-9.5074792194274477E-3</v>
      </c>
      <c r="AU46" s="29">
        <v>11989437</v>
      </c>
      <c r="AW46" s="29">
        <f t="shared" si="13"/>
        <v>-5.0343979680339491E-4</v>
      </c>
      <c r="AX46" s="53">
        <v>7177.1032723948301</v>
      </c>
      <c r="AY46" s="34">
        <f t="shared" si="14"/>
        <v>8.6665502779240226E-3</v>
      </c>
      <c r="AZ46" s="29">
        <f t="shared" si="18"/>
        <v>106.76778475737041</v>
      </c>
      <c r="BA46" s="29">
        <f t="shared" si="19"/>
        <v>114.48132375362128</v>
      </c>
      <c r="BC46" s="34">
        <f t="shared" si="20"/>
        <v>1.5340335852103404E-2</v>
      </c>
    </row>
    <row r="47" spans="1:55" s="39" customFormat="1">
      <c r="A47" s="39">
        <f t="shared" si="15"/>
        <v>2023</v>
      </c>
      <c r="B47" s="39">
        <f t="shared" si="16"/>
        <v>2</v>
      </c>
      <c r="C47" s="40"/>
      <c r="D47" s="54">
        <v>129790556.2868098</v>
      </c>
      <c r="E47" s="40"/>
      <c r="F47" s="54">
        <v>23590969.965147</v>
      </c>
      <c r="G47" s="57">
        <v>917394</v>
      </c>
      <c r="H47" s="57">
        <v>5047231.1130103096</v>
      </c>
      <c r="I47" s="57">
        <v>28373</v>
      </c>
      <c r="J47" s="57">
        <v>156099.87461160799</v>
      </c>
      <c r="K47" s="40"/>
      <c r="L47" s="54">
        <v>2501905.0392912799</v>
      </c>
      <c r="M47" s="43"/>
      <c r="N47" s="54">
        <v>1005470.0997299999</v>
      </c>
      <c r="O47" s="40"/>
      <c r="P47" s="54">
        <v>18514196.969512742</v>
      </c>
      <c r="Q47" s="43"/>
      <c r="R47" s="54">
        <v>26356559.981525671</v>
      </c>
      <c r="S47" s="43"/>
      <c r="T47" s="54">
        <v>100776591.45722316</v>
      </c>
      <c r="U47" s="40"/>
      <c r="V47" s="54">
        <v>120632.047833758</v>
      </c>
      <c r="W47" s="43"/>
      <c r="X47" s="54">
        <v>302992.92497395322</v>
      </c>
      <c r="Y47" s="40"/>
      <c r="Z47" s="40">
        <f t="shared" si="21"/>
        <v>-621153.07480885088</v>
      </c>
      <c r="AA47" s="40"/>
      <c r="AB47" s="40">
        <f t="shared" si="22"/>
        <v>-47528161.799099386</v>
      </c>
      <c r="AC47" s="17"/>
      <c r="AD47" s="40"/>
      <c r="AE47" s="40"/>
      <c r="AF47" s="40">
        <f>BA47/100*AF25</f>
        <v>6655708808.7373934</v>
      </c>
      <c r="AG47" s="44">
        <f t="shared" si="17"/>
        <v>1.1618163094886559E-2</v>
      </c>
      <c r="AH47" s="44">
        <f t="shared" si="23"/>
        <v>-7.1409617164600097E-3</v>
      </c>
      <c r="AU47" s="39">
        <v>12089284</v>
      </c>
      <c r="AW47" s="39">
        <f t="shared" ref="AW47:AW78" si="24">(AU47-AU46)/AU46</f>
        <v>8.3279139796138893E-3</v>
      </c>
      <c r="AX47" s="56">
        <v>7200.5226951489003</v>
      </c>
      <c r="AY47" s="44">
        <f t="shared" ref="AY47:AY78" si="25">(AX47-AX46)/AX46</f>
        <v>3.2630745114324757E-3</v>
      </c>
      <c r="AZ47" s="39">
        <f t="shared" si="18"/>
        <v>107.11617599445428</v>
      </c>
      <c r="BA47" s="39">
        <f t="shared" si="19"/>
        <v>115.81138644430938</v>
      </c>
      <c r="BC47" s="44">
        <f t="shared" si="20"/>
        <v>1.3373084496335706E-2</v>
      </c>
    </row>
    <row r="48" spans="1:55" s="39" customFormat="1">
      <c r="A48" s="39">
        <f t="shared" si="15"/>
        <v>2023</v>
      </c>
      <c r="B48" s="39">
        <f t="shared" si="16"/>
        <v>3</v>
      </c>
      <c r="C48" s="40"/>
      <c r="D48" s="54">
        <v>130999411.10364185</v>
      </c>
      <c r="E48" s="40"/>
      <c r="F48" s="54">
        <v>23810693.637592699</v>
      </c>
      <c r="G48" s="57">
        <v>931071</v>
      </c>
      <c r="H48" s="57">
        <v>5122477.9316429105</v>
      </c>
      <c r="I48" s="57">
        <v>28796</v>
      </c>
      <c r="J48" s="57">
        <v>158427.095806431</v>
      </c>
      <c r="K48" s="40"/>
      <c r="L48" s="54">
        <v>2519945.8583421302</v>
      </c>
      <c r="M48" s="43"/>
      <c r="N48" s="54">
        <v>1015257.3802357018</v>
      </c>
      <c r="O48" s="40"/>
      <c r="P48" s="54">
        <v>18661657.594957821</v>
      </c>
      <c r="Q48" s="43"/>
      <c r="R48" s="54">
        <v>23237697.720795318</v>
      </c>
      <c r="S48" s="43"/>
      <c r="T48" s="54">
        <v>88851351.286226451</v>
      </c>
      <c r="U48" s="40"/>
      <c r="V48" s="54">
        <v>117700.370910404</v>
      </c>
      <c r="W48" s="43"/>
      <c r="X48" s="54">
        <v>295629.3977683984</v>
      </c>
      <c r="Y48" s="40"/>
      <c r="Z48" s="40">
        <f t="shared" si="21"/>
        <v>-3990498.78446481</v>
      </c>
      <c r="AA48" s="40"/>
      <c r="AB48" s="40">
        <f t="shared" si="22"/>
        <v>-60809717.41237323</v>
      </c>
      <c r="AC48" s="17"/>
      <c r="AD48" s="40"/>
      <c r="AE48" s="40"/>
      <c r="AF48" s="40">
        <f>BA48/100*AF25</f>
        <v>6684859470.6042519</v>
      </c>
      <c r="AG48" s="44">
        <f t="shared" si="17"/>
        <v>4.3797982610943647E-3</v>
      </c>
      <c r="AH48" s="44">
        <f t="shared" si="23"/>
        <v>-9.0966336210619812E-3</v>
      </c>
      <c r="AU48" s="39">
        <v>12104889</v>
      </c>
      <c r="AW48" s="39">
        <f t="shared" si="24"/>
        <v>1.29081259072084E-3</v>
      </c>
      <c r="AX48" s="56">
        <v>7222.7363329300797</v>
      </c>
      <c r="AY48" s="44">
        <f t="shared" si="25"/>
        <v>3.0850035090015126E-3</v>
      </c>
      <c r="AZ48" s="39">
        <f t="shared" si="18"/>
        <v>107.446629773268</v>
      </c>
      <c r="BA48" s="39">
        <f t="shared" si="19"/>
        <v>116.31861695327308</v>
      </c>
      <c r="BC48" s="44">
        <f t="shared" si="20"/>
        <v>1.5312604808657825E-2</v>
      </c>
    </row>
    <row r="49" spans="1:55" s="39" customFormat="1">
      <c r="A49" s="39">
        <f t="shared" si="15"/>
        <v>2023</v>
      </c>
      <c r="B49" s="39">
        <f t="shared" si="16"/>
        <v>4</v>
      </c>
      <c r="C49" s="40"/>
      <c r="D49" s="54">
        <v>132174386.4527126</v>
      </c>
      <c r="E49" s="40"/>
      <c r="F49" s="54">
        <v>24024259.315733898</v>
      </c>
      <c r="G49" s="57">
        <v>966025</v>
      </c>
      <c r="H49" s="57">
        <v>5314784.5265456103</v>
      </c>
      <c r="I49" s="57">
        <v>29877</v>
      </c>
      <c r="J49" s="57">
        <v>164374.43885986699</v>
      </c>
      <c r="K49" s="40"/>
      <c r="L49" s="54">
        <v>2507547.4844349199</v>
      </c>
      <c r="M49" s="43"/>
      <c r="N49" s="54">
        <v>1026297.5757587031</v>
      </c>
      <c r="O49" s="40"/>
      <c r="P49" s="54">
        <v>18658062.272197172</v>
      </c>
      <c r="Q49" s="43"/>
      <c r="R49" s="54">
        <v>26912443.011049084</v>
      </c>
      <c r="S49" s="43"/>
      <c r="T49" s="54">
        <v>102902058.3999331</v>
      </c>
      <c r="U49" s="40"/>
      <c r="V49" s="54">
        <v>118494.63527259701</v>
      </c>
      <c r="W49" s="43"/>
      <c r="X49" s="54">
        <v>297624.36085345753</v>
      </c>
      <c r="Y49" s="40"/>
      <c r="Z49" s="40">
        <f t="shared" si="21"/>
        <v>-527166.72960584238</v>
      </c>
      <c r="AA49" s="40"/>
      <c r="AB49" s="40">
        <f t="shared" si="22"/>
        <v>-47930390.324976668</v>
      </c>
      <c r="AC49" s="17"/>
      <c r="AD49" s="40"/>
      <c r="AE49" s="40"/>
      <c r="AF49" s="40">
        <f>BA49/100*AF25</f>
        <v>6739972809.9183273</v>
      </c>
      <c r="AG49" s="44">
        <f t="shared" si="17"/>
        <v>8.244502305011614E-3</v>
      </c>
      <c r="AH49" s="44">
        <f t="shared" si="23"/>
        <v>-7.1113625643183373E-3</v>
      </c>
      <c r="AU49" s="39">
        <v>12129828</v>
      </c>
      <c r="AW49" s="39">
        <f t="shared" si="24"/>
        <v>2.0602419402606666E-3</v>
      </c>
      <c r="AX49" s="56">
        <v>7267.3117787558704</v>
      </c>
      <c r="AY49" s="44">
        <f t="shared" si="25"/>
        <v>6.1715454879006423E-3</v>
      </c>
      <c r="AZ49" s="39">
        <f t="shared" si="18"/>
        <v>108.10974153643534</v>
      </c>
      <c r="BA49" s="39">
        <f t="shared" si="19"/>
        <v>117.2776060588601</v>
      </c>
      <c r="BC49" s="44">
        <f t="shared" si="20"/>
        <v>1.3406848443639867E-2</v>
      </c>
    </row>
    <row r="50" spans="1:55" s="29" customFormat="1">
      <c r="A50" s="29">
        <f t="shared" ref="A50:A81" si="26">A46+1</f>
        <v>2024</v>
      </c>
      <c r="B50" s="29">
        <f t="shared" ref="B50:B81" si="27">B46</f>
        <v>1</v>
      </c>
      <c r="C50" s="30"/>
      <c r="D50" s="51">
        <v>133959394.37722731</v>
      </c>
      <c r="E50" s="30"/>
      <c r="F50" s="51">
        <v>24348705.635554899</v>
      </c>
      <c r="G50" s="59">
        <v>1001274</v>
      </c>
      <c r="H50" s="59">
        <v>5508714.1244092304</v>
      </c>
      <c r="I50" s="59">
        <v>30967</v>
      </c>
      <c r="J50" s="59">
        <v>170371.29725787399</v>
      </c>
      <c r="K50" s="30"/>
      <c r="L50" s="51">
        <v>3060320.3969823099</v>
      </c>
      <c r="M50" s="33"/>
      <c r="N50" s="51">
        <v>1041798.0730504021</v>
      </c>
      <c r="O50" s="30"/>
      <c r="P50" s="51">
        <v>21611682.705890302</v>
      </c>
      <c r="Q50" s="33"/>
      <c r="R50" s="51">
        <v>23846504.783070579</v>
      </c>
      <c r="S50" s="33"/>
      <c r="T50" s="51">
        <v>91179177.855178967</v>
      </c>
      <c r="U50" s="30"/>
      <c r="V50" s="51">
        <v>118428.355468458</v>
      </c>
      <c r="W50" s="33"/>
      <c r="X50" s="51">
        <v>297457.88509445812</v>
      </c>
      <c r="Y50" s="30"/>
      <c r="Z50" s="30">
        <f t="shared" si="21"/>
        <v>-4485890.9670485705</v>
      </c>
      <c r="AA50" s="30"/>
      <c r="AB50" s="30">
        <f t="shared" si="22"/>
        <v>-64391899.227938637</v>
      </c>
      <c r="AC50" s="17"/>
      <c r="AD50" s="30"/>
      <c r="AE50" s="30"/>
      <c r="AF50" s="30">
        <f>BA50/100*AF25</f>
        <v>6808419824.7617369</v>
      </c>
      <c r="AG50" s="34">
        <f t="shared" si="17"/>
        <v>1.0155384416786536E-2</v>
      </c>
      <c r="AH50" s="34">
        <f t="shared" si="23"/>
        <v>-9.4576863479760593E-3</v>
      </c>
      <c r="AU50" s="29">
        <v>12215955</v>
      </c>
      <c r="AW50" s="29">
        <f t="shared" si="24"/>
        <v>7.1004304430367848E-3</v>
      </c>
      <c r="AX50" s="53">
        <v>7289.3565543570703</v>
      </c>
      <c r="AY50" s="34">
        <f t="shared" si="25"/>
        <v>3.0334154185653922E-3</v>
      </c>
      <c r="AZ50" s="29">
        <f t="shared" si="18"/>
        <v>108.43768329330908</v>
      </c>
      <c r="BA50" s="29">
        <f t="shared" si="19"/>
        <v>118.4686052318683</v>
      </c>
      <c r="BC50" s="34">
        <f t="shared" si="20"/>
        <v>1.5297502118551316E-2</v>
      </c>
    </row>
    <row r="51" spans="1:55" s="39" customFormat="1">
      <c r="A51" s="39">
        <f t="shared" si="26"/>
        <v>2024</v>
      </c>
      <c r="B51" s="39">
        <f t="shared" si="27"/>
        <v>2</v>
      </c>
      <c r="C51" s="40"/>
      <c r="D51" s="54">
        <v>135250043.61409429</v>
      </c>
      <c r="E51" s="40"/>
      <c r="F51" s="54">
        <v>24583296.412060902</v>
      </c>
      <c r="G51" s="57">
        <v>1051853</v>
      </c>
      <c r="H51" s="57">
        <v>5786984.8591916095</v>
      </c>
      <c r="I51" s="57">
        <v>32531</v>
      </c>
      <c r="J51" s="57">
        <v>178975.96380327101</v>
      </c>
      <c r="K51" s="40"/>
      <c r="L51" s="54">
        <v>2598067.2344503799</v>
      </c>
      <c r="M51" s="43"/>
      <c r="N51" s="54">
        <v>1052432.6864375994</v>
      </c>
      <c r="O51" s="40"/>
      <c r="P51" s="54">
        <v>19271557.353191175</v>
      </c>
      <c r="Q51" s="43"/>
      <c r="R51" s="54">
        <v>27406548.453837313</v>
      </c>
      <c r="S51" s="43"/>
      <c r="T51" s="54">
        <v>104791313.38539259</v>
      </c>
      <c r="U51" s="40"/>
      <c r="V51" s="54">
        <v>122785.715253836</v>
      </c>
      <c r="W51" s="43"/>
      <c r="X51" s="54">
        <v>308402.31661364262</v>
      </c>
      <c r="Y51" s="40"/>
      <c r="Z51" s="40">
        <f t="shared" si="21"/>
        <v>-704462.16385773197</v>
      </c>
      <c r="AA51" s="40"/>
      <c r="AB51" s="40">
        <f t="shared" si="22"/>
        <v>-49730287.581892878</v>
      </c>
      <c r="AC51" s="17"/>
      <c r="AD51" s="40"/>
      <c r="AE51" s="40"/>
      <c r="AF51" s="40">
        <f>BA51/100*AF25</f>
        <v>6861325189.8911448</v>
      </c>
      <c r="AG51" s="44">
        <f t="shared" si="17"/>
        <v>7.7705791492168044E-3</v>
      </c>
      <c r="AH51" s="44">
        <f t="shared" si="23"/>
        <v>-7.2479129330819334E-3</v>
      </c>
      <c r="AU51" s="39">
        <v>12249284</v>
      </c>
      <c r="AW51" s="39">
        <f t="shared" si="24"/>
        <v>2.7283171884637755E-3</v>
      </c>
      <c r="AX51" s="56">
        <v>7326.0113936015196</v>
      </c>
      <c r="AY51" s="44">
        <f t="shared" si="25"/>
        <v>5.0285425018123907E-3</v>
      </c>
      <c r="AZ51" s="39">
        <f t="shared" si="18"/>
        <v>108.98296679254756</v>
      </c>
      <c r="BA51" s="39">
        <f t="shared" si="19"/>
        <v>119.38917490551984</v>
      </c>
      <c r="BC51" s="44">
        <f t="shared" si="20"/>
        <v>1.342862723234462E-2</v>
      </c>
    </row>
    <row r="52" spans="1:55" s="39" customFormat="1">
      <c r="A52" s="39">
        <f t="shared" si="26"/>
        <v>2024</v>
      </c>
      <c r="B52" s="39">
        <f t="shared" si="27"/>
        <v>3</v>
      </c>
      <c r="C52" s="40"/>
      <c r="D52" s="54">
        <v>136353806.81003919</v>
      </c>
      <c r="E52" s="40"/>
      <c r="F52" s="54">
        <v>24783918.4384172</v>
      </c>
      <c r="G52" s="57">
        <v>1105255</v>
      </c>
      <c r="H52" s="57">
        <v>6080786.9070543395</v>
      </c>
      <c r="I52" s="57">
        <v>34183</v>
      </c>
      <c r="J52" s="57">
        <v>188064.780384471</v>
      </c>
      <c r="K52" s="40"/>
      <c r="L52" s="54">
        <v>2547116.1631513298</v>
      </c>
      <c r="M52" s="43"/>
      <c r="N52" s="54">
        <v>1062622.674126301</v>
      </c>
      <c r="O52" s="40"/>
      <c r="P52" s="54">
        <v>19063234.307740007</v>
      </c>
      <c r="Q52" s="43"/>
      <c r="R52" s="54">
        <v>24293372.03762807</v>
      </c>
      <c r="S52" s="43"/>
      <c r="T52" s="54">
        <v>92887813.533724159</v>
      </c>
      <c r="U52" s="40"/>
      <c r="V52" s="54">
        <v>117675.671511186</v>
      </c>
      <c r="W52" s="43"/>
      <c r="X52" s="54">
        <v>295567.35999859718</v>
      </c>
      <c r="Y52" s="40"/>
      <c r="Z52" s="40">
        <f t="shared" si="21"/>
        <v>-3982609.5665555783</v>
      </c>
      <c r="AA52" s="40"/>
      <c r="AB52" s="40">
        <f t="shared" si="22"/>
        <v>-62529227.584055036</v>
      </c>
      <c r="AC52" s="17"/>
      <c r="AD52" s="40"/>
      <c r="AE52" s="40"/>
      <c r="AF52" s="40">
        <f>BA52/100*AF25</f>
        <v>6915249876.50739</v>
      </c>
      <c r="AG52" s="44">
        <f t="shared" si="17"/>
        <v>7.8592232730337608E-3</v>
      </c>
      <c r="AH52" s="44">
        <f t="shared" si="23"/>
        <v>-9.0422224360222243E-3</v>
      </c>
      <c r="AU52" s="39">
        <v>12243932</v>
      </c>
      <c r="AW52" s="39">
        <f t="shared" si="24"/>
        <v>-4.3692349691622792E-4</v>
      </c>
      <c r="AX52" s="56">
        <v>7386.8156261590802</v>
      </c>
      <c r="AY52" s="44">
        <f t="shared" si="25"/>
        <v>8.2997731358521523E-3</v>
      </c>
      <c r="AZ52" s="39">
        <f t="shared" si="18"/>
        <v>109.8875006925978</v>
      </c>
      <c r="BA52" s="39">
        <f t="shared" si="19"/>
        <v>120.32748108748558</v>
      </c>
      <c r="BC52" s="44">
        <f t="shared" si="20"/>
        <v>1.5375376989348993E-2</v>
      </c>
    </row>
    <row r="53" spans="1:55" s="39" customFormat="1">
      <c r="A53" s="39">
        <f t="shared" si="26"/>
        <v>2024</v>
      </c>
      <c r="B53" s="39">
        <f t="shared" si="27"/>
        <v>4</v>
      </c>
      <c r="C53" s="40"/>
      <c r="D53" s="54">
        <v>137771117.68201718</v>
      </c>
      <c r="E53" s="40"/>
      <c r="F53" s="54">
        <v>25041531.466426902</v>
      </c>
      <c r="G53" s="57">
        <v>1223575</v>
      </c>
      <c r="H53" s="57">
        <v>6731748.63701047</v>
      </c>
      <c r="I53" s="57">
        <v>37842</v>
      </c>
      <c r="J53" s="57">
        <v>208195.51880493699</v>
      </c>
      <c r="K53" s="40"/>
      <c r="L53" s="54">
        <v>2532808.5761758201</v>
      </c>
      <c r="M53" s="43"/>
      <c r="N53" s="54">
        <v>1074329.8397239</v>
      </c>
      <c r="O53" s="40"/>
      <c r="P53" s="54">
        <v>19053401.541854385</v>
      </c>
      <c r="Q53" s="43"/>
      <c r="R53" s="54">
        <v>27822856.957620893</v>
      </c>
      <c r="S53" s="43"/>
      <c r="T53" s="54">
        <v>106383105.03177486</v>
      </c>
      <c r="U53" s="40"/>
      <c r="V53" s="54">
        <v>122354.91582029501</v>
      </c>
      <c r="W53" s="43"/>
      <c r="X53" s="54">
        <v>307320.27263951075</v>
      </c>
      <c r="Y53" s="40"/>
      <c r="Z53" s="40">
        <f t="shared" si="21"/>
        <v>-703458.00888543203</v>
      </c>
      <c r="AA53" s="40"/>
      <c r="AB53" s="40">
        <f t="shared" si="22"/>
        <v>-50441414.192096695</v>
      </c>
      <c r="AC53" s="17"/>
      <c r="AD53" s="40"/>
      <c r="AE53" s="40"/>
      <c r="AF53" s="40">
        <f>BA53/100*AF25</f>
        <v>6934861534.8071442</v>
      </c>
      <c r="AG53" s="44">
        <f t="shared" si="17"/>
        <v>2.8360013954635563E-3</v>
      </c>
      <c r="AH53" s="44">
        <f t="shared" si="23"/>
        <v>-7.2736007689444731E-3</v>
      </c>
      <c r="AU53" s="39">
        <v>12236615</v>
      </c>
      <c r="AW53" s="39">
        <f t="shared" si="24"/>
        <v>-5.9760214284104154E-4</v>
      </c>
      <c r="AX53" s="56">
        <v>7412.1941887132298</v>
      </c>
      <c r="AY53" s="44">
        <f t="shared" si="25"/>
        <v>3.4356566941072578E-3</v>
      </c>
      <c r="AZ53" s="39">
        <f t="shared" si="18"/>
        <v>110.26503641995103</v>
      </c>
      <c r="BA53" s="39">
        <f t="shared" si="19"/>
        <v>120.66872999176232</v>
      </c>
      <c r="BC53" s="44">
        <f t="shared" si="20"/>
        <v>1.3486275073227949E-2</v>
      </c>
    </row>
    <row r="54" spans="1:55" s="29" customFormat="1">
      <c r="A54" s="29">
        <f t="shared" si="26"/>
        <v>2025</v>
      </c>
      <c r="B54" s="29">
        <f t="shared" si="27"/>
        <v>1</v>
      </c>
      <c r="C54" s="30"/>
      <c r="D54" s="51">
        <v>139309815.66592714</v>
      </c>
      <c r="E54" s="30"/>
      <c r="F54" s="51">
        <v>25321208.0389168</v>
      </c>
      <c r="G54" s="59">
        <v>1358617</v>
      </c>
      <c r="H54" s="59">
        <v>7474709.8771789698</v>
      </c>
      <c r="I54" s="59">
        <v>42019</v>
      </c>
      <c r="J54" s="59">
        <v>231176.140390694</v>
      </c>
      <c r="K54" s="30"/>
      <c r="L54" s="51">
        <v>3129827.2111743302</v>
      </c>
      <c r="M54" s="33"/>
      <c r="N54" s="51">
        <v>1087366.9853979014</v>
      </c>
      <c r="O54" s="30"/>
      <c r="P54" s="51">
        <v>22223060.605887353</v>
      </c>
      <c r="Q54" s="33"/>
      <c r="R54" s="51">
        <v>24442243.699937165</v>
      </c>
      <c r="S54" s="33"/>
      <c r="T54" s="51">
        <v>93457037.237523049</v>
      </c>
      <c r="U54" s="30"/>
      <c r="V54" s="51">
        <v>124514.336350764</v>
      </c>
      <c r="W54" s="33"/>
      <c r="X54" s="51">
        <v>312744.11443383456</v>
      </c>
      <c r="Y54" s="30"/>
      <c r="Z54" s="30">
        <f t="shared" si="21"/>
        <v>-4971644.1992011033</v>
      </c>
      <c r="AA54" s="30"/>
      <c r="AB54" s="30">
        <f t="shared" si="22"/>
        <v>-68075839.034291446</v>
      </c>
      <c r="AC54" s="17"/>
      <c r="AD54" s="30"/>
      <c r="AE54" s="30"/>
      <c r="AF54" s="30">
        <f>BA54/100*AF25</f>
        <v>6988442887.8865423</v>
      </c>
      <c r="AG54" s="34">
        <f t="shared" si="17"/>
        <v>7.726376771975193E-3</v>
      </c>
      <c r="AH54" s="34">
        <f t="shared" si="23"/>
        <v>-9.7412027437887624E-3</v>
      </c>
      <c r="AU54" s="29">
        <v>12290924</v>
      </c>
      <c r="AW54" s="29">
        <f t="shared" si="24"/>
        <v>4.4382372085744297E-3</v>
      </c>
      <c r="AX54" s="53">
        <v>7436.4588254630698</v>
      </c>
      <c r="AY54" s="34">
        <f t="shared" si="25"/>
        <v>3.2736105034577418E-3</v>
      </c>
      <c r="AZ54" s="29">
        <f t="shared" si="18"/>
        <v>110.62600120133952</v>
      </c>
      <c r="BA54" s="29">
        <f t="shared" si="19"/>
        <v>121.6010620642744</v>
      </c>
      <c r="BC54" s="34">
        <f t="shared" si="20"/>
        <v>1.5450480160758742E-2</v>
      </c>
    </row>
    <row r="55" spans="1:55" s="39" customFormat="1">
      <c r="A55" s="39">
        <f t="shared" si="26"/>
        <v>2025</v>
      </c>
      <c r="B55" s="39">
        <f t="shared" si="27"/>
        <v>2</v>
      </c>
      <c r="C55" s="40"/>
      <c r="D55" s="54">
        <v>140905063.21262553</v>
      </c>
      <c r="E55" s="40"/>
      <c r="F55" s="54">
        <v>25611163.163833398</v>
      </c>
      <c r="G55" s="57">
        <v>1484644</v>
      </c>
      <c r="H55" s="57">
        <v>8168073.2472024802</v>
      </c>
      <c r="I55" s="57">
        <v>45917</v>
      </c>
      <c r="J55" s="57">
        <v>252621.78629475899</v>
      </c>
      <c r="K55" s="40"/>
      <c r="L55" s="54">
        <v>2576203.1453539398</v>
      </c>
      <c r="M55" s="43"/>
      <c r="N55" s="54">
        <v>1101253.1891637035</v>
      </c>
      <c r="O55" s="40"/>
      <c r="P55" s="54">
        <v>19426700.492554221</v>
      </c>
      <c r="Q55" s="43"/>
      <c r="R55" s="54">
        <v>28245340.834733788</v>
      </c>
      <c r="S55" s="43"/>
      <c r="T55" s="54">
        <v>107998508.75331187</v>
      </c>
      <c r="U55" s="40"/>
      <c r="V55" s="54">
        <v>125721.226021446</v>
      </c>
      <c r="W55" s="43"/>
      <c r="X55" s="54">
        <v>315775.47333064053</v>
      </c>
      <c r="Y55" s="40"/>
      <c r="Z55" s="40">
        <f t="shared" si="21"/>
        <v>-917557.43759580702</v>
      </c>
      <c r="AA55" s="40"/>
      <c r="AB55" s="40">
        <f t="shared" si="22"/>
        <v>-52333254.951867878</v>
      </c>
      <c r="AC55" s="17"/>
      <c r="AD55" s="40"/>
      <c r="AE55" s="40"/>
      <c r="AF55" s="40">
        <f>BA55/100*AF25</f>
        <v>7052915562.2333412</v>
      </c>
      <c r="AG55" s="44">
        <f t="shared" si="17"/>
        <v>9.225613685496804E-3</v>
      </c>
      <c r="AH55" s="44">
        <f t="shared" si="23"/>
        <v>-7.4200881167640533E-3</v>
      </c>
      <c r="AU55" s="39">
        <v>12350516</v>
      </c>
      <c r="AW55" s="39">
        <f t="shared" si="24"/>
        <v>4.8484556571987587E-3</v>
      </c>
      <c r="AX55" s="56">
        <v>7468.8523224791898</v>
      </c>
      <c r="AY55" s="44">
        <f t="shared" si="25"/>
        <v>4.3560379713529522E-3</v>
      </c>
      <c r="AZ55" s="39">
        <f t="shared" si="18"/>
        <v>111.10789226319149</v>
      </c>
      <c r="BA55" s="39">
        <f t="shared" si="19"/>
        <v>122.72290648662553</v>
      </c>
      <c r="BC55" s="44">
        <f t="shared" si="20"/>
        <v>1.3519700970945198E-2</v>
      </c>
    </row>
    <row r="56" spans="1:55" s="39" customFormat="1">
      <c r="A56" s="39">
        <f t="shared" si="26"/>
        <v>2025</v>
      </c>
      <c r="B56" s="39">
        <f t="shared" si="27"/>
        <v>3</v>
      </c>
      <c r="C56" s="40"/>
      <c r="D56" s="54">
        <v>142184474.21298486</v>
      </c>
      <c r="E56" s="40"/>
      <c r="F56" s="54">
        <v>25843711.2578246</v>
      </c>
      <c r="G56" s="57">
        <v>1624246</v>
      </c>
      <c r="H56" s="57">
        <v>8936122.2619534694</v>
      </c>
      <c r="I56" s="57">
        <v>50235</v>
      </c>
      <c r="J56" s="57">
        <v>276378.14827879</v>
      </c>
      <c r="K56" s="40"/>
      <c r="L56" s="54">
        <v>2613925.7967950902</v>
      </c>
      <c r="M56" s="43"/>
      <c r="N56" s="54">
        <v>1112768.3284438998</v>
      </c>
      <c r="O56" s="40"/>
      <c r="P56" s="54">
        <v>19685796.409012571</v>
      </c>
      <c r="Q56" s="43"/>
      <c r="R56" s="54">
        <v>24910536.283536661</v>
      </c>
      <c r="S56" s="43"/>
      <c r="T56" s="54">
        <v>95247594.518630043</v>
      </c>
      <c r="U56" s="40"/>
      <c r="V56" s="54">
        <v>126829.167236914</v>
      </c>
      <c r="W56" s="43"/>
      <c r="X56" s="54">
        <v>318558.30223558022</v>
      </c>
      <c r="Y56" s="40"/>
      <c r="Z56" s="40">
        <f t="shared" si="21"/>
        <v>-4533039.9322900139</v>
      </c>
      <c r="AA56" s="40"/>
      <c r="AB56" s="40">
        <f t="shared" si="22"/>
        <v>-66622676.103367388</v>
      </c>
      <c r="AC56" s="17"/>
      <c r="AD56" s="40"/>
      <c r="AE56" s="40"/>
      <c r="AF56" s="40">
        <f>BA56/100*AF25</f>
        <v>7104398540.7185659</v>
      </c>
      <c r="AG56" s="44">
        <f t="shared" si="17"/>
        <v>7.2995313825822096E-3</v>
      </c>
      <c r="AH56" s="44">
        <f t="shared" si="23"/>
        <v>-9.3776659236559264E-3</v>
      </c>
      <c r="AU56" s="39">
        <v>12366118</v>
      </c>
      <c r="AW56" s="39">
        <f t="shared" si="24"/>
        <v>1.2632670570201278E-3</v>
      </c>
      <c r="AX56" s="56">
        <v>7513.8794080723601</v>
      </c>
      <c r="AY56" s="44">
        <f t="shared" si="25"/>
        <v>6.0286485324728143E-3</v>
      </c>
      <c r="AZ56" s="39">
        <f t="shared" si="18"/>
        <v>111.77772269483012</v>
      </c>
      <c r="BA56" s="39">
        <f t="shared" si="19"/>
        <v>123.61872619388637</v>
      </c>
      <c r="BC56" s="44">
        <f t="shared" si="20"/>
        <v>1.5463231835073423E-2</v>
      </c>
    </row>
    <row r="57" spans="1:55" s="39" customFormat="1">
      <c r="A57" s="39">
        <f t="shared" si="26"/>
        <v>2025</v>
      </c>
      <c r="B57" s="39">
        <f t="shared" si="27"/>
        <v>4</v>
      </c>
      <c r="C57" s="40"/>
      <c r="D57" s="54">
        <v>143533604.88100529</v>
      </c>
      <c r="E57" s="40"/>
      <c r="F57" s="54">
        <v>26088931.7267006</v>
      </c>
      <c r="G57" s="57">
        <v>1731691</v>
      </c>
      <c r="H57" s="57">
        <v>9527252.9505533408</v>
      </c>
      <c r="I57" s="57">
        <v>53557</v>
      </c>
      <c r="J57" s="57">
        <v>294654.812130331</v>
      </c>
      <c r="K57" s="40"/>
      <c r="L57" s="54">
        <v>2630377.7584815002</v>
      </c>
      <c r="M57" s="43"/>
      <c r="N57" s="54">
        <v>1126222.6772155985</v>
      </c>
      <c r="O57" s="40"/>
      <c r="P57" s="54">
        <v>19845187.573679917</v>
      </c>
      <c r="Q57" s="43"/>
      <c r="R57" s="54">
        <v>28649643.922634032</v>
      </c>
      <c r="S57" s="43"/>
      <c r="T57" s="54">
        <v>109544396.65153439</v>
      </c>
      <c r="U57" s="40"/>
      <c r="V57" s="54">
        <v>127784.231526812</v>
      </c>
      <c r="W57" s="43"/>
      <c r="X57" s="54">
        <v>320957.14837912872</v>
      </c>
      <c r="Y57" s="40"/>
      <c r="Z57" s="40">
        <f t="shared" si="21"/>
        <v>-1068104.0082368553</v>
      </c>
      <c r="AA57" s="40"/>
      <c r="AB57" s="40">
        <f t="shared" si="22"/>
        <v>-53834395.803150803</v>
      </c>
      <c r="AC57" s="17"/>
      <c r="AD57" s="40"/>
      <c r="AE57" s="40"/>
      <c r="AF57" s="40">
        <f>BA57/100*AF25</f>
        <v>7160933582.6592016</v>
      </c>
      <c r="AG57" s="44">
        <f t="shared" si="17"/>
        <v>7.9577520344062107E-3</v>
      </c>
      <c r="AH57" s="44">
        <f t="shared" si="23"/>
        <v>-7.5177901291411621E-3</v>
      </c>
      <c r="AU57" s="39">
        <v>12450712</v>
      </c>
      <c r="AW57" s="39">
        <f t="shared" si="24"/>
        <v>6.8407886775785258E-3</v>
      </c>
      <c r="AX57" s="56">
        <v>7522.21511324126</v>
      </c>
      <c r="AY57" s="44">
        <f t="shared" si="25"/>
        <v>1.1093743612580046E-3</v>
      </c>
      <c r="AZ57" s="39">
        <f t="shared" si="18"/>
        <v>111.90172603454756</v>
      </c>
      <c r="BA57" s="39">
        <f t="shared" si="19"/>
        <v>124.60245336374648</v>
      </c>
      <c r="BC57" s="44">
        <f t="shared" si="20"/>
        <v>1.3570415901054799E-2</v>
      </c>
    </row>
    <row r="58" spans="1:55" s="29" customFormat="1">
      <c r="A58" s="29">
        <f t="shared" si="26"/>
        <v>2026</v>
      </c>
      <c r="B58" s="29">
        <f t="shared" si="27"/>
        <v>1</v>
      </c>
      <c r="C58" s="30"/>
      <c r="D58" s="51">
        <v>144531086.07395479</v>
      </c>
      <c r="E58" s="30"/>
      <c r="F58" s="51">
        <v>26270235.740928501</v>
      </c>
      <c r="G58" s="59">
        <v>1845598</v>
      </c>
      <c r="H58" s="59">
        <v>10153935.656555001</v>
      </c>
      <c r="I58" s="59">
        <v>57080</v>
      </c>
      <c r="J58" s="59">
        <v>314037.318677284</v>
      </c>
      <c r="K58" s="30"/>
      <c r="L58" s="51">
        <v>3186786.08980736</v>
      </c>
      <c r="M58" s="33"/>
      <c r="N58" s="51">
        <v>1135028.6718764976</v>
      </c>
      <c r="O58" s="30"/>
      <c r="P58" s="51">
        <v>22780841.034419522</v>
      </c>
      <c r="Q58" s="33"/>
      <c r="R58" s="51">
        <v>25338340.879312471</v>
      </c>
      <c r="S58" s="33"/>
      <c r="T58" s="51">
        <v>96883342.469130427</v>
      </c>
      <c r="U58" s="30"/>
      <c r="V58" s="51">
        <v>126524.188143327</v>
      </c>
      <c r="W58" s="33"/>
      <c r="X58" s="51">
        <v>317792.28268040222</v>
      </c>
      <c r="Y58" s="30"/>
      <c r="Z58" s="30">
        <f t="shared" si="21"/>
        <v>-5127185.4351565614</v>
      </c>
      <c r="AA58" s="30"/>
      <c r="AB58" s="30">
        <f t="shared" si="22"/>
        <v>-70428584.639243886</v>
      </c>
      <c r="AC58" s="17"/>
      <c r="AD58" s="30"/>
      <c r="AE58" s="30"/>
      <c r="AF58" s="30">
        <f>BA58/100*AF25</f>
        <v>7214687011.0277634</v>
      </c>
      <c r="AG58" s="34">
        <f t="shared" ref="AG58:AG89" si="28">(AF58-AF57)/AF57</f>
        <v>7.5064833025026458E-3</v>
      </c>
      <c r="AH58" s="34">
        <f t="shared" si="23"/>
        <v>-9.761835063890183E-3</v>
      </c>
      <c r="AU58" s="29">
        <v>12457258</v>
      </c>
      <c r="AW58" s="29">
        <f t="shared" si="24"/>
        <v>5.2575306536686416E-4</v>
      </c>
      <c r="AX58" s="53">
        <v>7574.6980746546596</v>
      </c>
      <c r="AY58" s="34">
        <f t="shared" si="25"/>
        <v>6.9770620253885741E-3</v>
      </c>
      <c r="AZ58" s="29">
        <f t="shared" ref="AZ58:AZ89" si="29">AZ57*((1+AY58))</f>
        <v>112.68247131783865</v>
      </c>
      <c r="BA58" s="29">
        <f t="shared" si="19"/>
        <v>125.53777959937229</v>
      </c>
      <c r="BC58" s="34">
        <f t="shared" si="20"/>
        <v>1.5559192375975826E-2</v>
      </c>
    </row>
    <row r="59" spans="1:55" s="39" customFormat="1">
      <c r="A59" s="39">
        <f t="shared" si="26"/>
        <v>2026</v>
      </c>
      <c r="B59" s="39">
        <f t="shared" si="27"/>
        <v>2</v>
      </c>
      <c r="C59" s="40"/>
      <c r="D59" s="54">
        <v>146178672.35770515</v>
      </c>
      <c r="E59" s="40"/>
      <c r="F59" s="54">
        <v>26569704.050849698</v>
      </c>
      <c r="G59" s="57">
        <v>1970286</v>
      </c>
      <c r="H59" s="57">
        <v>10839932.2436474</v>
      </c>
      <c r="I59" s="57">
        <v>60937</v>
      </c>
      <c r="J59" s="57">
        <v>335257.39467830502</v>
      </c>
      <c r="K59" s="40"/>
      <c r="L59" s="54">
        <v>2562867.5589642501</v>
      </c>
      <c r="M59" s="43"/>
      <c r="N59" s="54">
        <v>1148871.5868015029</v>
      </c>
      <c r="O59" s="40"/>
      <c r="P59" s="54">
        <v>19619484.445487883</v>
      </c>
      <c r="Q59" s="43"/>
      <c r="R59" s="54">
        <v>29262876.447630178</v>
      </c>
      <c r="S59" s="43"/>
      <c r="T59" s="54">
        <v>111889144.3607626</v>
      </c>
      <c r="U59" s="40"/>
      <c r="V59" s="54">
        <v>128141.428898172</v>
      </c>
      <c r="W59" s="43"/>
      <c r="X59" s="54">
        <v>321854.32519312529</v>
      </c>
      <c r="Y59" s="40"/>
      <c r="Z59" s="40">
        <f t="shared" si="21"/>
        <v>-890425.32008710131</v>
      </c>
      <c r="AA59" s="40"/>
      <c r="AB59" s="40">
        <f t="shared" si="22"/>
        <v>-53909012.442430437</v>
      </c>
      <c r="AC59" s="17"/>
      <c r="AD59" s="40"/>
      <c r="AE59" s="40"/>
      <c r="AF59" s="40">
        <f>BA59/100*AF25</f>
        <v>7277164289.2575397</v>
      </c>
      <c r="AG59" s="44">
        <f t="shared" si="28"/>
        <v>8.6597350840416053E-3</v>
      </c>
      <c r="AH59" s="44">
        <f t="shared" si="23"/>
        <v>-7.407969684291759E-3</v>
      </c>
      <c r="AU59" s="39">
        <v>12480460</v>
      </c>
      <c r="AW59" s="39">
        <f t="shared" si="24"/>
        <v>1.8625286559851293E-3</v>
      </c>
      <c r="AX59" s="56">
        <v>7626.08914375942</v>
      </c>
      <c r="AY59" s="44">
        <f t="shared" si="25"/>
        <v>6.7845699720649761E-3</v>
      </c>
      <c r="AZ59" s="39">
        <f t="shared" si="29"/>
        <v>113.44697342911974</v>
      </c>
      <c r="BA59" s="39">
        <f t="shared" si="19"/>
        <v>126.62490351374164</v>
      </c>
      <c r="BC59" s="44">
        <f t="shared" si="20"/>
        <v>1.3608403463670029E-2</v>
      </c>
    </row>
    <row r="60" spans="1:55" s="39" customFormat="1">
      <c r="A60" s="39">
        <f t="shared" si="26"/>
        <v>2026</v>
      </c>
      <c r="B60" s="39">
        <f t="shared" si="27"/>
        <v>3</v>
      </c>
      <c r="C60" s="40"/>
      <c r="D60" s="54">
        <v>147215171.21784529</v>
      </c>
      <c r="E60" s="40"/>
      <c r="F60" s="54">
        <v>26758099.9879504</v>
      </c>
      <c r="G60" s="57">
        <v>2147009</v>
      </c>
      <c r="H60" s="57">
        <v>11812210.047932699</v>
      </c>
      <c r="I60" s="57">
        <v>66402</v>
      </c>
      <c r="J60" s="57">
        <v>365324.21224262501</v>
      </c>
      <c r="K60" s="40"/>
      <c r="L60" s="54">
        <v>2617737.9081040402</v>
      </c>
      <c r="M60" s="43"/>
      <c r="N60" s="54">
        <v>1156876.7881309018</v>
      </c>
      <c r="O60" s="40"/>
      <c r="P60" s="54">
        <v>19948249.203815032</v>
      </c>
      <c r="Q60" s="43"/>
      <c r="R60" s="54">
        <v>25896646.014282729</v>
      </c>
      <c r="S60" s="43"/>
      <c r="T60" s="54">
        <v>99018070.541944385</v>
      </c>
      <c r="U60" s="40"/>
      <c r="V60" s="54">
        <v>125180.6047181</v>
      </c>
      <c r="W60" s="43"/>
      <c r="X60" s="54">
        <v>314417.58848208212</v>
      </c>
      <c r="Y60" s="40"/>
      <c r="Z60" s="40">
        <f t="shared" si="21"/>
        <v>-4510888.0651845112</v>
      </c>
      <c r="AA60" s="40"/>
      <c r="AB60" s="40">
        <f t="shared" si="22"/>
        <v>-68145349.879715934</v>
      </c>
      <c r="AC60" s="17"/>
      <c r="AD60" s="40"/>
      <c r="AE60" s="40"/>
      <c r="AF60" s="40">
        <f>BA60/100*AF25</f>
        <v>7342136357.4667435</v>
      </c>
      <c r="AG60" s="44">
        <f t="shared" si="28"/>
        <v>8.9282123677095881E-3</v>
      </c>
      <c r="AH60" s="44">
        <f t="shared" si="23"/>
        <v>-9.2814061959519533E-3</v>
      </c>
      <c r="AU60" s="39">
        <v>12538097</v>
      </c>
      <c r="AW60" s="39">
        <f t="shared" si="24"/>
        <v>4.6181791376279403E-3</v>
      </c>
      <c r="AX60" s="56">
        <v>7658.8067456381596</v>
      </c>
      <c r="AY60" s="44">
        <f t="shared" si="25"/>
        <v>4.290220224544972E-3</v>
      </c>
      <c r="AZ60" s="39">
        <f t="shared" si="29"/>
        <v>113.93368592893876</v>
      </c>
      <c r="BA60" s="39">
        <f t="shared" si="19"/>
        <v>127.75543754335307</v>
      </c>
      <c r="BC60" s="44">
        <f t="shared" si="20"/>
        <v>1.5525735296060262E-2</v>
      </c>
    </row>
    <row r="61" spans="1:55" s="39" customFormat="1">
      <c r="A61" s="39">
        <f t="shared" si="26"/>
        <v>2026</v>
      </c>
      <c r="B61" s="39">
        <f t="shared" si="27"/>
        <v>4</v>
      </c>
      <c r="C61" s="40"/>
      <c r="D61" s="54">
        <v>148592916.52744782</v>
      </c>
      <c r="E61" s="40"/>
      <c r="F61" s="54">
        <v>27008521.506651901</v>
      </c>
      <c r="G61" s="57">
        <v>2268136</v>
      </c>
      <c r="H61" s="57">
        <v>12478615.063689901</v>
      </c>
      <c r="I61" s="57">
        <v>70148</v>
      </c>
      <c r="J61" s="57">
        <v>385933.59899393999</v>
      </c>
      <c r="K61" s="40"/>
      <c r="L61" s="54">
        <v>2592218.0938334102</v>
      </c>
      <c r="M61" s="43"/>
      <c r="N61" s="54">
        <v>1168816.1990919001</v>
      </c>
      <c r="O61" s="40"/>
      <c r="P61" s="54">
        <v>19881513.882660311</v>
      </c>
      <c r="Q61" s="43"/>
      <c r="R61" s="54">
        <v>29853459.959524166</v>
      </c>
      <c r="S61" s="43"/>
      <c r="T61" s="54">
        <v>114147291.60536623</v>
      </c>
      <c r="U61" s="40"/>
      <c r="V61" s="54">
        <v>122983.26137275901</v>
      </c>
      <c r="W61" s="43"/>
      <c r="X61" s="54">
        <v>308898.4955102508</v>
      </c>
      <c r="Y61" s="40"/>
      <c r="Z61" s="40">
        <f t="shared" si="21"/>
        <v>-793112.57868028432</v>
      </c>
      <c r="AA61" s="40"/>
      <c r="AB61" s="40">
        <f t="shared" si="22"/>
        <v>-54327138.804741904</v>
      </c>
      <c r="AC61" s="17"/>
      <c r="AD61" s="40"/>
      <c r="AE61" s="40"/>
      <c r="AF61" s="40">
        <f>BA61/100*AF25</f>
        <v>7387944608.6910925</v>
      </c>
      <c r="AG61" s="44">
        <f t="shared" si="28"/>
        <v>6.2390902312462956E-3</v>
      </c>
      <c r="AH61" s="44">
        <f t="shared" si="23"/>
        <v>-7.3534848570510512E-3</v>
      </c>
      <c r="AU61" s="39">
        <v>12599779</v>
      </c>
      <c r="AW61" s="39">
        <f t="shared" si="24"/>
        <v>4.9195663424840309E-3</v>
      </c>
      <c r="AX61" s="56">
        <v>7668.86325045582</v>
      </c>
      <c r="AY61" s="44">
        <f t="shared" si="25"/>
        <v>1.313064182405151E-3</v>
      </c>
      <c r="AZ61" s="39">
        <f t="shared" si="29"/>
        <v>114.08328817110143</v>
      </c>
      <c r="BA61" s="39">
        <f t="shared" si="19"/>
        <v>128.55251524571841</v>
      </c>
      <c r="BC61" s="44">
        <f t="shared" si="20"/>
        <v>1.3553213011434922E-2</v>
      </c>
    </row>
    <row r="62" spans="1:55" s="29" customFormat="1">
      <c r="A62" s="29">
        <f t="shared" si="26"/>
        <v>2027</v>
      </c>
      <c r="B62" s="29">
        <f t="shared" si="27"/>
        <v>1</v>
      </c>
      <c r="C62" s="30"/>
      <c r="D62" s="51">
        <v>150090254.48775947</v>
      </c>
      <c r="E62" s="30"/>
      <c r="F62" s="51">
        <v>27280680.405264899</v>
      </c>
      <c r="G62" s="59">
        <v>2383916</v>
      </c>
      <c r="H62" s="59">
        <v>13115602.4630672</v>
      </c>
      <c r="I62" s="59">
        <v>73729</v>
      </c>
      <c r="J62" s="59">
        <v>405635.20442812698</v>
      </c>
      <c r="K62" s="30"/>
      <c r="L62" s="51">
        <v>3280407.4066547798</v>
      </c>
      <c r="M62" s="33"/>
      <c r="N62" s="51">
        <v>1180889.8676037006</v>
      </c>
      <c r="O62" s="30"/>
      <c r="P62" s="51">
        <v>23518957.260248553</v>
      </c>
      <c r="Q62" s="33"/>
      <c r="R62" s="51">
        <v>26253566.603707321</v>
      </c>
      <c r="S62" s="33"/>
      <c r="T62" s="51">
        <v>100382787.35052356</v>
      </c>
      <c r="U62" s="30"/>
      <c r="V62" s="51">
        <v>123271.43875097</v>
      </c>
      <c r="W62" s="33"/>
      <c r="X62" s="51">
        <v>309622.31400047324</v>
      </c>
      <c r="Y62" s="30"/>
      <c r="Z62" s="30">
        <f t="shared" si="21"/>
        <v>-5365139.6370650865</v>
      </c>
      <c r="AA62" s="30"/>
      <c r="AB62" s="30">
        <f t="shared" si="22"/>
        <v>-73226424.397484466</v>
      </c>
      <c r="AC62" s="17"/>
      <c r="AD62" s="30"/>
      <c r="AE62" s="30"/>
      <c r="AF62" s="30">
        <f>BA62/100*AF25</f>
        <v>7424926599.0611277</v>
      </c>
      <c r="AG62" s="34">
        <f t="shared" si="28"/>
        <v>5.0057211212073769E-3</v>
      </c>
      <c r="AH62" s="34">
        <f t="shared" si="23"/>
        <v>-9.862242194656019E-3</v>
      </c>
      <c r="AU62" s="29">
        <v>12606240</v>
      </c>
      <c r="AW62" s="29">
        <f t="shared" si="24"/>
        <v>5.1278677189496732E-4</v>
      </c>
      <c r="AX62" s="53">
        <v>7703.3012902027403</v>
      </c>
      <c r="AY62" s="34">
        <f t="shared" si="25"/>
        <v>4.490631612823902E-3</v>
      </c>
      <c r="AZ62" s="29">
        <f t="shared" si="29"/>
        <v>114.59559419145748</v>
      </c>
      <c r="BA62" s="29">
        <f t="shared" si="19"/>
        <v>129.19601328646823</v>
      </c>
      <c r="BC62" s="34">
        <f t="shared" si="20"/>
        <v>1.5563270704685309E-2</v>
      </c>
    </row>
    <row r="63" spans="1:55" s="39" customFormat="1">
      <c r="A63" s="39">
        <f t="shared" si="26"/>
        <v>2027</v>
      </c>
      <c r="B63" s="39">
        <f t="shared" si="27"/>
        <v>2</v>
      </c>
      <c r="C63" s="40"/>
      <c r="D63" s="54">
        <v>151485236.55985478</v>
      </c>
      <c r="E63" s="40"/>
      <c r="F63" s="54">
        <v>27534234.909584899</v>
      </c>
      <c r="G63" s="57">
        <v>2529201</v>
      </c>
      <c r="H63" s="57">
        <v>13914917.6670621</v>
      </c>
      <c r="I63" s="57">
        <v>78223</v>
      </c>
      <c r="J63" s="57">
        <v>430359.86648376298</v>
      </c>
      <c r="K63" s="40"/>
      <c r="L63" s="54">
        <v>2588256.5395357101</v>
      </c>
      <c r="M63" s="43"/>
      <c r="N63" s="54">
        <v>1191943.2386935018</v>
      </c>
      <c r="O63" s="40"/>
      <c r="P63" s="54">
        <v>19988195.506885275</v>
      </c>
      <c r="Q63" s="43"/>
      <c r="R63" s="54">
        <v>30313237.738053687</v>
      </c>
      <c r="S63" s="43"/>
      <c r="T63" s="54">
        <v>115905291.79129554</v>
      </c>
      <c r="U63" s="40"/>
      <c r="V63" s="54">
        <v>126055.456018304</v>
      </c>
      <c r="W63" s="43"/>
      <c r="X63" s="54">
        <v>316614.96272156591</v>
      </c>
      <c r="Y63" s="40"/>
      <c r="Z63" s="40">
        <f t="shared" si="21"/>
        <v>-875141.49374211952</v>
      </c>
      <c r="AA63" s="40"/>
      <c r="AB63" s="40">
        <f t="shared" si="22"/>
        <v>-55568140.275444508</v>
      </c>
      <c r="AC63" s="17"/>
      <c r="AD63" s="40"/>
      <c r="AE63" s="40"/>
      <c r="AF63" s="40">
        <f>BA63/100*AF25</f>
        <v>7495541231.4520988</v>
      </c>
      <c r="AG63" s="44">
        <f t="shared" si="28"/>
        <v>9.5104822180868843E-3</v>
      </c>
      <c r="AH63" s="44">
        <f t="shared" si="23"/>
        <v>-7.413492709809213E-3</v>
      </c>
      <c r="AU63" s="39">
        <v>12649586</v>
      </c>
      <c r="AW63" s="39">
        <f t="shared" si="24"/>
        <v>3.4384558758202288E-3</v>
      </c>
      <c r="AX63" s="56">
        <v>7749.9156571154599</v>
      </c>
      <c r="AY63" s="44">
        <f t="shared" si="25"/>
        <v>6.0512194910518338E-3</v>
      </c>
      <c r="AZ63" s="39">
        <f t="shared" si="29"/>
        <v>115.28903728461749</v>
      </c>
      <c r="BA63" s="39">
        <f t="shared" si="19"/>
        <v>130.42472967347692</v>
      </c>
      <c r="BC63" s="44">
        <f t="shared" si="20"/>
        <v>1.360032901306399E-2</v>
      </c>
    </row>
    <row r="64" spans="1:55" s="39" customFormat="1">
      <c r="A64" s="39">
        <f t="shared" si="26"/>
        <v>2027</v>
      </c>
      <c r="B64" s="39">
        <f t="shared" si="27"/>
        <v>3</v>
      </c>
      <c r="C64" s="40"/>
      <c r="D64" s="54">
        <v>152577566.95663777</v>
      </c>
      <c r="E64" s="40"/>
      <c r="F64" s="54">
        <v>27732778.889360901</v>
      </c>
      <c r="G64" s="57">
        <v>2678801</v>
      </c>
      <c r="H64" s="57">
        <v>14737972.7279262</v>
      </c>
      <c r="I64" s="57">
        <v>82850</v>
      </c>
      <c r="J64" s="57">
        <v>455816.25529805501</v>
      </c>
      <c r="K64" s="40"/>
      <c r="L64" s="54">
        <v>2583146.5923743201</v>
      </c>
      <c r="M64" s="43"/>
      <c r="N64" s="54">
        <v>1202185.0448638983</v>
      </c>
      <c r="O64" s="40"/>
      <c r="P64" s="54">
        <v>20018027.362501323</v>
      </c>
      <c r="Q64" s="43"/>
      <c r="R64" s="54">
        <v>26844358.929496851</v>
      </c>
      <c r="S64" s="43"/>
      <c r="T64" s="54">
        <v>102641733.01315504</v>
      </c>
      <c r="U64" s="40"/>
      <c r="V64" s="54">
        <v>124267.523733501</v>
      </c>
      <c r="W64" s="43"/>
      <c r="X64" s="54">
        <v>312124.19229732198</v>
      </c>
      <c r="Y64" s="40"/>
      <c r="Z64" s="40">
        <f t="shared" si="21"/>
        <v>-4549484.0733687691</v>
      </c>
      <c r="AA64" s="40"/>
      <c r="AB64" s="40">
        <f t="shared" si="22"/>
        <v>-69953861.30598405</v>
      </c>
      <c r="AC64" s="17"/>
      <c r="AD64" s="40"/>
      <c r="AE64" s="40"/>
      <c r="AF64" s="40">
        <f>BA64/100*AF25</f>
        <v>7563639446.3913908</v>
      </c>
      <c r="AG64" s="44">
        <f t="shared" si="28"/>
        <v>9.0851631438627154E-3</v>
      </c>
      <c r="AH64" s="44">
        <f t="shared" si="23"/>
        <v>-9.2487038550415051E-3</v>
      </c>
      <c r="AU64" s="39">
        <v>12691231</v>
      </c>
      <c r="AW64" s="39">
        <f t="shared" si="24"/>
        <v>3.2922026064726544E-3</v>
      </c>
      <c r="AX64" s="56">
        <v>7794.6632943971399</v>
      </c>
      <c r="AY64" s="44">
        <f t="shared" si="25"/>
        <v>5.7739515191492022E-3</v>
      </c>
      <c r="AZ64" s="39">
        <f t="shared" si="29"/>
        <v>115.95471059658827</v>
      </c>
      <c r="BA64" s="39">
        <f t="shared" si="19"/>
        <v>131.60965962055465</v>
      </c>
      <c r="BC64" s="44">
        <f t="shared" si="20"/>
        <v>1.5551773234335202E-2</v>
      </c>
    </row>
    <row r="65" spans="1:55" s="39" customFormat="1">
      <c r="A65" s="39">
        <f t="shared" si="26"/>
        <v>2027</v>
      </c>
      <c r="B65" s="39">
        <f t="shared" si="27"/>
        <v>4</v>
      </c>
      <c r="C65" s="40"/>
      <c r="D65" s="54">
        <v>154245974.43011463</v>
      </c>
      <c r="E65" s="40"/>
      <c r="F65" s="54">
        <v>28036031.69698</v>
      </c>
      <c r="G65" s="57">
        <v>2826747</v>
      </c>
      <c r="H65" s="57">
        <v>15551927.9687992</v>
      </c>
      <c r="I65" s="57">
        <v>87425</v>
      </c>
      <c r="J65" s="57">
        <v>480986.55545482802</v>
      </c>
      <c r="K65" s="40"/>
      <c r="L65" s="54">
        <v>2579964.7369552599</v>
      </c>
      <c r="M65" s="43"/>
      <c r="N65" s="54">
        <v>1216610.2049030997</v>
      </c>
      <c r="O65" s="40"/>
      <c r="P65" s="54">
        <v>20080879.67403131</v>
      </c>
      <c r="Q65" s="43"/>
      <c r="R65" s="54">
        <v>30961694.285052318</v>
      </c>
      <c r="S65" s="43"/>
      <c r="T65" s="54">
        <v>118384721.6015761</v>
      </c>
      <c r="U65" s="40"/>
      <c r="V65" s="54">
        <v>124650.982383407</v>
      </c>
      <c r="W65" s="43"/>
      <c r="X65" s="54">
        <v>313087.32987168938</v>
      </c>
      <c r="Y65" s="40"/>
      <c r="Z65" s="40">
        <f t="shared" si="21"/>
        <v>-746261.37140263245</v>
      </c>
      <c r="AA65" s="40"/>
      <c r="AB65" s="40">
        <f t="shared" si="22"/>
        <v>-55942132.502569824</v>
      </c>
      <c r="AC65" s="17"/>
      <c r="AD65" s="40"/>
      <c r="AE65" s="40"/>
      <c r="AF65" s="40">
        <f>BA65/100*AF25</f>
        <v>7608667515.6975403</v>
      </c>
      <c r="AG65" s="44">
        <f t="shared" si="28"/>
        <v>5.9532278905272719E-3</v>
      </c>
      <c r="AH65" s="44">
        <f t="shared" si="23"/>
        <v>-7.3524217462722467E-3</v>
      </c>
      <c r="AU65" s="39">
        <v>12715888</v>
      </c>
      <c r="AW65" s="39">
        <f t="shared" si="24"/>
        <v>1.9428375387698798E-3</v>
      </c>
      <c r="AX65" s="56">
        <v>7825.8623222257502</v>
      </c>
      <c r="AY65" s="44">
        <f t="shared" si="25"/>
        <v>4.0026139231743793E-3</v>
      </c>
      <c r="AZ65" s="39">
        <f t="shared" si="29"/>
        <v>116.41883253567983</v>
      </c>
      <c r="BA65" s="39">
        <f t="shared" si="19"/>
        <v>132.39316191687053</v>
      </c>
      <c r="BC65" s="44">
        <f t="shared" si="20"/>
        <v>1.3633789831640071E-2</v>
      </c>
    </row>
    <row r="66" spans="1:55" s="29" customFormat="1">
      <c r="A66" s="29">
        <f t="shared" si="26"/>
        <v>2028</v>
      </c>
      <c r="B66" s="29">
        <f t="shared" si="27"/>
        <v>1</v>
      </c>
      <c r="C66" s="30"/>
      <c r="D66" s="51">
        <v>155361685.3958739</v>
      </c>
      <c r="E66" s="30"/>
      <c r="F66" s="51">
        <v>28238825.371928498</v>
      </c>
      <c r="G66" s="59">
        <v>2968872</v>
      </c>
      <c r="H66" s="59">
        <v>16333857.7851448</v>
      </c>
      <c r="I66" s="59">
        <v>91820</v>
      </c>
      <c r="J66" s="59">
        <v>505166.54872018599</v>
      </c>
      <c r="K66" s="30"/>
      <c r="L66" s="51">
        <v>3131998.0771198599</v>
      </c>
      <c r="M66" s="33"/>
      <c r="N66" s="51">
        <v>1226265.8406391032</v>
      </c>
      <c r="O66" s="30"/>
      <c r="P66" s="51">
        <v>22998505.759347886</v>
      </c>
      <c r="Q66" s="33"/>
      <c r="R66" s="51">
        <v>27207723.830337428</v>
      </c>
      <c r="S66" s="33"/>
      <c r="T66" s="51">
        <v>104031090.20497267</v>
      </c>
      <c r="U66" s="30"/>
      <c r="V66" s="51">
        <v>124804.62680810101</v>
      </c>
      <c r="W66" s="33"/>
      <c r="X66" s="51">
        <v>313473.24036960391</v>
      </c>
      <c r="Y66" s="30"/>
      <c r="Z66" s="30">
        <f t="shared" si="21"/>
        <v>-5264560.8325419351</v>
      </c>
      <c r="AA66" s="30"/>
      <c r="AB66" s="30">
        <f t="shared" si="22"/>
        <v>-74329100.950249121</v>
      </c>
      <c r="AC66" s="17"/>
      <c r="AD66" s="30"/>
      <c r="AE66" s="30"/>
      <c r="AF66" s="30">
        <f>BA66/100*AF25</f>
        <v>7644621243.2414675</v>
      </c>
      <c r="AG66" s="34">
        <f t="shared" si="28"/>
        <v>4.7253645227302403E-3</v>
      </c>
      <c r="AH66" s="34">
        <f t="shared" si="23"/>
        <v>-9.7230586820717547E-3</v>
      </c>
      <c r="AU66" s="29">
        <v>12752871</v>
      </c>
      <c r="AW66" s="29">
        <f t="shared" si="24"/>
        <v>2.9084087560381153E-3</v>
      </c>
      <c r="AX66" s="53">
        <v>7840.0403324523704</v>
      </c>
      <c r="AY66" s="34">
        <f t="shared" si="25"/>
        <v>1.8116866414010569E-3</v>
      </c>
      <c r="AZ66" s="29">
        <f t="shared" si="29"/>
        <v>116.62974697939222</v>
      </c>
      <c r="BA66" s="29">
        <f t="shared" si="19"/>
        <v>133.01876786724458</v>
      </c>
      <c r="BC66" s="34">
        <f t="shared" si="20"/>
        <v>1.5632718300026407E-2</v>
      </c>
    </row>
    <row r="67" spans="1:55" s="39" customFormat="1">
      <c r="A67" s="39">
        <f t="shared" si="26"/>
        <v>2028</v>
      </c>
      <c r="B67" s="39">
        <f t="shared" si="27"/>
        <v>2</v>
      </c>
      <c r="C67" s="40"/>
      <c r="D67" s="54">
        <v>156590741.79016447</v>
      </c>
      <c r="E67" s="40"/>
      <c r="F67" s="54">
        <v>28462220.920207899</v>
      </c>
      <c r="G67" s="57">
        <v>3136697</v>
      </c>
      <c r="H67" s="57">
        <v>17257181.418764599</v>
      </c>
      <c r="I67" s="57">
        <v>97011</v>
      </c>
      <c r="J67" s="57">
        <v>533725.89912757499</v>
      </c>
      <c r="K67" s="40"/>
      <c r="L67" s="54">
        <v>2593791.07440633</v>
      </c>
      <c r="M67" s="43"/>
      <c r="N67" s="54">
        <v>1236362.1831158027</v>
      </c>
      <c r="O67" s="40"/>
      <c r="P67" s="54">
        <v>20261294.161143109</v>
      </c>
      <c r="Q67" s="43"/>
      <c r="R67" s="54">
        <v>31343942.073382009</v>
      </c>
      <c r="S67" s="43"/>
      <c r="T67" s="54">
        <v>119846279.15032032</v>
      </c>
      <c r="U67" s="40"/>
      <c r="V67" s="54">
        <v>132300.29661641599</v>
      </c>
      <c r="W67" s="43"/>
      <c r="X67" s="54">
        <v>332300.2018665201</v>
      </c>
      <c r="Y67" s="40"/>
      <c r="Z67" s="40">
        <f t="shared" si="21"/>
        <v>-816131.80773160607</v>
      </c>
      <c r="AA67" s="40"/>
      <c r="AB67" s="40">
        <f t="shared" si="22"/>
        <v>-57005756.800987259</v>
      </c>
      <c r="AC67" s="17"/>
      <c r="AD67" s="40"/>
      <c r="AE67" s="40"/>
      <c r="AF67" s="40">
        <f>BA67/100*AF25</f>
        <v>7719201497.7050362</v>
      </c>
      <c r="AG67" s="44">
        <f t="shared" si="28"/>
        <v>9.7559123062511879E-3</v>
      </c>
      <c r="AH67" s="44">
        <f t="shared" si="23"/>
        <v>-7.3849292336694936E-3</v>
      </c>
      <c r="AU67" s="39">
        <v>12818586</v>
      </c>
      <c r="AW67" s="39">
        <f t="shared" si="24"/>
        <v>5.1529573223158924E-3</v>
      </c>
      <c r="AX67" s="56">
        <v>7875.9426819004102</v>
      </c>
      <c r="AY67" s="44">
        <f t="shared" si="25"/>
        <v>4.5793577488917716E-3</v>
      </c>
      <c r="AZ67" s="39">
        <f t="shared" si="29"/>
        <v>117.16383631497358</v>
      </c>
      <c r="BA67" s="39">
        <f t="shared" si="19"/>
        <v>134.31648730164301</v>
      </c>
      <c r="BC67" s="44">
        <f t="shared" si="20"/>
        <v>1.3675831137365778E-2</v>
      </c>
    </row>
    <row r="68" spans="1:55" s="39" customFormat="1">
      <c r="A68" s="39">
        <f t="shared" si="26"/>
        <v>2028</v>
      </c>
      <c r="B68" s="39">
        <f t="shared" si="27"/>
        <v>3</v>
      </c>
      <c r="C68" s="40"/>
      <c r="D68" s="54">
        <v>158318768.93201312</v>
      </c>
      <c r="E68" s="40"/>
      <c r="F68" s="54">
        <v>28776310.308285002</v>
      </c>
      <c r="G68" s="57">
        <v>3286177</v>
      </c>
      <c r="H68" s="57">
        <v>18079576.275034402</v>
      </c>
      <c r="I68" s="57">
        <v>101634</v>
      </c>
      <c r="J68" s="57">
        <v>559160.28112205805</v>
      </c>
      <c r="K68" s="40"/>
      <c r="L68" s="54">
        <v>2609821.9529363802</v>
      </c>
      <c r="M68" s="43"/>
      <c r="N68" s="54">
        <v>1252159.1127498969</v>
      </c>
      <c r="O68" s="40"/>
      <c r="P68" s="54">
        <v>20431388.512042157</v>
      </c>
      <c r="Q68" s="43"/>
      <c r="R68" s="54">
        <v>27579723.348374091</v>
      </c>
      <c r="S68" s="43"/>
      <c r="T68" s="54">
        <v>105453462.60401648</v>
      </c>
      <c r="U68" s="40"/>
      <c r="V68" s="54">
        <v>135344.00988972699</v>
      </c>
      <c r="W68" s="43"/>
      <c r="X68" s="54">
        <v>339945.13208219095</v>
      </c>
      <c r="Y68" s="40"/>
      <c r="Z68" s="40">
        <f t="shared" si="21"/>
        <v>-4923224.015707463</v>
      </c>
      <c r="AA68" s="40"/>
      <c r="AB68" s="40">
        <f t="shared" si="22"/>
        <v>-73296694.840038806</v>
      </c>
      <c r="AC68" s="17"/>
      <c r="AD68" s="40"/>
      <c r="AE68" s="40"/>
      <c r="AF68" s="40">
        <f>BA68/100*AF25</f>
        <v>7780698386.0612831</v>
      </c>
      <c r="AG68" s="44">
        <f t="shared" si="28"/>
        <v>7.9667422044275345E-3</v>
      </c>
      <c r="AH68" s="44">
        <f t="shared" si="23"/>
        <v>-9.4203233698591932E-3</v>
      </c>
      <c r="AU68" s="39">
        <v>12861309</v>
      </c>
      <c r="AW68" s="39">
        <f t="shared" si="24"/>
        <v>3.3328949074414292E-3</v>
      </c>
      <c r="AX68" s="56">
        <v>7912.3173646133801</v>
      </c>
      <c r="AY68" s="44">
        <f t="shared" si="25"/>
        <v>4.6184544735910753E-3</v>
      </c>
      <c r="AZ68" s="39">
        <f t="shared" si="29"/>
        <v>117.70495215894555</v>
      </c>
      <c r="BA68" s="39">
        <f t="shared" si="19"/>
        <v>135.38655212977946</v>
      </c>
      <c r="BC68" s="44">
        <f t="shared" si="20"/>
        <v>1.5642621341838508E-2</v>
      </c>
    </row>
    <row r="69" spans="1:55" s="39" customFormat="1">
      <c r="A69" s="39">
        <f t="shared" si="26"/>
        <v>2028</v>
      </c>
      <c r="B69" s="39">
        <f t="shared" si="27"/>
        <v>4</v>
      </c>
      <c r="C69" s="40"/>
      <c r="D69" s="54">
        <v>160420177.48386306</v>
      </c>
      <c r="E69" s="40"/>
      <c r="F69" s="54">
        <v>29158266.187429599</v>
      </c>
      <c r="G69" s="57">
        <v>3440053</v>
      </c>
      <c r="H69" s="57">
        <v>18926156.6262745</v>
      </c>
      <c r="I69" s="57">
        <v>106394</v>
      </c>
      <c r="J69" s="57">
        <v>585348.39669500606</v>
      </c>
      <c r="K69" s="40"/>
      <c r="L69" s="54">
        <v>2577522.6732119001</v>
      </c>
      <c r="M69" s="43"/>
      <c r="N69" s="54">
        <v>1269619.4437673017</v>
      </c>
      <c r="O69" s="40"/>
      <c r="P69" s="54">
        <v>20359848.985634767</v>
      </c>
      <c r="Q69" s="43"/>
      <c r="R69" s="54">
        <v>31984541.379712999</v>
      </c>
      <c r="S69" s="43"/>
      <c r="T69" s="54">
        <v>122295666.11990775</v>
      </c>
      <c r="U69" s="40"/>
      <c r="V69" s="54">
        <v>128992.020880431</v>
      </c>
      <c r="W69" s="43"/>
      <c r="X69" s="54">
        <v>323990.76702008664</v>
      </c>
      <c r="Y69" s="40"/>
      <c r="Z69" s="40">
        <f t="shared" si="21"/>
        <v>-891874.90381537005</v>
      </c>
      <c r="AA69" s="40"/>
      <c r="AB69" s="40">
        <f t="shared" si="22"/>
        <v>-58484360.349590063</v>
      </c>
      <c r="AC69" s="17"/>
      <c r="AD69" s="40"/>
      <c r="AE69" s="40"/>
      <c r="AF69" s="40">
        <f>BA69/100*AF25</f>
        <v>7857966904.2890034</v>
      </c>
      <c r="AG69" s="44">
        <f t="shared" si="28"/>
        <v>9.9307946914049261E-3</v>
      </c>
      <c r="AH69" s="44">
        <f t="shared" si="23"/>
        <v>-7.4426834653208282E-3</v>
      </c>
      <c r="AU69" s="39">
        <v>12917306</v>
      </c>
      <c r="AW69" s="39">
        <f t="shared" si="24"/>
        <v>4.3539114097950679E-3</v>
      </c>
      <c r="AX69" s="56">
        <v>7956.2521468930299</v>
      </c>
      <c r="AY69" s="44">
        <f t="shared" si="25"/>
        <v>5.5527072860021287E-3</v>
      </c>
      <c r="AZ69" s="39">
        <f t="shared" si="29"/>
        <v>118.35853330439707</v>
      </c>
      <c r="BA69" s="39">
        <f t="shared" si="19"/>
        <v>136.73104818295749</v>
      </c>
      <c r="BC69" s="44">
        <f t="shared" si="20"/>
        <v>1.3691598551065953E-2</v>
      </c>
    </row>
    <row r="70" spans="1:55" s="29" customFormat="1">
      <c r="A70" s="29">
        <f t="shared" si="26"/>
        <v>2029</v>
      </c>
      <c r="B70" s="29">
        <f t="shared" si="27"/>
        <v>1</v>
      </c>
      <c r="C70" s="30"/>
      <c r="D70" s="51">
        <v>161606384.87087241</v>
      </c>
      <c r="E70" s="30"/>
      <c r="F70" s="51">
        <v>29373873.421422299</v>
      </c>
      <c r="G70" s="59">
        <v>3603193</v>
      </c>
      <c r="H70" s="59">
        <v>19823704.772192702</v>
      </c>
      <c r="I70" s="59">
        <v>111438</v>
      </c>
      <c r="J70" s="59">
        <v>613098.99647440703</v>
      </c>
      <c r="K70" s="30"/>
      <c r="L70" s="51">
        <v>3227800.89777761</v>
      </c>
      <c r="M70" s="33"/>
      <c r="N70" s="51">
        <v>1280310.9625659026</v>
      </c>
      <c r="O70" s="30"/>
      <c r="P70" s="51">
        <v>23792967.366120733</v>
      </c>
      <c r="Q70" s="33"/>
      <c r="R70" s="51">
        <v>28112785.793544203</v>
      </c>
      <c r="S70" s="33"/>
      <c r="T70" s="51">
        <v>107491673.06455272</v>
      </c>
      <c r="U70" s="30"/>
      <c r="V70" s="51">
        <v>128351.83661770901</v>
      </c>
      <c r="W70" s="33"/>
      <c r="X70" s="51">
        <v>322382.80872237345</v>
      </c>
      <c r="Y70" s="30"/>
      <c r="Z70" s="30">
        <f t="shared" si="21"/>
        <v>-5640847.6516038999</v>
      </c>
      <c r="AA70" s="30"/>
      <c r="AB70" s="30">
        <f t="shared" si="22"/>
        <v>-77907679.17244041</v>
      </c>
      <c r="AC70" s="17"/>
      <c r="AD70" s="30"/>
      <c r="AE70" s="30"/>
      <c r="AF70" s="30">
        <f>BA70/100*AF25</f>
        <v>7903608284.8657598</v>
      </c>
      <c r="AG70" s="34">
        <f t="shared" si="28"/>
        <v>5.8082938160307959E-3</v>
      </c>
      <c r="AH70" s="34">
        <f t="shared" si="23"/>
        <v>-9.8572293014093423E-3</v>
      </c>
      <c r="AU70" s="29">
        <v>12930325</v>
      </c>
      <c r="AW70" s="29">
        <f t="shared" si="24"/>
        <v>1.0078726941980007E-3</v>
      </c>
      <c r="AX70" s="53">
        <v>7994.4070524621302</v>
      </c>
      <c r="AY70" s="34">
        <f t="shared" si="25"/>
        <v>4.7955877798568783E-3</v>
      </c>
      <c r="AZ70" s="29">
        <f t="shared" si="29"/>
        <v>118.92613204035342</v>
      </c>
      <c r="BA70" s="29">
        <f t="shared" si="19"/>
        <v>137.52522228457798</v>
      </c>
      <c r="BC70" s="34">
        <f t="shared" si="20"/>
        <v>1.5577883204426402E-2</v>
      </c>
    </row>
    <row r="71" spans="1:55" s="39" customFormat="1">
      <c r="A71" s="39">
        <f t="shared" si="26"/>
        <v>2029</v>
      </c>
      <c r="B71" s="39">
        <f t="shared" si="27"/>
        <v>2</v>
      </c>
      <c r="C71" s="40"/>
      <c r="D71" s="54">
        <v>162728962.03469479</v>
      </c>
      <c r="E71" s="40"/>
      <c r="F71" s="54">
        <v>29577915.1091455</v>
      </c>
      <c r="G71" s="57">
        <v>3706650</v>
      </c>
      <c r="H71" s="57">
        <v>20392894.661442801</v>
      </c>
      <c r="I71" s="57">
        <v>114638</v>
      </c>
      <c r="J71" s="57">
        <v>630704.45232176699</v>
      </c>
      <c r="K71" s="40"/>
      <c r="L71" s="54">
        <v>2641253.8419387001</v>
      </c>
      <c r="M71" s="43"/>
      <c r="N71" s="54">
        <v>1289662.5433098003</v>
      </c>
      <c r="O71" s="40"/>
      <c r="P71" s="54">
        <v>20800821.54313577</v>
      </c>
      <c r="Q71" s="43"/>
      <c r="R71" s="54">
        <v>32393777.881992128</v>
      </c>
      <c r="S71" s="43"/>
      <c r="T71" s="54">
        <v>123860417.35559537</v>
      </c>
      <c r="U71" s="40"/>
      <c r="V71" s="54">
        <v>128773.927294817</v>
      </c>
      <c r="W71" s="43"/>
      <c r="X71" s="54">
        <v>323442.97881114978</v>
      </c>
      <c r="Y71" s="40"/>
      <c r="Z71" s="40">
        <f t="shared" si="21"/>
        <v>-986279.68510705605</v>
      </c>
      <c r="AA71" s="40"/>
      <c r="AB71" s="40">
        <f t="shared" si="22"/>
        <v>-59669366.222235203</v>
      </c>
      <c r="AC71" s="17"/>
      <c r="AD71" s="40"/>
      <c r="AE71" s="40"/>
      <c r="AF71" s="40">
        <f>BA71/100*AF25</f>
        <v>7964391937.1288385</v>
      </c>
      <c r="AG71" s="44">
        <f t="shared" si="28"/>
        <v>7.6906205459942121E-3</v>
      </c>
      <c r="AH71" s="44">
        <f t="shared" si="23"/>
        <v>-7.4920178079214417E-3</v>
      </c>
      <c r="AU71" s="39">
        <v>13022526</v>
      </c>
      <c r="AW71" s="39">
        <f t="shared" si="24"/>
        <v>7.1306018990241931E-3</v>
      </c>
      <c r="AX71" s="56">
        <v>7998.8523716813097</v>
      </c>
      <c r="AY71" s="44">
        <f t="shared" si="25"/>
        <v>5.5605364975885646E-4</v>
      </c>
      <c r="AZ71" s="39">
        <f t="shared" si="29"/>
        <v>118.99226135012617</v>
      </c>
      <c r="BA71" s="39">
        <f t="shared" si="19"/>
        <v>138.58287658467216</v>
      </c>
      <c r="BC71" s="44">
        <f t="shared" ref="BC71:BC102" si="30">T78/AF78</f>
        <v>1.3632454003638208E-2</v>
      </c>
    </row>
    <row r="72" spans="1:55" s="39" customFormat="1">
      <c r="A72" s="39">
        <f t="shared" si="26"/>
        <v>2029</v>
      </c>
      <c r="B72" s="39">
        <f t="shared" si="27"/>
        <v>3</v>
      </c>
      <c r="C72" s="40"/>
      <c r="D72" s="54">
        <v>164084397.17493388</v>
      </c>
      <c r="E72" s="40"/>
      <c r="F72" s="54">
        <v>29824281.490474701</v>
      </c>
      <c r="G72" s="57">
        <v>3838548</v>
      </c>
      <c r="H72" s="57">
        <v>21118558.541241299</v>
      </c>
      <c r="I72" s="57">
        <v>118718</v>
      </c>
      <c r="J72" s="57">
        <v>653151.40852715098</v>
      </c>
      <c r="K72" s="40"/>
      <c r="L72" s="54">
        <v>2639958.61849896</v>
      </c>
      <c r="M72" s="43"/>
      <c r="N72" s="54">
        <v>1301826.1024932005</v>
      </c>
      <c r="O72" s="40"/>
      <c r="P72" s="54">
        <v>20861020.936346631</v>
      </c>
      <c r="Q72" s="43"/>
      <c r="R72" s="54">
        <v>28711135.358797744</v>
      </c>
      <c r="S72" s="43"/>
      <c r="T72" s="54">
        <v>109779514.48727366</v>
      </c>
      <c r="U72" s="40"/>
      <c r="V72" s="54">
        <v>130438.582955219</v>
      </c>
      <c r="W72" s="43"/>
      <c r="X72" s="54">
        <v>327624.11389653548</v>
      </c>
      <c r="Y72" s="40"/>
      <c r="Z72" s="40">
        <f t="shared" si="21"/>
        <v>-4924492.2697138973</v>
      </c>
      <c r="AA72" s="40"/>
      <c r="AB72" s="40">
        <f t="shared" si="22"/>
        <v>-75165903.624006853</v>
      </c>
      <c r="AC72" s="17"/>
      <c r="AD72" s="40"/>
      <c r="AE72" s="40"/>
      <c r="AF72" s="40">
        <f>BA72/100*AF25</f>
        <v>8052017512.585331</v>
      </c>
      <c r="AG72" s="44">
        <f t="shared" si="28"/>
        <v>1.1002167666811414E-2</v>
      </c>
      <c r="AH72" s="44">
        <f t="shared" si="23"/>
        <v>-9.3350397594791981E-3</v>
      </c>
      <c r="AU72" s="39">
        <v>13055416</v>
      </c>
      <c r="AW72" s="39">
        <f t="shared" si="24"/>
        <v>2.5256236770039853E-3</v>
      </c>
      <c r="AX72" s="56">
        <v>8066.4841831734202</v>
      </c>
      <c r="AY72" s="44">
        <f t="shared" si="25"/>
        <v>8.4551893633579723E-3</v>
      </c>
      <c r="AZ72" s="39">
        <f t="shared" si="29"/>
        <v>119.99836345261568</v>
      </c>
      <c r="BA72" s="39">
        <f t="shared" si="19"/>
        <v>140.10758862860578</v>
      </c>
      <c r="BC72" s="44">
        <f t="shared" si="30"/>
        <v>1.5588603453756237E-2</v>
      </c>
    </row>
    <row r="73" spans="1:55" s="39" customFormat="1">
      <c r="A73" s="39">
        <f t="shared" si="26"/>
        <v>2029</v>
      </c>
      <c r="B73" s="39">
        <f t="shared" si="27"/>
        <v>4</v>
      </c>
      <c r="C73" s="40"/>
      <c r="D73" s="54">
        <v>164536006.80963999</v>
      </c>
      <c r="E73" s="40"/>
      <c r="F73" s="54">
        <v>29906366.887387399</v>
      </c>
      <c r="G73" s="57">
        <v>3969045</v>
      </c>
      <c r="H73" s="57">
        <v>21836514.532401599</v>
      </c>
      <c r="I73" s="57">
        <v>122754</v>
      </c>
      <c r="J73" s="57">
        <v>675356.28971463395</v>
      </c>
      <c r="K73" s="40"/>
      <c r="L73" s="54">
        <v>2626919.9812776302</v>
      </c>
      <c r="M73" s="43"/>
      <c r="N73" s="54">
        <v>1305325.9728714004</v>
      </c>
      <c r="O73" s="40"/>
      <c r="P73" s="54">
        <v>20812618.640014227</v>
      </c>
      <c r="Q73" s="43"/>
      <c r="R73" s="54">
        <v>33068095.899186812</v>
      </c>
      <c r="S73" s="43"/>
      <c r="T73" s="54">
        <v>126438730.73862813</v>
      </c>
      <c r="U73" s="40"/>
      <c r="V73" s="54">
        <v>130546.173483698</v>
      </c>
      <c r="W73" s="43"/>
      <c r="X73" s="54">
        <v>327894.35028486466</v>
      </c>
      <c r="Y73" s="40"/>
      <c r="Z73" s="40">
        <f t="shared" si="21"/>
        <v>-639970.76886591688</v>
      </c>
      <c r="AA73" s="40"/>
      <c r="AB73" s="40">
        <f t="shared" si="22"/>
        <v>-58909894.711026087</v>
      </c>
      <c r="AC73" s="17"/>
      <c r="AD73" s="40"/>
      <c r="AE73" s="40"/>
      <c r="AF73" s="40">
        <f>BA73/100*AF25</f>
        <v>8088083486.9527817</v>
      </c>
      <c r="AG73" s="44">
        <f t="shared" si="28"/>
        <v>4.479122693297608E-3</v>
      </c>
      <c r="AH73" s="44">
        <f t="shared" si="23"/>
        <v>-7.2835418682381369E-3</v>
      </c>
      <c r="AU73" s="39">
        <v>13028240</v>
      </c>
      <c r="AW73" s="39">
        <f t="shared" si="24"/>
        <v>-2.0815882082960819E-3</v>
      </c>
      <c r="AX73" s="56">
        <v>8119.51644522284</v>
      </c>
      <c r="AY73" s="44">
        <f t="shared" si="25"/>
        <v>6.5743960869649306E-3</v>
      </c>
      <c r="AZ73" s="39">
        <f t="shared" si="29"/>
        <v>120.78728022374074</v>
      </c>
      <c r="BA73" s="39">
        <f t="shared" si="19"/>
        <v>140.73514770833535</v>
      </c>
      <c r="BC73" s="44">
        <f t="shared" si="30"/>
        <v>1.3648100831453527E-2</v>
      </c>
    </row>
    <row r="74" spans="1:55" s="29" customFormat="1">
      <c r="A74" s="29">
        <f t="shared" si="26"/>
        <v>2030</v>
      </c>
      <c r="B74" s="29">
        <f t="shared" si="27"/>
        <v>1</v>
      </c>
      <c r="C74" s="30"/>
      <c r="D74" s="51">
        <v>166316560.69075945</v>
      </c>
      <c r="E74" s="30"/>
      <c r="F74" s="51">
        <v>30230003.632097799</v>
      </c>
      <c r="G74" s="59">
        <v>4132503</v>
      </c>
      <c r="H74" s="59">
        <v>22735812.220494598</v>
      </c>
      <c r="I74" s="59">
        <v>127810</v>
      </c>
      <c r="J74" s="59">
        <v>703172.90995346301</v>
      </c>
      <c r="K74" s="30"/>
      <c r="L74" s="51">
        <v>3274598.4228874999</v>
      </c>
      <c r="M74" s="33"/>
      <c r="N74" s="51">
        <v>1320088.7861781009</v>
      </c>
      <c r="O74" s="30"/>
      <c r="P74" s="51">
        <v>24254645.795540974</v>
      </c>
      <c r="Q74" s="33"/>
      <c r="R74" s="51">
        <v>29054652.4531007</v>
      </c>
      <c r="S74" s="33"/>
      <c r="T74" s="51">
        <v>111092981.87055156</v>
      </c>
      <c r="U74" s="30"/>
      <c r="V74" s="51">
        <v>133940.30330900001</v>
      </c>
      <c r="W74" s="33"/>
      <c r="X74" s="51">
        <v>336419.42585124163</v>
      </c>
      <c r="Y74" s="30"/>
      <c r="Z74" s="30">
        <f t="shared" si="21"/>
        <v>-5636098.0847536996</v>
      </c>
      <c r="AA74" s="30"/>
      <c r="AB74" s="30">
        <f t="shared" si="22"/>
        <v>-79478224.615748867</v>
      </c>
      <c r="AC74" s="17"/>
      <c r="AD74" s="30"/>
      <c r="AE74" s="30"/>
      <c r="AF74" s="30">
        <f>BA74/100*AF25</f>
        <v>8123307516.3540039</v>
      </c>
      <c r="AG74" s="34">
        <f t="shared" si="28"/>
        <v>4.35505264727343E-3</v>
      </c>
      <c r="AH74" s="34">
        <f t="shared" si="23"/>
        <v>-9.783973394549169E-3</v>
      </c>
      <c r="AU74" s="29">
        <v>13051678</v>
      </c>
      <c r="AW74" s="29">
        <f t="shared" si="24"/>
        <v>1.7990150626638747E-3</v>
      </c>
      <c r="AX74" s="53">
        <v>8140.2329650943902</v>
      </c>
      <c r="AY74" s="34">
        <f t="shared" si="25"/>
        <v>2.5514474921396165E-3</v>
      </c>
      <c r="AZ74" s="29">
        <f t="shared" si="29"/>
        <v>121.09546262694995</v>
      </c>
      <c r="BA74" s="29">
        <f t="shared" si="19"/>
        <v>141.34805668592696</v>
      </c>
      <c r="BC74" s="34">
        <f t="shared" si="30"/>
        <v>1.5656312516608113E-2</v>
      </c>
    </row>
    <row r="75" spans="1:55" s="39" customFormat="1">
      <c r="A75" s="39">
        <f t="shared" si="26"/>
        <v>2030</v>
      </c>
      <c r="B75" s="39">
        <f t="shared" si="27"/>
        <v>2</v>
      </c>
      <c r="C75" s="40"/>
      <c r="D75" s="54">
        <v>168039444.5327715</v>
      </c>
      <c r="E75" s="40"/>
      <c r="F75" s="54">
        <v>30543158.164547201</v>
      </c>
      <c r="G75" s="57">
        <v>4299188</v>
      </c>
      <c r="H75" s="57">
        <v>23652863.910468701</v>
      </c>
      <c r="I75" s="57">
        <v>132964</v>
      </c>
      <c r="J75" s="57">
        <v>731528.69727761694</v>
      </c>
      <c r="K75" s="40"/>
      <c r="L75" s="54">
        <v>2608603.60223926</v>
      </c>
      <c r="M75" s="43"/>
      <c r="N75" s="54">
        <v>1335794.3717090003</v>
      </c>
      <c r="O75" s="40"/>
      <c r="P75" s="54">
        <v>20885203.0028852</v>
      </c>
      <c r="Q75" s="43"/>
      <c r="R75" s="54">
        <v>33254272.146965392</v>
      </c>
      <c r="S75" s="43"/>
      <c r="T75" s="54">
        <v>127150591.75822142</v>
      </c>
      <c r="U75" s="40"/>
      <c r="V75" s="54">
        <v>135620.67249386999</v>
      </c>
      <c r="W75" s="43"/>
      <c r="X75" s="54">
        <v>340640.02877975604</v>
      </c>
      <c r="Y75" s="40"/>
      <c r="Z75" s="40">
        <f t="shared" si="21"/>
        <v>-1097663.3190361969</v>
      </c>
      <c r="AA75" s="40"/>
      <c r="AB75" s="40">
        <f t="shared" si="22"/>
        <v>-61774055.777435273</v>
      </c>
      <c r="AC75" s="17"/>
      <c r="AD75" s="40"/>
      <c r="AE75" s="40"/>
      <c r="AF75" s="40">
        <f>BA75/100*AF25</f>
        <v>8128470860.4521627</v>
      </c>
      <c r="AG75" s="44">
        <f t="shared" si="28"/>
        <v>6.3562090783389523E-4</v>
      </c>
      <c r="AH75" s="44">
        <f t="shared" si="23"/>
        <v>-7.5997142436700534E-3</v>
      </c>
      <c r="AU75" s="39">
        <v>13062684</v>
      </c>
      <c r="AW75" s="39">
        <f t="shared" si="24"/>
        <v>8.4326321872176132E-4</v>
      </c>
      <c r="AX75" s="56">
        <v>8138.5441324408102</v>
      </c>
      <c r="AY75" s="44">
        <f t="shared" si="25"/>
        <v>-2.0746736129319249E-4</v>
      </c>
      <c r="AZ75" s="39">
        <f t="shared" si="29"/>
        <v>121.07033927085416</v>
      </c>
      <c r="BA75" s="39">
        <f t="shared" si="19"/>
        <v>141.43790046603823</v>
      </c>
      <c r="BC75" s="44">
        <f t="shared" si="30"/>
        <v>1.3697775848393016E-2</v>
      </c>
    </row>
    <row r="76" spans="1:55" s="39" customFormat="1">
      <c r="A76" s="39">
        <f t="shared" si="26"/>
        <v>2030</v>
      </c>
      <c r="B76" s="39">
        <f t="shared" si="27"/>
        <v>3</v>
      </c>
      <c r="C76" s="40"/>
      <c r="D76" s="54">
        <v>169375740.00946617</v>
      </c>
      <c r="E76" s="40"/>
      <c r="F76" s="54">
        <v>30786045.685466699</v>
      </c>
      <c r="G76" s="57">
        <v>4431086</v>
      </c>
      <c r="H76" s="57">
        <v>24378527.790267199</v>
      </c>
      <c r="I76" s="57">
        <v>137044</v>
      </c>
      <c r="J76" s="57">
        <v>753975.65348300105</v>
      </c>
      <c r="K76" s="40"/>
      <c r="L76" s="54">
        <v>2642868.96417217</v>
      </c>
      <c r="M76" s="43"/>
      <c r="N76" s="54">
        <v>1346182.3838416003</v>
      </c>
      <c r="O76" s="40"/>
      <c r="P76" s="54">
        <v>21120157.906640224</v>
      </c>
      <c r="Q76" s="43"/>
      <c r="R76" s="54">
        <v>29284007.957791429</v>
      </c>
      <c r="S76" s="43"/>
      <c r="T76" s="54">
        <v>111969942.52136806</v>
      </c>
      <c r="U76" s="40"/>
      <c r="V76" s="54">
        <v>130535.457593247</v>
      </c>
      <c r="W76" s="43"/>
      <c r="X76" s="54">
        <v>327867.43505752867</v>
      </c>
      <c r="Y76" s="40"/>
      <c r="Z76" s="40">
        <f t="shared" si="21"/>
        <v>-5360553.6180957928</v>
      </c>
      <c r="AA76" s="40"/>
      <c r="AB76" s="40">
        <f t="shared" si="22"/>
        <v>-78525955.394738346</v>
      </c>
      <c r="AC76" s="17"/>
      <c r="AD76" s="40"/>
      <c r="AE76" s="40"/>
      <c r="AF76" s="40">
        <f>BA76/100*AF25</f>
        <v>8178003620.5232363</v>
      </c>
      <c r="AG76" s="44">
        <f t="shared" si="28"/>
        <v>6.0937365614567966E-3</v>
      </c>
      <c r="AH76" s="44">
        <f t="shared" si="23"/>
        <v>-9.6020934984269654E-3</v>
      </c>
      <c r="AU76" s="39">
        <v>13091865</v>
      </c>
      <c r="AW76" s="39">
        <f t="shared" si="24"/>
        <v>2.2339206858253634E-3</v>
      </c>
      <c r="AX76" s="56">
        <v>8169.8873959230796</v>
      </c>
      <c r="AY76" s="44">
        <f t="shared" si="25"/>
        <v>3.8512125722010727E-3</v>
      </c>
      <c r="AZ76" s="39">
        <f t="shared" si="29"/>
        <v>121.53660688357472</v>
      </c>
      <c r="BA76" s="39">
        <f t="shared" si="19"/>
        <v>142.29978577128381</v>
      </c>
      <c r="BC76" s="44">
        <f t="shared" si="30"/>
        <v>1.5683973004522924E-2</v>
      </c>
    </row>
    <row r="77" spans="1:55" s="39" customFormat="1">
      <c r="A77" s="39">
        <f t="shared" si="26"/>
        <v>2030</v>
      </c>
      <c r="B77" s="39">
        <f t="shared" si="27"/>
        <v>4</v>
      </c>
      <c r="C77" s="40"/>
      <c r="D77" s="54">
        <v>170979326.10715112</v>
      </c>
      <c r="E77" s="40"/>
      <c r="F77" s="54">
        <v>31077516.4407304</v>
      </c>
      <c r="G77" s="57">
        <v>4540674</v>
      </c>
      <c r="H77" s="57">
        <v>24981448.6325798</v>
      </c>
      <c r="I77" s="57">
        <v>140434</v>
      </c>
      <c r="J77" s="57">
        <v>772626.43327129795</v>
      </c>
      <c r="K77" s="40"/>
      <c r="L77" s="54">
        <v>2620214.9419502802</v>
      </c>
      <c r="M77" s="43"/>
      <c r="N77" s="54">
        <v>1359887.331779398</v>
      </c>
      <c r="O77" s="40"/>
      <c r="P77" s="54">
        <v>21078006.657578543</v>
      </c>
      <c r="Q77" s="43"/>
      <c r="R77" s="54">
        <v>33482630.931304462</v>
      </c>
      <c r="S77" s="43"/>
      <c r="T77" s="54">
        <v>128023741.36238591</v>
      </c>
      <c r="U77" s="40"/>
      <c r="V77" s="54">
        <v>135371.00131476499</v>
      </c>
      <c r="W77" s="43"/>
      <c r="X77" s="54">
        <v>340012.92676004261</v>
      </c>
      <c r="Y77" s="40"/>
      <c r="Z77" s="40">
        <f t="shared" si="21"/>
        <v>-1439616.7818408497</v>
      </c>
      <c r="AA77" s="40"/>
      <c r="AB77" s="40">
        <f t="shared" si="22"/>
        <v>-64033591.40234375</v>
      </c>
      <c r="AC77" s="17"/>
      <c r="AD77" s="40"/>
      <c r="AE77" s="40"/>
      <c r="AF77" s="40">
        <f>BA77/100*AF25</f>
        <v>8218301529.3123016</v>
      </c>
      <c r="AG77" s="44">
        <f t="shared" si="28"/>
        <v>4.9275973280245456E-3</v>
      </c>
      <c r="AH77" s="44">
        <f t="shared" si="23"/>
        <v>-7.791584571818699E-3</v>
      </c>
      <c r="AU77" s="39">
        <v>13150653</v>
      </c>
      <c r="AW77" s="39">
        <f t="shared" si="24"/>
        <v>4.4904221056358282E-3</v>
      </c>
      <c r="AX77" s="56">
        <v>8173.4431016427197</v>
      </c>
      <c r="AY77" s="44">
        <f t="shared" si="25"/>
        <v>4.3522089685281754E-4</v>
      </c>
      <c r="AZ77" s="39">
        <f t="shared" si="29"/>
        <v>121.58950215462303</v>
      </c>
      <c r="BA77" s="39">
        <f t="shared" si="19"/>
        <v>143.00098181542887</v>
      </c>
      <c r="BC77" s="44">
        <f t="shared" si="30"/>
        <v>1.3718509219766271E-2</v>
      </c>
    </row>
    <row r="78" spans="1:55" s="29" customFormat="1">
      <c r="A78" s="29">
        <f t="shared" si="26"/>
        <v>2031</v>
      </c>
      <c r="B78" s="29">
        <f t="shared" si="27"/>
        <v>1</v>
      </c>
      <c r="C78" s="30"/>
      <c r="D78" s="51">
        <v>172435007.28399217</v>
      </c>
      <c r="E78" s="30"/>
      <c r="F78" s="51">
        <v>31342103.725846902</v>
      </c>
      <c r="G78" s="59">
        <v>4676628</v>
      </c>
      <c r="H78" s="59">
        <v>25729427.427664801</v>
      </c>
      <c r="I78" s="59">
        <v>144638</v>
      </c>
      <c r="J78" s="59">
        <v>795755.60089076695</v>
      </c>
      <c r="K78" s="30"/>
      <c r="L78" s="51">
        <v>3203994.6994173601</v>
      </c>
      <c r="M78" s="33"/>
      <c r="N78" s="51">
        <v>1370199.5271473974</v>
      </c>
      <c r="O78" s="30"/>
      <c r="P78" s="51">
        <v>24163977.250572637</v>
      </c>
      <c r="Q78" s="33"/>
      <c r="R78" s="51">
        <v>29307835.28043456</v>
      </c>
      <c r="S78" s="33"/>
      <c r="T78" s="51">
        <v>112061048.35464862</v>
      </c>
      <c r="U78" s="30"/>
      <c r="V78" s="51">
        <v>136759.913206481</v>
      </c>
      <c r="W78" s="33"/>
      <c r="X78" s="51">
        <v>343501.47299762355</v>
      </c>
      <c r="Y78" s="30"/>
      <c r="Z78" s="30">
        <f t="shared" ref="Z78:Z109" si="31">R78+V78-N78-L78-F78</f>
        <v>-6471702.7587706186</v>
      </c>
      <c r="AA78" s="30"/>
      <c r="AB78" s="30">
        <f t="shared" ref="AB78:AB109" si="32">T78-P78-D78</f>
        <v>-84537936.179916188</v>
      </c>
      <c r="AC78" s="17"/>
      <c r="AD78" s="30"/>
      <c r="AE78" s="30"/>
      <c r="AF78" s="30">
        <f>BA78/100*AF25</f>
        <v>8220166987.1574068</v>
      </c>
      <c r="AG78" s="34">
        <f t="shared" si="28"/>
        <v>2.269882454971533E-4</v>
      </c>
      <c r="AH78" s="34">
        <f t="shared" ref="AH78:AH109" si="33">AB78/AF78</f>
        <v>-1.0284211538767052E-2</v>
      </c>
      <c r="AU78" s="29">
        <v>13083498</v>
      </c>
      <c r="AW78" s="29">
        <f t="shared" si="24"/>
        <v>-5.1065905244401175E-3</v>
      </c>
      <c r="AX78" s="53">
        <v>8217.2605620751801</v>
      </c>
      <c r="AY78" s="34">
        <f t="shared" si="25"/>
        <v>5.3609549717980962E-3</v>
      </c>
      <c r="AZ78" s="29">
        <f t="shared" si="29"/>
        <v>122.24133800071732</v>
      </c>
      <c r="BA78" s="29">
        <f t="shared" si="19"/>
        <v>143.0334413573955</v>
      </c>
      <c r="BC78" s="34">
        <f t="shared" si="30"/>
        <v>1.5638038682782514E-2</v>
      </c>
    </row>
    <row r="79" spans="1:55" s="39" customFormat="1">
      <c r="A79" s="39">
        <f t="shared" si="26"/>
        <v>2031</v>
      </c>
      <c r="B79" s="39">
        <f t="shared" si="27"/>
        <v>2</v>
      </c>
      <c r="C79" s="40"/>
      <c r="D79" s="54">
        <v>173690280.65962738</v>
      </c>
      <c r="E79" s="40"/>
      <c r="F79" s="54">
        <v>31570264.520822</v>
      </c>
      <c r="G79" s="57">
        <v>4862416</v>
      </c>
      <c r="H79" s="57">
        <v>26751578.1873428</v>
      </c>
      <c r="I79" s="57">
        <v>150384</v>
      </c>
      <c r="J79" s="57">
        <v>827368.39754668297</v>
      </c>
      <c r="K79" s="40"/>
      <c r="L79" s="54">
        <v>2614492.4778067102</v>
      </c>
      <c r="M79" s="43"/>
      <c r="N79" s="54">
        <v>1379466.1690544002</v>
      </c>
      <c r="O79" s="40"/>
      <c r="P79" s="54">
        <v>21156029.749930263</v>
      </c>
      <c r="Q79" s="43"/>
      <c r="R79" s="54">
        <v>33831768.085814252</v>
      </c>
      <c r="S79" s="43"/>
      <c r="T79" s="54">
        <v>129358697.53296481</v>
      </c>
      <c r="U79" s="40"/>
      <c r="V79" s="54">
        <v>137201.279310635</v>
      </c>
      <c r="W79" s="43"/>
      <c r="X79" s="54">
        <v>344610.05740187963</v>
      </c>
      <c r="Y79" s="40"/>
      <c r="Z79" s="40">
        <f t="shared" si="31"/>
        <v>-1595253.8025582209</v>
      </c>
      <c r="AA79" s="40"/>
      <c r="AB79" s="40">
        <f t="shared" si="32"/>
        <v>-65487612.87659283</v>
      </c>
      <c r="AC79" s="17"/>
      <c r="AD79" s="40"/>
      <c r="AE79" s="40"/>
      <c r="AF79" s="40">
        <f>BA79/100*AF25</f>
        <v>8298286496.0744438</v>
      </c>
      <c r="AG79" s="44">
        <f t="shared" si="28"/>
        <v>9.5033968335540234E-3</v>
      </c>
      <c r="AH79" s="44">
        <f t="shared" si="33"/>
        <v>-7.8917030531028484E-3</v>
      </c>
      <c r="AU79" s="39">
        <v>13145449</v>
      </c>
      <c r="AW79" s="39">
        <f t="shared" ref="AW79:AW110" si="34">(AU79-AU78)/AU78</f>
        <v>4.7350486849923471E-3</v>
      </c>
      <c r="AX79" s="56">
        <v>8256.2586633544197</v>
      </c>
      <c r="AY79" s="44">
        <f t="shared" ref="AY79:AY110" si="35">(AX79-AX78)/AX78</f>
        <v>4.7458761937312858E-3</v>
      </c>
      <c r="AZ79" s="39">
        <f t="shared" si="29"/>
        <v>122.8214802566248</v>
      </c>
      <c r="BA79" s="39">
        <f t="shared" si="19"/>
        <v>144.39274491108372</v>
      </c>
      <c r="BC79" s="44">
        <f t="shared" si="30"/>
        <v>1.3704664906632309E-2</v>
      </c>
    </row>
    <row r="80" spans="1:55" s="39" customFormat="1">
      <c r="A80" s="39">
        <f t="shared" si="26"/>
        <v>2031</v>
      </c>
      <c r="B80" s="39">
        <f t="shared" si="27"/>
        <v>3</v>
      </c>
      <c r="C80" s="40"/>
      <c r="D80" s="54">
        <v>174876881.84670606</v>
      </c>
      <c r="E80" s="40"/>
      <c r="F80" s="54">
        <v>31785943.3326388</v>
      </c>
      <c r="G80" s="57">
        <v>5027465</v>
      </c>
      <c r="H80" s="57">
        <v>27659629.088014901</v>
      </c>
      <c r="I80" s="57">
        <v>155488</v>
      </c>
      <c r="J80" s="57">
        <v>855449.09962322202</v>
      </c>
      <c r="K80" s="40"/>
      <c r="L80" s="54">
        <v>2537176.73776779</v>
      </c>
      <c r="M80" s="43"/>
      <c r="N80" s="54">
        <v>1389639.2988857999</v>
      </c>
      <c r="O80" s="40"/>
      <c r="P80" s="54">
        <v>20810807.566098541</v>
      </c>
      <c r="Q80" s="43"/>
      <c r="R80" s="54">
        <v>29735940.226894565</v>
      </c>
      <c r="S80" s="43"/>
      <c r="T80" s="54">
        <v>113697944.72202194</v>
      </c>
      <c r="U80" s="40"/>
      <c r="V80" s="54">
        <v>136536.48054833201</v>
      </c>
      <c r="W80" s="43"/>
      <c r="X80" s="54">
        <v>342940.27457777609</v>
      </c>
      <c r="Y80" s="40"/>
      <c r="Z80" s="40">
        <f t="shared" si="31"/>
        <v>-5840282.6618494913</v>
      </c>
      <c r="AA80" s="40"/>
      <c r="AB80" s="40">
        <f t="shared" si="32"/>
        <v>-81989744.690782666</v>
      </c>
      <c r="AC80" s="17"/>
      <c r="AD80" s="40"/>
      <c r="AE80" s="40"/>
      <c r="AF80" s="40">
        <f>BA80/100*AF25</f>
        <v>8330678834.083106</v>
      </c>
      <c r="AG80" s="44">
        <f t="shared" si="28"/>
        <v>3.9034971887251207E-3</v>
      </c>
      <c r="AH80" s="44">
        <f t="shared" si="33"/>
        <v>-9.841904402236706E-3</v>
      </c>
      <c r="AU80" s="39">
        <v>13123483</v>
      </c>
      <c r="AW80" s="39">
        <f t="shared" si="34"/>
        <v>-1.670996555537966E-3</v>
      </c>
      <c r="AX80" s="56">
        <v>8302.3601610681908</v>
      </c>
      <c r="AY80" s="44">
        <f t="shared" si="35"/>
        <v>5.5838242954273677E-3</v>
      </c>
      <c r="AZ80" s="39">
        <f t="shared" si="29"/>
        <v>123.50729382208209</v>
      </c>
      <c r="BA80" s="39">
        <f t="shared" si="19"/>
        <v>144.95638158491644</v>
      </c>
      <c r="BC80" s="44">
        <f t="shared" si="30"/>
        <v>1.5633743086590185E-2</v>
      </c>
    </row>
    <row r="81" spans="1:55" s="39" customFormat="1">
      <c r="A81" s="39">
        <f t="shared" si="26"/>
        <v>2031</v>
      </c>
      <c r="B81" s="39">
        <f t="shared" si="27"/>
        <v>4</v>
      </c>
      <c r="C81" s="40"/>
      <c r="D81" s="54">
        <v>175867082.26618844</v>
      </c>
      <c r="E81" s="40"/>
      <c r="F81" s="54">
        <v>31965923.980104901</v>
      </c>
      <c r="G81" s="57">
        <v>5151883</v>
      </c>
      <c r="H81" s="57">
        <v>28344140.214770202</v>
      </c>
      <c r="I81" s="57">
        <v>159337</v>
      </c>
      <c r="J81" s="57">
        <v>876625.16198462504</v>
      </c>
      <c r="K81" s="40"/>
      <c r="L81" s="54">
        <v>2587425.7332878602</v>
      </c>
      <c r="M81" s="43"/>
      <c r="N81" s="54">
        <v>1397099.5522726998</v>
      </c>
      <c r="O81" s="40"/>
      <c r="P81" s="54">
        <v>21112593.955729984</v>
      </c>
      <c r="Q81" s="43"/>
      <c r="R81" s="54">
        <v>34454410.047772713</v>
      </c>
      <c r="S81" s="43"/>
      <c r="T81" s="54">
        <v>131739423.03995031</v>
      </c>
      <c r="U81" s="40"/>
      <c r="V81" s="54">
        <v>135674.11771127</v>
      </c>
      <c r="W81" s="43"/>
      <c r="X81" s="54">
        <v>340774.26775718114</v>
      </c>
      <c r="Y81" s="40"/>
      <c r="Z81" s="40">
        <f t="shared" si="31"/>
        <v>-1360365.100181479</v>
      </c>
      <c r="AA81" s="40"/>
      <c r="AB81" s="40">
        <f t="shared" si="32"/>
        <v>-65240253.181968123</v>
      </c>
      <c r="AC81" s="17"/>
      <c r="AD81" s="40"/>
      <c r="AE81" s="40"/>
      <c r="AF81" s="40">
        <f>BA81/100*AF25</f>
        <v>8414460486.7973871</v>
      </c>
      <c r="AG81" s="44">
        <f t="shared" si="28"/>
        <v>1.0057001882188426E-2</v>
      </c>
      <c r="AH81" s="44">
        <f t="shared" si="33"/>
        <v>-7.7533495206653586E-3</v>
      </c>
      <c r="AU81" s="39">
        <v>13205158</v>
      </c>
      <c r="AW81" s="39">
        <f t="shared" si="34"/>
        <v>6.2235764697527321E-3</v>
      </c>
      <c r="AX81" s="56">
        <v>8333.9897900779706</v>
      </c>
      <c r="AY81" s="44">
        <f t="shared" si="35"/>
        <v>3.8097153575797557E-3</v>
      </c>
      <c r="AZ81" s="39">
        <f t="shared" si="29"/>
        <v>123.97782145612919</v>
      </c>
      <c r="BA81" s="39">
        <f t="shared" si="19"/>
        <v>146.41420818735116</v>
      </c>
      <c r="BC81" s="44">
        <f t="shared" si="30"/>
        <v>1.3737275370716799E-2</v>
      </c>
    </row>
    <row r="82" spans="1:55" s="29" customFormat="1">
      <c r="A82" s="29">
        <f t="shared" ref="A82:A113" si="36">A78+1</f>
        <v>2032</v>
      </c>
      <c r="B82" s="29">
        <f t="shared" ref="B82:B113" si="37">B78</f>
        <v>1</v>
      </c>
      <c r="C82" s="30"/>
      <c r="D82" s="51">
        <v>177894773.94848722</v>
      </c>
      <c r="E82" s="30"/>
      <c r="F82" s="51">
        <v>32334480.945605401</v>
      </c>
      <c r="G82" s="59">
        <v>5305113</v>
      </c>
      <c r="H82" s="59">
        <v>29187166.464611098</v>
      </c>
      <c r="I82" s="59">
        <v>164076</v>
      </c>
      <c r="J82" s="59">
        <v>902697.74175357504</v>
      </c>
      <c r="K82" s="30"/>
      <c r="L82" s="51">
        <v>3200929.0235867598</v>
      </c>
      <c r="M82" s="33"/>
      <c r="N82" s="51">
        <v>1413519.3000317998</v>
      </c>
      <c r="O82" s="30"/>
      <c r="P82" s="51">
        <v>24386402.053124674</v>
      </c>
      <c r="Q82" s="33"/>
      <c r="R82" s="51">
        <v>30318047.179924745</v>
      </c>
      <c r="S82" s="33"/>
      <c r="T82" s="51">
        <v>115923681.10913204</v>
      </c>
      <c r="U82" s="30"/>
      <c r="V82" s="51">
        <v>136031.35326993899</v>
      </c>
      <c r="W82" s="33"/>
      <c r="X82" s="51">
        <v>341671.5404866882</v>
      </c>
      <c r="Y82" s="30"/>
      <c r="Z82" s="30">
        <f t="shared" si="31"/>
        <v>-6494850.7360292785</v>
      </c>
      <c r="AA82" s="30"/>
      <c r="AB82" s="30">
        <f t="shared" si="32"/>
        <v>-86357494.892479867</v>
      </c>
      <c r="AC82" s="17"/>
      <c r="AD82" s="30"/>
      <c r="AE82" s="30"/>
      <c r="AF82" s="30">
        <f>BA82/100*AF25</f>
        <v>8462956496.8922939</v>
      </c>
      <c r="AG82" s="34">
        <f t="shared" si="28"/>
        <v>5.763412897475592E-3</v>
      </c>
      <c r="AH82" s="34">
        <f t="shared" si="33"/>
        <v>-1.0204175683071448E-2</v>
      </c>
      <c r="AU82" s="29">
        <v>13217574</v>
      </c>
      <c r="AW82" s="29">
        <f t="shared" si="34"/>
        <v>9.4023865522850994E-4</v>
      </c>
      <c r="AX82" s="53">
        <v>8374.1483163698704</v>
      </c>
      <c r="AY82" s="34">
        <f t="shared" si="35"/>
        <v>4.8186435672996006E-3</v>
      </c>
      <c r="AZ82" s="29">
        <f t="shared" si="29"/>
        <v>124.5752263879766</v>
      </c>
      <c r="BA82" s="29">
        <f t="shared" si="19"/>
        <v>147.25805372319184</v>
      </c>
      <c r="BC82" s="34">
        <f t="shared" si="30"/>
        <v>1.5726788126250526E-2</v>
      </c>
    </row>
    <row r="83" spans="1:55" s="39" customFormat="1">
      <c r="A83" s="39">
        <f t="shared" si="36"/>
        <v>2032</v>
      </c>
      <c r="B83" s="39">
        <f t="shared" si="37"/>
        <v>2</v>
      </c>
      <c r="C83" s="40"/>
      <c r="D83" s="54">
        <v>179510141.78472623</v>
      </c>
      <c r="E83" s="40"/>
      <c r="F83" s="54">
        <v>32628093.1713144</v>
      </c>
      <c r="G83" s="57">
        <v>5476240</v>
      </c>
      <c r="H83" s="57">
        <v>30128656.7279834</v>
      </c>
      <c r="I83" s="57">
        <v>169368</v>
      </c>
      <c r="J83" s="57">
        <v>931812.76436114602</v>
      </c>
      <c r="K83" s="40"/>
      <c r="L83" s="54">
        <v>2576058.9835608499</v>
      </c>
      <c r="M83" s="43"/>
      <c r="N83" s="54">
        <v>1426733.1161738969</v>
      </c>
      <c r="O83" s="40"/>
      <c r="P83" s="54">
        <v>21216646.962630786</v>
      </c>
      <c r="Q83" s="43"/>
      <c r="R83" s="54">
        <v>35135568.303988621</v>
      </c>
      <c r="S83" s="43"/>
      <c r="T83" s="54">
        <v>134343890.66973588</v>
      </c>
      <c r="U83" s="40"/>
      <c r="V83" s="54">
        <v>140850.25754839799</v>
      </c>
      <c r="W83" s="43"/>
      <c r="X83" s="54">
        <v>353775.2387055225</v>
      </c>
      <c r="Y83" s="40"/>
      <c r="Z83" s="40">
        <f t="shared" si="31"/>
        <v>-1354466.7095121294</v>
      </c>
      <c r="AA83" s="40"/>
      <c r="AB83" s="40">
        <f t="shared" si="32"/>
        <v>-66382898.077621132</v>
      </c>
      <c r="AC83" s="17"/>
      <c r="AD83" s="40"/>
      <c r="AE83" s="40"/>
      <c r="AF83" s="40">
        <f>BA83/100*AF25</f>
        <v>8565679794.9724827</v>
      </c>
      <c r="AG83" s="44">
        <f t="shared" si="28"/>
        <v>1.21379919792699E-2</v>
      </c>
      <c r="AH83" s="44">
        <f t="shared" si="33"/>
        <v>-7.7498692067130195E-3</v>
      </c>
      <c r="AU83" s="39">
        <v>13333195</v>
      </c>
      <c r="AW83" s="39">
        <f t="shared" si="34"/>
        <v>8.7475205359168022E-3</v>
      </c>
      <c r="AX83" s="56">
        <v>8402.2944184926</v>
      </c>
      <c r="AY83" s="44">
        <f t="shared" si="35"/>
        <v>3.3610704109108456E-3</v>
      </c>
      <c r="AZ83" s="39">
        <f t="shared" si="29"/>
        <v>124.99393249532174</v>
      </c>
      <c r="BA83" s="39">
        <f t="shared" si="19"/>
        <v>149.0454707981668</v>
      </c>
      <c r="BC83" s="44">
        <f t="shared" si="30"/>
        <v>1.3703400663069153E-2</v>
      </c>
    </row>
    <row r="84" spans="1:55" s="39" customFormat="1">
      <c r="A84" s="39">
        <f t="shared" si="36"/>
        <v>2032</v>
      </c>
      <c r="B84" s="39">
        <f t="shared" si="37"/>
        <v>3</v>
      </c>
      <c r="C84" s="40"/>
      <c r="D84" s="54">
        <v>180843905.89775503</v>
      </c>
      <c r="E84" s="40"/>
      <c r="F84" s="54">
        <v>32870520.586923301</v>
      </c>
      <c r="G84" s="57">
        <v>5615183</v>
      </c>
      <c r="H84" s="57">
        <v>30893080.1191708</v>
      </c>
      <c r="I84" s="57">
        <v>173666</v>
      </c>
      <c r="J84" s="57">
        <v>955459.09224613197</v>
      </c>
      <c r="K84" s="40"/>
      <c r="L84" s="54">
        <v>2606304.5455282698</v>
      </c>
      <c r="M84" s="43"/>
      <c r="N84" s="54">
        <v>1436881.2555881962</v>
      </c>
      <c r="O84" s="40"/>
      <c r="P84" s="54">
        <v>21429423.396333359</v>
      </c>
      <c r="Q84" s="43"/>
      <c r="R84" s="54">
        <v>30754080.945927858</v>
      </c>
      <c r="S84" s="43"/>
      <c r="T84" s="54">
        <v>117590894.00523269</v>
      </c>
      <c r="U84" s="40"/>
      <c r="V84" s="54">
        <v>134598.49160306199</v>
      </c>
      <c r="W84" s="43"/>
      <c r="X84" s="54">
        <v>338072.60508497461</v>
      </c>
      <c r="Y84" s="40"/>
      <c r="Z84" s="40">
        <f t="shared" si="31"/>
        <v>-6025026.9505088478</v>
      </c>
      <c r="AA84" s="40"/>
      <c r="AB84" s="40">
        <f t="shared" si="32"/>
        <v>-84682435.288855702</v>
      </c>
      <c r="AC84" s="17"/>
      <c r="AD84" s="40"/>
      <c r="AE84" s="40"/>
      <c r="AF84" s="40">
        <f>BA84/100*AF25</f>
        <v>8571696247.8548479</v>
      </c>
      <c r="AG84" s="44">
        <f t="shared" si="28"/>
        <v>7.0239058969919789E-4</v>
      </c>
      <c r="AH84" s="44">
        <f t="shared" si="33"/>
        <v>-9.8793089302538373E-3</v>
      </c>
      <c r="AU84" s="39">
        <v>13282476</v>
      </c>
      <c r="AW84" s="39">
        <f t="shared" si="34"/>
        <v>-3.8039644661313362E-3</v>
      </c>
      <c r="AX84" s="56">
        <v>8440.3027226644408</v>
      </c>
      <c r="AY84" s="44">
        <f t="shared" si="35"/>
        <v>4.5235625269436355E-3</v>
      </c>
      <c r="AZ84" s="39">
        <f t="shared" si="29"/>
        <v>125.5593503644529</v>
      </c>
      <c r="BA84" s="39">
        <f t="shared" si="19"/>
        <v>149.15015893429273</v>
      </c>
      <c r="BC84" s="44">
        <f t="shared" si="30"/>
        <v>1.5715285009909957E-2</v>
      </c>
    </row>
    <row r="85" spans="1:55" s="39" customFormat="1">
      <c r="A85" s="39">
        <f t="shared" si="36"/>
        <v>2032</v>
      </c>
      <c r="B85" s="39">
        <f t="shared" si="37"/>
        <v>4</v>
      </c>
      <c r="C85" s="40"/>
      <c r="D85" s="54">
        <v>182782101.09709644</v>
      </c>
      <c r="E85" s="40"/>
      <c r="F85" s="54">
        <v>33222810.507256299</v>
      </c>
      <c r="G85" s="57">
        <v>5791520</v>
      </c>
      <c r="H85" s="57">
        <v>31863234.265344501</v>
      </c>
      <c r="I85" s="57">
        <v>179119</v>
      </c>
      <c r="J85" s="57">
        <v>985459.88935102394</v>
      </c>
      <c r="K85" s="40"/>
      <c r="L85" s="54">
        <v>2727601.03194028</v>
      </c>
      <c r="M85" s="43"/>
      <c r="N85" s="54">
        <v>1453157.8419663012</v>
      </c>
      <c r="O85" s="40"/>
      <c r="P85" s="54">
        <v>22148380.416827478</v>
      </c>
      <c r="Q85" s="43"/>
      <c r="R85" s="54">
        <v>35373240.887746148</v>
      </c>
      <c r="S85" s="43"/>
      <c r="T85" s="54">
        <v>135252652.39321965</v>
      </c>
      <c r="U85" s="40"/>
      <c r="V85" s="54">
        <v>142021.33935563901</v>
      </c>
      <c r="W85" s="43"/>
      <c r="X85" s="54">
        <v>356716.65857305826</v>
      </c>
      <c r="Y85" s="40"/>
      <c r="Z85" s="40">
        <f t="shared" si="31"/>
        <v>-1888307.1540610939</v>
      </c>
      <c r="AA85" s="40"/>
      <c r="AB85" s="40">
        <f t="shared" si="32"/>
        <v>-69677829.120704263</v>
      </c>
      <c r="AC85" s="17"/>
      <c r="AD85" s="40"/>
      <c r="AE85" s="40"/>
      <c r="AF85" s="40">
        <f>BA85/100*AF25</f>
        <v>8648952412.5639153</v>
      </c>
      <c r="AG85" s="44">
        <f t="shared" si="28"/>
        <v>9.012937751778298E-3</v>
      </c>
      <c r="AH85" s="44">
        <f t="shared" si="33"/>
        <v>-8.05621603600069E-3</v>
      </c>
      <c r="AU85" s="39">
        <v>13312604</v>
      </c>
      <c r="AW85" s="39">
        <f t="shared" si="34"/>
        <v>2.2682517928133278E-3</v>
      </c>
      <c r="AX85" s="56">
        <v>8497.1010809494001</v>
      </c>
      <c r="AY85" s="44">
        <f t="shared" si="35"/>
        <v>6.7294219355948769E-3</v>
      </c>
      <c r="AZ85" s="39">
        <f t="shared" si="29"/>
        <v>126.40429221101449</v>
      </c>
      <c r="BA85" s="39">
        <f t="shared" si="19"/>
        <v>150.49444003243536</v>
      </c>
      <c r="BC85" s="44">
        <f t="shared" si="30"/>
        <v>1.3743624286395825E-2</v>
      </c>
    </row>
    <row r="86" spans="1:55" s="29" customFormat="1">
      <c r="A86" s="29">
        <f t="shared" si="36"/>
        <v>2033</v>
      </c>
      <c r="B86" s="29">
        <f t="shared" si="37"/>
        <v>1</v>
      </c>
      <c r="C86" s="30"/>
      <c r="D86" s="51">
        <v>184404689.51907581</v>
      </c>
      <c r="E86" s="30"/>
      <c r="F86" s="51">
        <v>33517735.159895301</v>
      </c>
      <c r="G86" s="59">
        <v>5916952</v>
      </c>
      <c r="H86" s="59">
        <v>32553324.120921399</v>
      </c>
      <c r="I86" s="59">
        <v>182999</v>
      </c>
      <c r="J86" s="59">
        <v>1006806.50456595</v>
      </c>
      <c r="K86" s="30"/>
      <c r="L86" s="51">
        <v>3329122.9748646701</v>
      </c>
      <c r="M86" s="33"/>
      <c r="N86" s="51">
        <v>1465974.6140149012</v>
      </c>
      <c r="O86" s="30"/>
      <c r="P86" s="51">
        <v>25340194.736429431</v>
      </c>
      <c r="Q86" s="33"/>
      <c r="R86" s="51">
        <v>31097306.857111558</v>
      </c>
      <c r="S86" s="33"/>
      <c r="T86" s="51">
        <v>118903248.02461678</v>
      </c>
      <c r="U86" s="30"/>
      <c r="V86" s="51">
        <v>139388.671206631</v>
      </c>
      <c r="W86" s="33"/>
      <c r="X86" s="51">
        <v>350104.15520203882</v>
      </c>
      <c r="Y86" s="30"/>
      <c r="Z86" s="30">
        <f t="shared" si="31"/>
        <v>-7076137.2204566821</v>
      </c>
      <c r="AA86" s="30"/>
      <c r="AB86" s="30">
        <f t="shared" si="32"/>
        <v>-90841636.230888456</v>
      </c>
      <c r="AC86" s="17"/>
      <c r="AD86" s="30"/>
      <c r="AE86" s="30"/>
      <c r="AF86" s="30">
        <f>BA86/100*AF25</f>
        <v>8676114945.8732185</v>
      </c>
      <c r="AG86" s="34">
        <f t="shared" si="28"/>
        <v>3.1405576090169701E-3</v>
      </c>
      <c r="AH86" s="34">
        <f t="shared" si="33"/>
        <v>-1.0470312668471175E-2</v>
      </c>
      <c r="AU86" s="29">
        <v>13315324</v>
      </c>
      <c r="AW86" s="29">
        <f t="shared" si="34"/>
        <v>2.0431765265458207E-4</v>
      </c>
      <c r="AX86" s="53">
        <v>8522.0455120689203</v>
      </c>
      <c r="AY86" s="34">
        <f t="shared" si="35"/>
        <v>2.9356401532572018E-3</v>
      </c>
      <c r="AZ86" s="29">
        <f t="shared" si="29"/>
        <v>126.77536972677321</v>
      </c>
      <c r="BA86" s="29">
        <f t="shared" si="19"/>
        <v>150.96707649119398</v>
      </c>
      <c r="BC86" s="34">
        <f t="shared" si="30"/>
        <v>1.5764209038501027E-2</v>
      </c>
    </row>
    <row r="87" spans="1:55" s="39" customFormat="1">
      <c r="A87" s="39">
        <f t="shared" si="36"/>
        <v>2033</v>
      </c>
      <c r="B87" s="39">
        <f t="shared" si="37"/>
        <v>2</v>
      </c>
      <c r="C87" s="40"/>
      <c r="D87" s="54">
        <v>185442731.14758897</v>
      </c>
      <c r="E87" s="40"/>
      <c r="F87" s="54">
        <v>33706411.513409898</v>
      </c>
      <c r="G87" s="57">
        <v>6123745</v>
      </c>
      <c r="H87" s="57">
        <v>33691038.193122402</v>
      </c>
      <c r="I87" s="57">
        <v>189394</v>
      </c>
      <c r="J87" s="57">
        <v>1041989.90773591</v>
      </c>
      <c r="K87" s="40"/>
      <c r="L87" s="54">
        <v>2700396.9028785601</v>
      </c>
      <c r="M87" s="43"/>
      <c r="N87" s="54">
        <v>1473824.602283299</v>
      </c>
      <c r="O87" s="40"/>
      <c r="P87" s="54">
        <v>22120920.47938725</v>
      </c>
      <c r="Q87" s="43"/>
      <c r="R87" s="54">
        <v>35606991.120440096</v>
      </c>
      <c r="S87" s="43"/>
      <c r="T87" s="54">
        <v>136146416.66745502</v>
      </c>
      <c r="U87" s="40"/>
      <c r="V87" s="54">
        <v>140162.71831286399</v>
      </c>
      <c r="W87" s="43"/>
      <c r="X87" s="54">
        <v>352048.338368923</v>
      </c>
      <c r="Y87" s="40"/>
      <c r="Z87" s="40">
        <f t="shared" si="31"/>
        <v>-2133479.1798187941</v>
      </c>
      <c r="AA87" s="40"/>
      <c r="AB87" s="40">
        <f t="shared" si="32"/>
        <v>-71417234.959521204</v>
      </c>
      <c r="AC87" s="17"/>
      <c r="AD87" s="40"/>
      <c r="AE87" s="40"/>
      <c r="AF87" s="40">
        <f>BA87/100*AF25</f>
        <v>8708497761.117384</v>
      </c>
      <c r="AG87" s="44">
        <f t="shared" si="28"/>
        <v>3.7324096610278613E-3</v>
      </c>
      <c r="AH87" s="44">
        <f t="shared" si="33"/>
        <v>-8.2008673503244593E-3</v>
      </c>
      <c r="AU87" s="39">
        <v>13336361</v>
      </c>
      <c r="AW87" s="39">
        <f t="shared" si="34"/>
        <v>1.5799089830634237E-3</v>
      </c>
      <c r="AX87" s="56">
        <v>8540.3602851367996</v>
      </c>
      <c r="AY87" s="44">
        <f t="shared" si="35"/>
        <v>2.1491052872155995E-3</v>
      </c>
      <c r="AZ87" s="39">
        <f t="shared" si="29"/>
        <v>127.04782334414172</v>
      </c>
      <c r="BA87" s="39">
        <f t="shared" si="19"/>
        <v>151.53054746598684</v>
      </c>
      <c r="BC87" s="44">
        <f t="shared" si="30"/>
        <v>1.3782783086891006E-2</v>
      </c>
    </row>
    <row r="88" spans="1:55" s="39" customFormat="1">
      <c r="A88" s="39">
        <f t="shared" si="36"/>
        <v>2033</v>
      </c>
      <c r="B88" s="39">
        <f t="shared" si="37"/>
        <v>3</v>
      </c>
      <c r="C88" s="40"/>
      <c r="D88" s="54">
        <v>187217095.7905302</v>
      </c>
      <c r="E88" s="40"/>
      <c r="F88" s="54">
        <v>34028923.290817998</v>
      </c>
      <c r="G88" s="57">
        <v>6298425</v>
      </c>
      <c r="H88" s="57">
        <v>34652076.0141901</v>
      </c>
      <c r="I88" s="57">
        <v>194797</v>
      </c>
      <c r="J88" s="57">
        <v>1071715.61959318</v>
      </c>
      <c r="K88" s="40"/>
      <c r="L88" s="54">
        <v>2703962.8754764898</v>
      </c>
      <c r="M88" s="43"/>
      <c r="N88" s="54">
        <v>1487261.444442302</v>
      </c>
      <c r="O88" s="40"/>
      <c r="P88" s="54">
        <v>22213349.869199287</v>
      </c>
      <c r="Q88" s="43"/>
      <c r="R88" s="54">
        <v>31500692.680683088</v>
      </c>
      <c r="S88" s="43"/>
      <c r="T88" s="54">
        <v>120445628.68317761</v>
      </c>
      <c r="U88" s="40"/>
      <c r="V88" s="54">
        <v>139536.68598130599</v>
      </c>
      <c r="W88" s="43"/>
      <c r="X88" s="54">
        <v>350475.92564217874</v>
      </c>
      <c r="Y88" s="40"/>
      <c r="Z88" s="40">
        <f t="shared" si="31"/>
        <v>-6579918.2440723963</v>
      </c>
      <c r="AA88" s="40"/>
      <c r="AB88" s="40">
        <f t="shared" si="32"/>
        <v>-88984816.97655189</v>
      </c>
      <c r="AC88" s="17"/>
      <c r="AD88" s="40"/>
      <c r="AE88" s="40"/>
      <c r="AF88" s="40">
        <f>BA88/100*AF25</f>
        <v>8767796046.363512</v>
      </c>
      <c r="AG88" s="44">
        <f t="shared" si="28"/>
        <v>6.8092438986307484E-3</v>
      </c>
      <c r="AH88" s="44">
        <f t="shared" si="33"/>
        <v>-1.0149051883279013E-2</v>
      </c>
      <c r="AU88" s="39">
        <v>13337786</v>
      </c>
      <c r="AW88" s="39">
        <f t="shared" si="34"/>
        <v>1.0685073686892549E-4</v>
      </c>
      <c r="AX88" s="56">
        <v>8597.5950219370807</v>
      </c>
      <c r="AY88" s="44">
        <f t="shared" si="35"/>
        <v>6.7016770826272363E-3</v>
      </c>
      <c r="AZ88" s="39">
        <f t="shared" si="29"/>
        <v>127.89925683024481</v>
      </c>
      <c r="BA88" s="39">
        <f t="shared" si="19"/>
        <v>152.56235592177578</v>
      </c>
      <c r="BC88" s="44">
        <f t="shared" si="30"/>
        <v>1.5778165561602976E-2</v>
      </c>
    </row>
    <row r="89" spans="1:55" s="39" customFormat="1">
      <c r="A89" s="39">
        <f t="shared" si="36"/>
        <v>2033</v>
      </c>
      <c r="B89" s="39">
        <f t="shared" si="37"/>
        <v>4</v>
      </c>
      <c r="C89" s="40"/>
      <c r="D89" s="54">
        <v>189214554.96068618</v>
      </c>
      <c r="E89" s="40"/>
      <c r="F89" s="54">
        <v>34391985.139367498</v>
      </c>
      <c r="G89" s="57">
        <v>6458492</v>
      </c>
      <c r="H89" s="57">
        <v>35532717.420789897</v>
      </c>
      <c r="I89" s="57">
        <v>199747</v>
      </c>
      <c r="J89" s="57">
        <v>1098949.0591070701</v>
      </c>
      <c r="K89" s="40"/>
      <c r="L89" s="54">
        <v>2677852.4029477201</v>
      </c>
      <c r="M89" s="43"/>
      <c r="N89" s="54">
        <v>1505289.6137977988</v>
      </c>
      <c r="O89" s="40"/>
      <c r="P89" s="54">
        <v>22177048.171747576</v>
      </c>
      <c r="Q89" s="43"/>
      <c r="R89" s="54">
        <v>36223630.611708343</v>
      </c>
      <c r="S89" s="43"/>
      <c r="T89" s="54">
        <v>138504191.20751214</v>
      </c>
      <c r="U89" s="40"/>
      <c r="V89" s="54">
        <v>139168.63446765201</v>
      </c>
      <c r="W89" s="43"/>
      <c r="X89" s="54">
        <v>349551.48635207576</v>
      </c>
      <c r="Y89" s="40"/>
      <c r="Z89" s="40">
        <f t="shared" si="31"/>
        <v>-2212327.9099370204</v>
      </c>
      <c r="AA89" s="40"/>
      <c r="AB89" s="40">
        <f t="shared" si="32"/>
        <v>-72887411.924921617</v>
      </c>
      <c r="AC89" s="17"/>
      <c r="AD89" s="40"/>
      <c r="AE89" s="40"/>
      <c r="AF89" s="40">
        <f>BA89/100*AF25</f>
        <v>8806896239.4378853</v>
      </c>
      <c r="AG89" s="44">
        <f t="shared" si="28"/>
        <v>4.4595235641447482E-3</v>
      </c>
      <c r="AH89" s="44">
        <f t="shared" si="33"/>
        <v>-8.2761747093745459E-3</v>
      </c>
      <c r="AU89" s="39">
        <v>13422517</v>
      </c>
      <c r="AW89" s="39">
        <f t="shared" si="34"/>
        <v>6.3527035146612792E-3</v>
      </c>
      <c r="AX89" s="56">
        <v>8581.4209763352301</v>
      </c>
      <c r="AY89" s="44">
        <f t="shared" si="35"/>
        <v>-1.8812290600548085E-3</v>
      </c>
      <c r="AZ89" s="39">
        <f t="shared" si="29"/>
        <v>127.65864903153634</v>
      </c>
      <c r="BA89" s="39">
        <f t="shared" si="19"/>
        <v>153.2427113430104</v>
      </c>
      <c r="BC89" s="44">
        <f t="shared" si="30"/>
        <v>1.3781140818223859E-2</v>
      </c>
    </row>
    <row r="90" spans="1:55" s="29" customFormat="1">
      <c r="A90" s="29">
        <f t="shared" si="36"/>
        <v>2034</v>
      </c>
      <c r="B90" s="29">
        <f t="shared" si="37"/>
        <v>1</v>
      </c>
      <c r="C90" s="30"/>
      <c r="D90" s="51">
        <v>190667703.4958483</v>
      </c>
      <c r="E90" s="30"/>
      <c r="F90" s="51">
        <v>34656112.086879402</v>
      </c>
      <c r="G90" s="59">
        <v>6610115</v>
      </c>
      <c r="H90" s="59">
        <v>36366902.430772498</v>
      </c>
      <c r="I90" s="59">
        <v>204436</v>
      </c>
      <c r="J90" s="59">
        <v>1124746.5536284</v>
      </c>
      <c r="K90" s="30"/>
      <c r="L90" s="51">
        <v>3259104.5611169199</v>
      </c>
      <c r="M90" s="33"/>
      <c r="N90" s="51">
        <v>1516580.104183197</v>
      </c>
      <c r="O90" s="30"/>
      <c r="P90" s="51">
        <v>25255285.330511302</v>
      </c>
      <c r="Q90" s="33"/>
      <c r="R90" s="51">
        <v>31657502.557310592</v>
      </c>
      <c r="S90" s="33"/>
      <c r="T90" s="51">
        <v>121045204.83744146</v>
      </c>
      <c r="U90" s="30"/>
      <c r="V90" s="51">
        <v>149980.25750944001</v>
      </c>
      <c r="W90" s="33"/>
      <c r="X90" s="51">
        <v>376707.16635563126</v>
      </c>
      <c r="Y90" s="30"/>
      <c r="Z90" s="30">
        <f t="shared" si="31"/>
        <v>-7624313.9373594858</v>
      </c>
      <c r="AA90" s="30"/>
      <c r="AB90" s="30">
        <f t="shared" si="32"/>
        <v>-94877783.988918141</v>
      </c>
      <c r="AC90" s="17"/>
      <c r="AD90" s="30"/>
      <c r="AE90" s="30"/>
      <c r="AF90" s="30">
        <f>BA90/100*AF25</f>
        <v>8833223797.0433064</v>
      </c>
      <c r="AG90" s="34">
        <f t="shared" ref="AG90:AG117" si="38">(AF90-AF89)/AF89</f>
        <v>2.9894252060702676E-3</v>
      </c>
      <c r="AH90" s="34">
        <f t="shared" si="33"/>
        <v>-1.0741014398466394E-2</v>
      </c>
      <c r="AU90" s="29">
        <v>13395150</v>
      </c>
      <c r="AW90" s="29">
        <f t="shared" si="34"/>
        <v>-2.0388873413235385E-3</v>
      </c>
      <c r="AX90" s="53">
        <v>8624.6592009738797</v>
      </c>
      <c r="AY90" s="34">
        <f t="shared" si="35"/>
        <v>5.0385856559055425E-3</v>
      </c>
      <c r="AZ90" s="29">
        <f t="shared" ref="AZ90:AZ117" si="39">AZ89*((1+AY90))</f>
        <v>128.30186806939892</v>
      </c>
      <c r="BA90" s="29">
        <f t="shared" si="19"/>
        <v>153.70081896694575</v>
      </c>
      <c r="BC90" s="34">
        <f t="shared" si="30"/>
        <v>1.5765454694393433E-2</v>
      </c>
    </row>
    <row r="91" spans="1:55" s="39" customFormat="1">
      <c r="A91" s="39">
        <f t="shared" si="36"/>
        <v>2034</v>
      </c>
      <c r="B91" s="39">
        <f t="shared" si="37"/>
        <v>2</v>
      </c>
      <c r="C91" s="40"/>
      <c r="D91" s="54">
        <v>192664249.566661</v>
      </c>
      <c r="E91" s="40"/>
      <c r="F91" s="54">
        <v>35019007.968814701</v>
      </c>
      <c r="G91" s="57">
        <v>6822299</v>
      </c>
      <c r="H91" s="57">
        <v>37534276.194371298</v>
      </c>
      <c r="I91" s="57">
        <v>210999</v>
      </c>
      <c r="J91" s="57">
        <v>1160854.2432303501</v>
      </c>
      <c r="K91" s="40"/>
      <c r="L91" s="54">
        <v>2692247.67870735</v>
      </c>
      <c r="M91" s="43"/>
      <c r="N91" s="54">
        <v>1531882.7232019976</v>
      </c>
      <c r="O91" s="40"/>
      <c r="P91" s="54">
        <v>22398052.767802693</v>
      </c>
      <c r="Q91" s="43"/>
      <c r="R91" s="54">
        <v>36470223.468059123</v>
      </c>
      <c r="S91" s="43"/>
      <c r="T91" s="54">
        <v>139447060.36639142</v>
      </c>
      <c r="U91" s="40"/>
      <c r="V91" s="54">
        <v>141661.48134810201</v>
      </c>
      <c r="W91" s="43"/>
      <c r="X91" s="54">
        <v>355812.79900806776</v>
      </c>
      <c r="Y91" s="40"/>
      <c r="Z91" s="40">
        <f t="shared" si="31"/>
        <v>-2631253.4213168211</v>
      </c>
      <c r="AA91" s="40"/>
      <c r="AB91" s="40">
        <f t="shared" si="32"/>
        <v>-75615241.968072265</v>
      </c>
      <c r="AC91" s="17"/>
      <c r="AD91" s="40"/>
      <c r="AE91" s="40"/>
      <c r="AF91" s="40">
        <f>BA91/100*AF25</f>
        <v>8873339572.1717434</v>
      </c>
      <c r="AG91" s="44">
        <f t="shared" si="38"/>
        <v>4.541464820789977E-3</v>
      </c>
      <c r="AH91" s="44">
        <f t="shared" si="33"/>
        <v>-8.5216215781050621E-3</v>
      </c>
      <c r="AU91" s="39">
        <v>13408160</v>
      </c>
      <c r="AW91" s="39">
        <f t="shared" si="34"/>
        <v>9.7124705583737396E-4</v>
      </c>
      <c r="AX91" s="56">
        <v>8655.42123493494</v>
      </c>
      <c r="AY91" s="44">
        <f t="shared" si="35"/>
        <v>3.5667535660524078E-3</v>
      </c>
      <c r="AZ91" s="39">
        <f t="shared" si="39"/>
        <v>128.75948921486665</v>
      </c>
      <c r="BA91" s="39">
        <f t="shared" ref="BA91:BA117" si="40">BA90*(1+AW91)*(1+AY91)</f>
        <v>154.3988458292107</v>
      </c>
      <c r="BC91" s="44">
        <f t="shared" si="30"/>
        <v>1.3834689757561833E-2</v>
      </c>
    </row>
    <row r="92" spans="1:55" s="39" customFormat="1">
      <c r="A92" s="39">
        <f t="shared" si="36"/>
        <v>2034</v>
      </c>
      <c r="B92" s="39">
        <f t="shared" si="37"/>
        <v>3</v>
      </c>
      <c r="C92" s="40"/>
      <c r="D92" s="54">
        <v>195094996.00103679</v>
      </c>
      <c r="E92" s="40"/>
      <c r="F92" s="54">
        <v>35460824.906554997</v>
      </c>
      <c r="G92" s="57">
        <v>6997631</v>
      </c>
      <c r="H92" s="57">
        <v>38498901.127067998</v>
      </c>
      <c r="I92" s="57">
        <v>216421</v>
      </c>
      <c r="J92" s="57">
        <v>1190684.48748172</v>
      </c>
      <c r="K92" s="40"/>
      <c r="L92" s="54">
        <v>2665423.4561041999</v>
      </c>
      <c r="M92" s="43"/>
      <c r="N92" s="54">
        <v>1553174.3032706007</v>
      </c>
      <c r="O92" s="40"/>
      <c r="P92" s="54">
        <v>22376001.740703687</v>
      </c>
      <c r="Q92" s="43"/>
      <c r="R92" s="54">
        <v>32072350.116327353</v>
      </c>
      <c r="S92" s="43"/>
      <c r="T92" s="54">
        <v>122631410.43488522</v>
      </c>
      <c r="U92" s="40"/>
      <c r="V92" s="54">
        <v>148550.64921992901</v>
      </c>
      <c r="W92" s="43"/>
      <c r="X92" s="54">
        <v>373116.40249988635</v>
      </c>
      <c r="Y92" s="40"/>
      <c r="Z92" s="40">
        <f t="shared" si="31"/>
        <v>-7458521.900382515</v>
      </c>
      <c r="AA92" s="40"/>
      <c r="AB92" s="40">
        <f t="shared" si="32"/>
        <v>-94839587.306855261</v>
      </c>
      <c r="AC92" s="17"/>
      <c r="AD92" s="40"/>
      <c r="AE92" s="40"/>
      <c r="AF92" s="40">
        <f>BA92/100*AF25</f>
        <v>8922785422.4938583</v>
      </c>
      <c r="AG92" s="44">
        <f t="shared" si="38"/>
        <v>5.5724059605681371E-3</v>
      </c>
      <c r="AH92" s="44">
        <f t="shared" si="33"/>
        <v>-1.0628921666968456E-2</v>
      </c>
      <c r="AU92" s="39">
        <v>13413727</v>
      </c>
      <c r="AW92" s="39">
        <f t="shared" si="34"/>
        <v>4.1519492607486786E-4</v>
      </c>
      <c r="AX92" s="56">
        <v>8700.0405431255695</v>
      </c>
      <c r="AY92" s="44">
        <f t="shared" si="35"/>
        <v>5.1550706753054803E-3</v>
      </c>
      <c r="AZ92" s="39">
        <f t="shared" si="39"/>
        <v>129.4232534818855</v>
      </c>
      <c r="BA92" s="39">
        <f t="shared" si="40"/>
        <v>155.25921887801425</v>
      </c>
      <c r="BC92" s="44">
        <f t="shared" si="30"/>
        <v>1.5821125219827689E-2</v>
      </c>
    </row>
    <row r="93" spans="1:55" s="39" customFormat="1">
      <c r="A93" s="39">
        <f t="shared" si="36"/>
        <v>2034</v>
      </c>
      <c r="B93" s="39">
        <f t="shared" si="37"/>
        <v>4</v>
      </c>
      <c r="C93" s="40"/>
      <c r="D93" s="54">
        <v>197035917.04215321</v>
      </c>
      <c r="E93" s="40"/>
      <c r="F93" s="54">
        <v>35813610.280896999</v>
      </c>
      <c r="G93" s="57">
        <v>7154351</v>
      </c>
      <c r="H93" s="57">
        <v>39361128.3271925</v>
      </c>
      <c r="I93" s="57">
        <v>221269</v>
      </c>
      <c r="J93" s="57">
        <v>1217356.7530904701</v>
      </c>
      <c r="K93" s="40"/>
      <c r="L93" s="54">
        <v>2670371.11294423</v>
      </c>
      <c r="M93" s="43"/>
      <c r="N93" s="54">
        <v>1568377.7368699983</v>
      </c>
      <c r="O93" s="40"/>
      <c r="P93" s="54">
        <v>22485319.961492542</v>
      </c>
      <c r="Q93" s="43"/>
      <c r="R93" s="54">
        <v>36924646.576381333</v>
      </c>
      <c r="S93" s="43"/>
      <c r="T93" s="54">
        <v>141184586.50668472</v>
      </c>
      <c r="U93" s="40"/>
      <c r="V93" s="54">
        <v>141872.329085381</v>
      </c>
      <c r="W93" s="43"/>
      <c r="X93" s="54">
        <v>356342.38773502311</v>
      </c>
      <c r="Y93" s="40"/>
      <c r="Z93" s="40">
        <f t="shared" si="31"/>
        <v>-2985840.2252445146</v>
      </c>
      <c r="AA93" s="40"/>
      <c r="AB93" s="40">
        <f t="shared" si="32"/>
        <v>-78336650.496961027</v>
      </c>
      <c r="AC93" s="17"/>
      <c r="AD93" s="40"/>
      <c r="AE93" s="40"/>
      <c r="AF93" s="40">
        <f>BA93/100*AF25</f>
        <v>8956020956.1969604</v>
      </c>
      <c r="AG93" s="44">
        <f t="shared" si="38"/>
        <v>3.724793562704885E-3</v>
      </c>
      <c r="AH93" s="44">
        <f t="shared" si="33"/>
        <v>-8.7468141131087206E-3</v>
      </c>
      <c r="AU93" s="39">
        <v>13395200</v>
      </c>
      <c r="AW93" s="39">
        <f t="shared" si="34"/>
        <v>-1.3811970379298758E-3</v>
      </c>
      <c r="AX93" s="56">
        <v>8744.5243092098608</v>
      </c>
      <c r="AY93" s="44">
        <f t="shared" si="35"/>
        <v>5.113052733925553E-3</v>
      </c>
      <c r="AZ93" s="39">
        <f t="shared" si="39"/>
        <v>130.08500140193459</v>
      </c>
      <c r="BA93" s="39">
        <f t="shared" si="40"/>
        <v>155.83752741704166</v>
      </c>
      <c r="BC93" s="44">
        <f t="shared" si="30"/>
        <v>1.381044117745109E-2</v>
      </c>
    </row>
    <row r="94" spans="1:55" s="29" customFormat="1">
      <c r="A94" s="29">
        <f t="shared" si="36"/>
        <v>2035</v>
      </c>
      <c r="B94" s="29">
        <f t="shared" si="37"/>
        <v>1</v>
      </c>
      <c r="C94" s="30"/>
      <c r="D94" s="51">
        <v>198664428.18038386</v>
      </c>
      <c r="E94" s="30"/>
      <c r="F94" s="51">
        <v>36109611.457323201</v>
      </c>
      <c r="G94" s="59">
        <v>7327302</v>
      </c>
      <c r="H94" s="59">
        <v>40312653.7003977</v>
      </c>
      <c r="I94" s="59">
        <v>226618</v>
      </c>
      <c r="J94" s="59">
        <v>1246785.3728803201</v>
      </c>
      <c r="K94" s="30"/>
      <c r="L94" s="51">
        <v>3237272.84535331</v>
      </c>
      <c r="M94" s="33"/>
      <c r="N94" s="51">
        <v>1579786.5997271016</v>
      </c>
      <c r="O94" s="30"/>
      <c r="P94" s="51">
        <v>25489743.943181749</v>
      </c>
      <c r="Q94" s="33"/>
      <c r="R94" s="51">
        <v>32492933.008173738</v>
      </c>
      <c r="S94" s="33"/>
      <c r="T94" s="51">
        <v>124239545.57449409</v>
      </c>
      <c r="U94" s="30"/>
      <c r="V94" s="51">
        <v>141553.315289658</v>
      </c>
      <c r="W94" s="33"/>
      <c r="X94" s="51">
        <v>355541.11705439637</v>
      </c>
      <c r="Y94" s="30"/>
      <c r="Z94" s="30">
        <f t="shared" si="31"/>
        <v>-8292184.5789402165</v>
      </c>
      <c r="AA94" s="30"/>
      <c r="AB94" s="30">
        <f t="shared" si="32"/>
        <v>-99914626.549071521</v>
      </c>
      <c r="AC94" s="17"/>
      <c r="AD94" s="30"/>
      <c r="AE94" s="30"/>
      <c r="AF94" s="30">
        <f>BA94/100*AF25</f>
        <v>9014111648.6596985</v>
      </c>
      <c r="AG94" s="34">
        <f t="shared" si="38"/>
        <v>6.4862166744421483E-3</v>
      </c>
      <c r="AH94" s="34">
        <f t="shared" si="33"/>
        <v>-1.1084245507867406E-2</v>
      </c>
      <c r="AU94" s="29">
        <v>13424144</v>
      </c>
      <c r="AW94" s="29">
        <f t="shared" si="34"/>
        <v>2.1607740086000958E-3</v>
      </c>
      <c r="AX94" s="53">
        <v>8782.2666949832092</v>
      </c>
      <c r="AY94" s="34">
        <f t="shared" si="35"/>
        <v>4.3161165134617471E-3</v>
      </c>
      <c r="AZ94" s="29">
        <f t="shared" si="39"/>
        <v>130.64646342463917</v>
      </c>
      <c r="BA94" s="29">
        <f t="shared" si="40"/>
        <v>156.8483233858779</v>
      </c>
      <c r="BC94" s="34">
        <f t="shared" si="30"/>
        <v>1.5789956455624945E-2</v>
      </c>
    </row>
    <row r="95" spans="1:55" s="39" customFormat="1">
      <c r="A95" s="39">
        <f t="shared" si="36"/>
        <v>2035</v>
      </c>
      <c r="B95" s="39">
        <f t="shared" si="37"/>
        <v>2</v>
      </c>
      <c r="C95" s="40"/>
      <c r="D95" s="54">
        <v>201005863.74638855</v>
      </c>
      <c r="E95" s="40"/>
      <c r="F95" s="54">
        <v>36535195.087544203</v>
      </c>
      <c r="G95" s="57">
        <v>7517183</v>
      </c>
      <c r="H95" s="57">
        <v>41357322.938445397</v>
      </c>
      <c r="I95" s="57">
        <v>232490</v>
      </c>
      <c r="J95" s="57">
        <v>1279091.3843602301</v>
      </c>
      <c r="K95" s="40"/>
      <c r="L95" s="54">
        <v>2661676.3940038001</v>
      </c>
      <c r="M95" s="43"/>
      <c r="N95" s="54">
        <v>1598751.378696695</v>
      </c>
      <c r="O95" s="40"/>
      <c r="P95" s="54">
        <v>22607309.839235023</v>
      </c>
      <c r="Q95" s="43"/>
      <c r="R95" s="54">
        <v>37442118.109578773</v>
      </c>
      <c r="S95" s="43"/>
      <c r="T95" s="54">
        <v>143163183.76400259</v>
      </c>
      <c r="U95" s="40"/>
      <c r="V95" s="54">
        <v>145912.29429289201</v>
      </c>
      <c r="W95" s="43"/>
      <c r="X95" s="54">
        <v>366489.61558200174</v>
      </c>
      <c r="Y95" s="40"/>
      <c r="Z95" s="40">
        <f t="shared" si="31"/>
        <v>-3207592.4563730359</v>
      </c>
      <c r="AA95" s="40"/>
      <c r="AB95" s="40">
        <f t="shared" si="32"/>
        <v>-80449989.821620986</v>
      </c>
      <c r="AC95" s="17"/>
      <c r="AD95" s="40"/>
      <c r="AE95" s="40"/>
      <c r="AF95" s="40">
        <f>BA95/100*AF25</f>
        <v>9073499907.5176392</v>
      </c>
      <c r="AG95" s="44">
        <f t="shared" si="38"/>
        <v>6.5883651293326363E-3</v>
      </c>
      <c r="AH95" s="44">
        <f t="shared" si="33"/>
        <v>-8.8664782764769738E-3</v>
      </c>
      <c r="AU95" s="39">
        <v>13460157</v>
      </c>
      <c r="AW95" s="39">
        <f t="shared" si="34"/>
        <v>2.6827036420348292E-3</v>
      </c>
      <c r="AX95" s="56">
        <v>8816.4754837427899</v>
      </c>
      <c r="AY95" s="44">
        <f t="shared" si="35"/>
        <v>3.8952117884466257E-3</v>
      </c>
      <c r="AZ95" s="39">
        <f t="shared" si="39"/>
        <v>131.15535906908966</v>
      </c>
      <c r="BA95" s="39">
        <f t="shared" si="40"/>
        <v>157.88169741026772</v>
      </c>
      <c r="BC95" s="44">
        <f t="shared" si="30"/>
        <v>1.3801036687650708E-2</v>
      </c>
    </row>
    <row r="96" spans="1:55" s="39" customFormat="1">
      <c r="A96" s="39">
        <f t="shared" si="36"/>
        <v>2035</v>
      </c>
      <c r="B96" s="39">
        <f t="shared" si="37"/>
        <v>3</v>
      </c>
      <c r="C96" s="40"/>
      <c r="D96" s="54">
        <v>202066024.06353122</v>
      </c>
      <c r="E96" s="40"/>
      <c r="F96" s="54">
        <v>36727891.774541102</v>
      </c>
      <c r="G96" s="57">
        <v>7689534</v>
      </c>
      <c r="H96" s="57">
        <v>42305547.288679197</v>
      </c>
      <c r="I96" s="57">
        <v>237820</v>
      </c>
      <c r="J96" s="57">
        <v>1308415.4717559901</v>
      </c>
      <c r="K96" s="40"/>
      <c r="L96" s="54">
        <v>2655882.72250266</v>
      </c>
      <c r="M96" s="43"/>
      <c r="N96" s="54">
        <v>1607460.0168358982</v>
      </c>
      <c r="O96" s="40"/>
      <c r="P96" s="54">
        <v>22625158.807851888</v>
      </c>
      <c r="Q96" s="43"/>
      <c r="R96" s="54">
        <v>32910524.325025845</v>
      </c>
      <c r="S96" s="43"/>
      <c r="T96" s="54">
        <v>125836242.16782747</v>
      </c>
      <c r="U96" s="40"/>
      <c r="V96" s="54">
        <v>145944.08655979199</v>
      </c>
      <c r="W96" s="43"/>
      <c r="X96" s="54">
        <v>366569.46859048959</v>
      </c>
      <c r="Y96" s="40"/>
      <c r="Z96" s="40">
        <f t="shared" si="31"/>
        <v>-7934766.1022940241</v>
      </c>
      <c r="AA96" s="40"/>
      <c r="AB96" s="40">
        <f t="shared" si="32"/>
        <v>-98854940.703555644</v>
      </c>
      <c r="AC96" s="17"/>
      <c r="AD96" s="40"/>
      <c r="AE96" s="40"/>
      <c r="AF96" s="40">
        <f>BA96/100*AF25</f>
        <v>9131046828.9696712</v>
      </c>
      <c r="AG96" s="44">
        <f t="shared" si="38"/>
        <v>6.3423069420381999E-3</v>
      </c>
      <c r="AH96" s="44">
        <f t="shared" si="33"/>
        <v>-1.0826243973464567E-2</v>
      </c>
      <c r="AU96" s="39">
        <v>13492026</v>
      </c>
      <c r="AW96" s="39">
        <f t="shared" si="34"/>
        <v>2.3676544040310971E-3</v>
      </c>
      <c r="AX96" s="56">
        <v>8851.4351380211101</v>
      </c>
      <c r="AY96" s="44">
        <f t="shared" si="35"/>
        <v>3.9652641628487809E-3</v>
      </c>
      <c r="AZ96" s="39">
        <f t="shared" si="39"/>
        <v>131.67542471417187</v>
      </c>
      <c r="BA96" s="39">
        <f t="shared" si="40"/>
        <v>158.88303159577364</v>
      </c>
      <c r="BC96" s="44">
        <f t="shared" si="30"/>
        <v>1.5801351050450049E-2</v>
      </c>
    </row>
    <row r="97" spans="1:55" s="39" customFormat="1">
      <c r="A97" s="39">
        <f t="shared" si="36"/>
        <v>2035</v>
      </c>
      <c r="B97" s="39">
        <f t="shared" si="37"/>
        <v>4</v>
      </c>
      <c r="C97" s="40"/>
      <c r="D97" s="54">
        <v>203890875.84413013</v>
      </c>
      <c r="E97" s="40"/>
      <c r="F97" s="54">
        <v>37059580.1868461</v>
      </c>
      <c r="G97" s="57">
        <v>7872038</v>
      </c>
      <c r="H97" s="57">
        <v>43309630.4492938</v>
      </c>
      <c r="I97" s="57">
        <v>243465</v>
      </c>
      <c r="J97" s="57">
        <v>1339472.59621172</v>
      </c>
      <c r="K97" s="40"/>
      <c r="L97" s="54">
        <v>2643599.47493853</v>
      </c>
      <c r="M97" s="43"/>
      <c r="N97" s="54">
        <v>1621917.7178613991</v>
      </c>
      <c r="O97" s="40"/>
      <c r="P97" s="54">
        <v>22640962.983180389</v>
      </c>
      <c r="Q97" s="43"/>
      <c r="R97" s="54">
        <v>37804558.037150927</v>
      </c>
      <c r="S97" s="43"/>
      <c r="T97" s="54">
        <v>144549004.2403594</v>
      </c>
      <c r="U97" s="40"/>
      <c r="V97" s="54">
        <v>145310.96901910999</v>
      </c>
      <c r="W97" s="43"/>
      <c r="X97" s="54">
        <v>364979.25986114837</v>
      </c>
      <c r="Y97" s="40"/>
      <c r="Z97" s="40">
        <f t="shared" si="31"/>
        <v>-3375228.3734759912</v>
      </c>
      <c r="AA97" s="40"/>
      <c r="AB97" s="40">
        <f t="shared" si="32"/>
        <v>-81982834.586951122</v>
      </c>
      <c r="AC97" s="17"/>
      <c r="AD97" s="40"/>
      <c r="AE97" s="40"/>
      <c r="AF97" s="40">
        <f>BA97/100*AF25</f>
        <v>9168717746.641613</v>
      </c>
      <c r="AG97" s="44">
        <f t="shared" si="38"/>
        <v>4.1255858586142493E-3</v>
      </c>
      <c r="AH97" s="44">
        <f t="shared" si="33"/>
        <v>-8.9415812387703183E-3</v>
      </c>
      <c r="AU97" s="39">
        <v>13499953</v>
      </c>
      <c r="AW97" s="39">
        <f t="shared" si="34"/>
        <v>5.875322208836538E-4</v>
      </c>
      <c r="AX97" s="56">
        <v>8882.7336014545908</v>
      </c>
      <c r="AY97" s="44">
        <f t="shared" si="35"/>
        <v>3.5359761378173558E-3</v>
      </c>
      <c r="AZ97" s="39">
        <f t="shared" si="39"/>
        <v>132.14102587389814</v>
      </c>
      <c r="BA97" s="39">
        <f t="shared" si="40"/>
        <v>159.53851718409894</v>
      </c>
      <c r="BC97" s="44">
        <f t="shared" si="30"/>
        <v>1.3854727091048928E-2</v>
      </c>
    </row>
    <row r="98" spans="1:55" s="29" customFormat="1">
      <c r="A98" s="29">
        <f t="shared" si="36"/>
        <v>2036</v>
      </c>
      <c r="B98" s="29">
        <f t="shared" si="37"/>
        <v>1</v>
      </c>
      <c r="C98" s="30"/>
      <c r="D98" s="51">
        <v>205910461.05340797</v>
      </c>
      <c r="E98" s="30"/>
      <c r="F98" s="51">
        <v>37426663.704916902</v>
      </c>
      <c r="G98" s="59">
        <v>8120560</v>
      </c>
      <c r="H98" s="59">
        <v>44676925.167449303</v>
      </c>
      <c r="I98" s="59">
        <v>251152</v>
      </c>
      <c r="J98" s="59">
        <v>1381764.2021800501</v>
      </c>
      <c r="K98" s="30"/>
      <c r="L98" s="51">
        <v>3274276.6599206799</v>
      </c>
      <c r="M98" s="33"/>
      <c r="N98" s="51">
        <v>1638823.2242795005</v>
      </c>
      <c r="O98" s="30"/>
      <c r="P98" s="51">
        <v>26006559.002547577</v>
      </c>
      <c r="Q98" s="33"/>
      <c r="R98" s="51">
        <v>33461594.673635799</v>
      </c>
      <c r="S98" s="33"/>
      <c r="T98" s="51">
        <v>127943307.40794156</v>
      </c>
      <c r="U98" s="30"/>
      <c r="V98" s="51">
        <v>145429.31698757299</v>
      </c>
      <c r="W98" s="33"/>
      <c r="X98" s="51">
        <v>365276.51583726134</v>
      </c>
      <c r="Y98" s="30"/>
      <c r="Z98" s="30">
        <f t="shared" si="31"/>
        <v>-8732739.5984937139</v>
      </c>
      <c r="AA98" s="30"/>
      <c r="AB98" s="30">
        <f t="shared" si="32"/>
        <v>-103973712.64801398</v>
      </c>
      <c r="AC98" s="17"/>
      <c r="AD98" s="30"/>
      <c r="AE98" s="30"/>
      <c r="AF98" s="30">
        <f>BA98/100*AF25</f>
        <v>9248006977.3888264</v>
      </c>
      <c r="AG98" s="34">
        <f t="shared" si="38"/>
        <v>8.6477992821031077E-3</v>
      </c>
      <c r="AH98" s="34">
        <f t="shared" si="33"/>
        <v>-1.1242823767567155E-2</v>
      </c>
      <c r="AU98" s="29">
        <v>13525223</v>
      </c>
      <c r="AW98" s="29">
        <f t="shared" si="34"/>
        <v>1.8718583686920985E-3</v>
      </c>
      <c r="AX98" s="53">
        <v>8942.8100249315703</v>
      </c>
      <c r="AY98" s="34">
        <f t="shared" si="35"/>
        <v>6.7632810092539157E-3</v>
      </c>
      <c r="AZ98" s="29">
        <f t="shared" si="39"/>
        <v>133.0347327647344</v>
      </c>
      <c r="BA98" s="29">
        <f t="shared" si="40"/>
        <v>160.91817425847137</v>
      </c>
      <c r="BC98" s="34">
        <f t="shared" si="30"/>
        <v>1.5885559867113319E-2</v>
      </c>
    </row>
    <row r="99" spans="1:55" s="39" customFormat="1">
      <c r="A99" s="39">
        <f t="shared" si="36"/>
        <v>2036</v>
      </c>
      <c r="B99" s="39">
        <f t="shared" si="37"/>
        <v>2</v>
      </c>
      <c r="C99" s="40"/>
      <c r="D99" s="54">
        <v>206665774.42039955</v>
      </c>
      <c r="E99" s="40"/>
      <c r="F99" s="54">
        <v>37563950.8501819</v>
      </c>
      <c r="G99" s="57">
        <v>8267217</v>
      </c>
      <c r="H99" s="57">
        <v>45483788.710638799</v>
      </c>
      <c r="I99" s="57">
        <v>255688</v>
      </c>
      <c r="J99" s="57">
        <v>1406719.9358436801</v>
      </c>
      <c r="K99" s="40"/>
      <c r="L99" s="54">
        <v>2706979.2370141698</v>
      </c>
      <c r="M99" s="43"/>
      <c r="N99" s="54">
        <v>1644168.4383177981</v>
      </c>
      <c r="O99" s="40"/>
      <c r="P99" s="54">
        <v>23092257.768812813</v>
      </c>
      <c r="Q99" s="43"/>
      <c r="R99" s="54">
        <v>38685186.376400225</v>
      </c>
      <c r="S99" s="43"/>
      <c r="T99" s="54">
        <v>147916163.02103433</v>
      </c>
      <c r="U99" s="40"/>
      <c r="V99" s="54">
        <v>151118.10999396801</v>
      </c>
      <c r="W99" s="43"/>
      <c r="X99" s="54">
        <v>379565.12374479149</v>
      </c>
      <c r="Y99" s="40"/>
      <c r="Z99" s="40">
        <f t="shared" si="31"/>
        <v>-3078794.0391196758</v>
      </c>
      <c r="AA99" s="40"/>
      <c r="AB99" s="40">
        <f t="shared" si="32"/>
        <v>-81841869.168178022</v>
      </c>
      <c r="AC99" s="17"/>
      <c r="AD99" s="40"/>
      <c r="AE99" s="40"/>
      <c r="AF99" s="40">
        <f>BA99/100*AF25</f>
        <v>9349282112.7323914</v>
      </c>
      <c r="AG99" s="44">
        <f t="shared" si="38"/>
        <v>1.0951022808609516E-2</v>
      </c>
      <c r="AH99" s="44">
        <f t="shared" si="33"/>
        <v>-8.7538131999162858E-3</v>
      </c>
      <c r="AU99" s="39">
        <v>13614410</v>
      </c>
      <c r="AW99" s="39">
        <f t="shared" si="34"/>
        <v>6.5941241782113318E-3</v>
      </c>
      <c r="AX99" s="56">
        <v>8981.5176984751106</v>
      </c>
      <c r="AY99" s="44">
        <f t="shared" si="35"/>
        <v>4.3283569074628178E-3</v>
      </c>
      <c r="AZ99" s="39">
        <f t="shared" si="39"/>
        <v>133.61055456922909</v>
      </c>
      <c r="BA99" s="39">
        <f t="shared" si="40"/>
        <v>162.68039285509568</v>
      </c>
      <c r="BC99" s="44">
        <f t="shared" si="30"/>
        <v>1.3875735150376487E-2</v>
      </c>
    </row>
    <row r="100" spans="1:55" s="39" customFormat="1">
      <c r="A100" s="39">
        <f t="shared" si="36"/>
        <v>2036</v>
      </c>
      <c r="B100" s="39">
        <f t="shared" si="37"/>
        <v>3</v>
      </c>
      <c r="C100" s="40"/>
      <c r="D100" s="54">
        <v>208321587.1530697</v>
      </c>
      <c r="E100" s="40"/>
      <c r="F100" s="54">
        <v>37864914.414572597</v>
      </c>
      <c r="G100" s="57">
        <v>8473843</v>
      </c>
      <c r="H100" s="57">
        <v>46620583.998112701</v>
      </c>
      <c r="I100" s="57">
        <v>262078</v>
      </c>
      <c r="J100" s="57">
        <v>1441875.8304888799</v>
      </c>
      <c r="K100" s="40"/>
      <c r="L100" s="54">
        <v>2685182.01465793</v>
      </c>
      <c r="M100" s="43"/>
      <c r="N100" s="54">
        <v>1656662.7689829022</v>
      </c>
      <c r="O100" s="40"/>
      <c r="P100" s="54">
        <v>23047891.999282524</v>
      </c>
      <c r="Q100" s="43"/>
      <c r="R100" s="54">
        <v>33965172.124847673</v>
      </c>
      <c r="S100" s="43"/>
      <c r="T100" s="54">
        <v>129868779.43856394</v>
      </c>
      <c r="U100" s="40"/>
      <c r="V100" s="54">
        <v>148415.801354325</v>
      </c>
      <c r="W100" s="43"/>
      <c r="X100" s="54">
        <v>372777.70353920752</v>
      </c>
      <c r="Y100" s="40"/>
      <c r="Z100" s="40">
        <f t="shared" si="31"/>
        <v>-8093171.2720114291</v>
      </c>
      <c r="AA100" s="40"/>
      <c r="AB100" s="40">
        <f t="shared" si="32"/>
        <v>-101500699.71378829</v>
      </c>
      <c r="AC100" s="17"/>
      <c r="AD100" s="40"/>
      <c r="AE100" s="40"/>
      <c r="AF100" s="40">
        <f>BA100/100*AF25</f>
        <v>9403666238.4548855</v>
      </c>
      <c r="AG100" s="44">
        <f t="shared" si="38"/>
        <v>5.8169306548607287E-3</v>
      </c>
      <c r="AH100" s="44">
        <f t="shared" si="33"/>
        <v>-1.079373694684275E-2</v>
      </c>
      <c r="AU100" s="39">
        <v>13649669</v>
      </c>
      <c r="AW100" s="39">
        <f t="shared" si="34"/>
        <v>2.5898294527636526E-3</v>
      </c>
      <c r="AX100" s="56">
        <v>9010.4270946308898</v>
      </c>
      <c r="AY100" s="44">
        <f t="shared" si="35"/>
        <v>3.2187651493118404E-3</v>
      </c>
      <c r="AZ100" s="39">
        <f t="shared" si="39"/>
        <v>134.04061556585677</v>
      </c>
      <c r="BA100" s="39">
        <f t="shared" si="40"/>
        <v>163.6266934192393</v>
      </c>
      <c r="BC100" s="44">
        <f t="shared" si="30"/>
        <v>1.5885807303533662E-2</v>
      </c>
    </row>
    <row r="101" spans="1:55" s="39" customFormat="1">
      <c r="A101" s="39">
        <f t="shared" si="36"/>
        <v>2036</v>
      </c>
      <c r="B101" s="39">
        <f t="shared" si="37"/>
        <v>4</v>
      </c>
      <c r="C101" s="40"/>
      <c r="D101" s="54">
        <v>210217419.77545959</v>
      </c>
      <c r="E101" s="40"/>
      <c r="F101" s="54">
        <v>38209504.435089298</v>
      </c>
      <c r="G101" s="57">
        <v>8632226</v>
      </c>
      <c r="H101" s="57">
        <v>47491960.5335728</v>
      </c>
      <c r="I101" s="57">
        <v>266976</v>
      </c>
      <c r="J101" s="57">
        <v>1468823.18134524</v>
      </c>
      <c r="K101" s="40"/>
      <c r="L101" s="54">
        <v>2647454.4966833</v>
      </c>
      <c r="M101" s="43"/>
      <c r="N101" s="54">
        <v>1672642.3044461012</v>
      </c>
      <c r="O101" s="40"/>
      <c r="P101" s="54">
        <v>22940038.418556429</v>
      </c>
      <c r="Q101" s="43"/>
      <c r="R101" s="54">
        <v>39019764.820091002</v>
      </c>
      <c r="S101" s="43"/>
      <c r="T101" s="54">
        <v>149195452.6989685</v>
      </c>
      <c r="U101" s="40"/>
      <c r="V101" s="54">
        <v>152213.24396485899</v>
      </c>
      <c r="W101" s="43"/>
      <c r="X101" s="54">
        <v>382315.78454378474</v>
      </c>
      <c r="Y101" s="40"/>
      <c r="Z101" s="40">
        <f t="shared" si="31"/>
        <v>-3357623.1721628383</v>
      </c>
      <c r="AA101" s="40"/>
      <c r="AB101" s="40">
        <f t="shared" si="32"/>
        <v>-83962005.49504751</v>
      </c>
      <c r="AC101" s="17"/>
      <c r="AD101" s="40"/>
      <c r="AE101" s="40"/>
      <c r="AF101" s="40">
        <f>BA101/100*AF25</f>
        <v>9448756436.9323997</v>
      </c>
      <c r="AG101" s="44">
        <f t="shared" si="38"/>
        <v>4.7949594694380636E-3</v>
      </c>
      <c r="AH101" s="44">
        <f t="shared" si="33"/>
        <v>-8.8860376553749256E-3</v>
      </c>
      <c r="AU101" s="39">
        <v>13692914</v>
      </c>
      <c r="AW101" s="39">
        <f t="shared" si="34"/>
        <v>3.1682086942914148E-3</v>
      </c>
      <c r="AX101" s="56">
        <v>9025.0385218407591</v>
      </c>
      <c r="AY101" s="44">
        <f t="shared" si="35"/>
        <v>1.6216131662145051E-3</v>
      </c>
      <c r="AZ101" s="39">
        <f t="shared" si="39"/>
        <v>134.25797759286587</v>
      </c>
      <c r="BA101" s="39">
        <f t="shared" si="40"/>
        <v>164.41127678230271</v>
      </c>
      <c r="BC101" s="44">
        <f t="shared" si="30"/>
        <v>1.3876417193421335E-2</v>
      </c>
    </row>
    <row r="102" spans="1:55" s="29" customFormat="1">
      <c r="A102" s="29">
        <f t="shared" si="36"/>
        <v>2037</v>
      </c>
      <c r="B102" s="29">
        <f t="shared" si="37"/>
        <v>1</v>
      </c>
      <c r="C102" s="30"/>
      <c r="D102" s="51">
        <v>212408335.41003376</v>
      </c>
      <c r="E102" s="30"/>
      <c r="F102" s="51">
        <v>38607729.286034502</v>
      </c>
      <c r="G102" s="59">
        <v>8872026</v>
      </c>
      <c r="H102" s="59">
        <v>48811269.381134398</v>
      </c>
      <c r="I102" s="59">
        <v>274392</v>
      </c>
      <c r="J102" s="59">
        <v>1509623.8252715</v>
      </c>
      <c r="K102" s="30"/>
      <c r="L102" s="51">
        <v>3287363.8351111002</v>
      </c>
      <c r="M102" s="33"/>
      <c r="N102" s="51">
        <v>1690253.2110605016</v>
      </c>
      <c r="O102" s="30"/>
      <c r="P102" s="51">
        <v>26357421.029794239</v>
      </c>
      <c r="Q102" s="33"/>
      <c r="R102" s="51">
        <v>34229540.756651387</v>
      </c>
      <c r="S102" s="33"/>
      <c r="T102" s="51">
        <v>130879615.81554419</v>
      </c>
      <c r="U102" s="30"/>
      <c r="V102" s="51">
        <v>153920.12853787601</v>
      </c>
      <c r="W102" s="33"/>
      <c r="X102" s="51">
        <v>386602.98648272606</v>
      </c>
      <c r="Y102" s="30"/>
      <c r="Z102" s="30">
        <f t="shared" si="31"/>
        <v>-9201885.4470168389</v>
      </c>
      <c r="AA102" s="30"/>
      <c r="AB102" s="30">
        <f t="shared" si="32"/>
        <v>-107886140.62428382</v>
      </c>
      <c r="AC102" s="17"/>
      <c r="AD102" s="30"/>
      <c r="AE102" s="30"/>
      <c r="AF102" s="30">
        <f>BA102/100*AF25</f>
        <v>9483317722.9835529</v>
      </c>
      <c r="AG102" s="34">
        <f t="shared" si="38"/>
        <v>3.6577602864291555E-3</v>
      </c>
      <c r="AH102" s="34">
        <f t="shared" si="33"/>
        <v>-1.1376413168443511E-2</v>
      </c>
      <c r="AU102" s="29">
        <v>13661277</v>
      </c>
      <c r="AW102" s="29">
        <f t="shared" si="34"/>
        <v>-2.3104651062586094E-3</v>
      </c>
      <c r="AX102" s="53">
        <v>9079.0267237735097</v>
      </c>
      <c r="AY102" s="34">
        <f t="shared" si="35"/>
        <v>5.9820467028587369E-3</v>
      </c>
      <c r="AZ102" s="29">
        <f t="shared" si="39"/>
        <v>135.06111508505776</v>
      </c>
      <c r="BA102" s="29">
        <f t="shared" si="40"/>
        <v>165.01265382115812</v>
      </c>
      <c r="BC102" s="34">
        <f t="shared" si="30"/>
        <v>1.5932287243903887E-2</v>
      </c>
    </row>
    <row r="103" spans="1:55" s="39" customFormat="1">
      <c r="A103" s="39">
        <f t="shared" si="36"/>
        <v>2037</v>
      </c>
      <c r="B103" s="39">
        <f t="shared" si="37"/>
        <v>2</v>
      </c>
      <c r="C103" s="40"/>
      <c r="D103" s="54">
        <v>214565865.2963576</v>
      </c>
      <c r="E103" s="40"/>
      <c r="F103" s="54">
        <v>38999885.882040597</v>
      </c>
      <c r="G103" s="57">
        <v>9081044</v>
      </c>
      <c r="H103" s="57">
        <v>49961224.746854201</v>
      </c>
      <c r="I103" s="57">
        <v>280857</v>
      </c>
      <c r="J103" s="57">
        <v>1545192.3477881199</v>
      </c>
      <c r="K103" s="40"/>
      <c r="L103" s="54">
        <v>2714932.6320936601</v>
      </c>
      <c r="M103" s="43"/>
      <c r="N103" s="54">
        <v>1707172.5945769027</v>
      </c>
      <c r="O103" s="40"/>
      <c r="P103" s="54">
        <v>23480158.252195336</v>
      </c>
      <c r="Q103" s="43"/>
      <c r="R103" s="54">
        <v>39164349.096166015</v>
      </c>
      <c r="S103" s="43"/>
      <c r="T103" s="54">
        <v>149748283.20990631</v>
      </c>
      <c r="U103" s="40"/>
      <c r="V103" s="54">
        <v>154732.96291869701</v>
      </c>
      <c r="W103" s="43"/>
      <c r="X103" s="54">
        <v>388644.59210069373</v>
      </c>
      <c r="Y103" s="40"/>
      <c r="Z103" s="40">
        <f t="shared" si="31"/>
        <v>-4102909.0496264473</v>
      </c>
      <c r="AA103" s="40"/>
      <c r="AB103" s="40">
        <f t="shared" si="32"/>
        <v>-88297740.338646621</v>
      </c>
      <c r="AC103" s="17"/>
      <c r="AD103" s="40"/>
      <c r="AE103" s="40"/>
      <c r="AF103" s="40">
        <f>BA103/100*AF25</f>
        <v>9476929075.9881725</v>
      </c>
      <c r="AG103" s="44">
        <f t="shared" si="38"/>
        <v>-6.7367214533970766E-4</v>
      </c>
      <c r="AH103" s="44">
        <f t="shared" si="33"/>
        <v>-9.3171257936674693E-3</v>
      </c>
      <c r="AU103" s="39">
        <v>13600000</v>
      </c>
      <c r="AW103" s="39">
        <f t="shared" si="34"/>
        <v>-4.4854518358715661E-3</v>
      </c>
      <c r="AX103" s="56">
        <v>9113.7899020106306</v>
      </c>
      <c r="AY103" s="44">
        <f t="shared" si="35"/>
        <v>3.8289542805390363E-3</v>
      </c>
      <c r="AZ103" s="39">
        <f t="shared" si="39"/>
        <v>135.57825791979707</v>
      </c>
      <c r="BA103" s="39">
        <f t="shared" si="40"/>
        <v>164.90148939265023</v>
      </c>
      <c r="BC103" s="44">
        <f t="shared" ref="BC103:BC117" si="41">T110/AF110</f>
        <v>1.3883391859456863E-2</v>
      </c>
    </row>
    <row r="104" spans="1:55" s="39" customFormat="1">
      <c r="A104" s="39">
        <f t="shared" si="36"/>
        <v>2037</v>
      </c>
      <c r="B104" s="39">
        <f t="shared" si="37"/>
        <v>3</v>
      </c>
      <c r="C104" s="40"/>
      <c r="D104" s="54">
        <v>216169416.81686509</v>
      </c>
      <c r="E104" s="40"/>
      <c r="F104" s="54">
        <v>39291350.352493003</v>
      </c>
      <c r="G104" s="57">
        <v>9305218</v>
      </c>
      <c r="H104" s="57">
        <v>51194563.952831097</v>
      </c>
      <c r="I104" s="57">
        <v>287790</v>
      </c>
      <c r="J104" s="57">
        <v>1583335.6682224199</v>
      </c>
      <c r="K104" s="40"/>
      <c r="L104" s="54">
        <v>2761340.552834</v>
      </c>
      <c r="M104" s="43"/>
      <c r="N104" s="54">
        <v>1718663.3780793995</v>
      </c>
      <c r="O104" s="40"/>
      <c r="P104" s="54">
        <v>23784188.074032426</v>
      </c>
      <c r="Q104" s="43"/>
      <c r="R104" s="54">
        <v>34601731.50586307</v>
      </c>
      <c r="S104" s="43"/>
      <c r="T104" s="54">
        <v>132302719.40356001</v>
      </c>
      <c r="U104" s="40"/>
      <c r="V104" s="54">
        <v>151333.42493518</v>
      </c>
      <c r="W104" s="43"/>
      <c r="X104" s="54">
        <v>380105.93280009594</v>
      </c>
      <c r="Y104" s="40"/>
      <c r="Z104" s="40">
        <f t="shared" si="31"/>
        <v>-9018289.3526081555</v>
      </c>
      <c r="AA104" s="40"/>
      <c r="AB104" s="40">
        <f t="shared" si="32"/>
        <v>-107650885.4873375</v>
      </c>
      <c r="AC104" s="17"/>
      <c r="AD104" s="40"/>
      <c r="AE104" s="40"/>
      <c r="AF104" s="40">
        <f>BA104/100*AF25</f>
        <v>9549283687.3731232</v>
      </c>
      <c r="AG104" s="44">
        <f t="shared" si="38"/>
        <v>7.6348161735510425E-3</v>
      </c>
      <c r="AH104" s="44">
        <f t="shared" si="33"/>
        <v>-1.1273189593234378E-2</v>
      </c>
      <c r="AU104" s="39">
        <v>13653645</v>
      </c>
      <c r="AW104" s="39">
        <f t="shared" si="34"/>
        <v>3.9444852941176471E-3</v>
      </c>
      <c r="AX104" s="56">
        <v>9147.2906590711209</v>
      </c>
      <c r="AY104" s="44">
        <f t="shared" si="35"/>
        <v>3.6758316156815891E-3</v>
      </c>
      <c r="AZ104" s="39">
        <f t="shared" si="39"/>
        <v>136.07662076665767</v>
      </c>
      <c r="BA104" s="39">
        <f t="shared" si="40"/>
        <v>166.16048195090789</v>
      </c>
      <c r="BC104" s="44">
        <f t="shared" si="41"/>
        <v>1.5920970203645194E-2</v>
      </c>
    </row>
    <row r="105" spans="1:55" s="39" customFormat="1">
      <c r="A105" s="39">
        <f t="shared" si="36"/>
        <v>2037</v>
      </c>
      <c r="B105" s="39">
        <f t="shared" si="37"/>
        <v>4</v>
      </c>
      <c r="C105" s="40"/>
      <c r="D105" s="54">
        <v>218255490.62294194</v>
      </c>
      <c r="E105" s="40"/>
      <c r="F105" s="54">
        <v>39670518.960072502</v>
      </c>
      <c r="G105" s="57">
        <v>9616801</v>
      </c>
      <c r="H105" s="57">
        <v>52908801.6869836</v>
      </c>
      <c r="I105" s="57">
        <v>297426</v>
      </c>
      <c r="J105" s="57">
        <v>1636350.09714278</v>
      </c>
      <c r="K105" s="40"/>
      <c r="L105" s="54">
        <v>2724758.5147042801</v>
      </c>
      <c r="M105" s="43"/>
      <c r="N105" s="54">
        <v>1735746.5976307988</v>
      </c>
      <c r="O105" s="40"/>
      <c r="P105" s="54">
        <v>23688350.537880778</v>
      </c>
      <c r="Q105" s="43"/>
      <c r="R105" s="54">
        <v>39879850.322977006</v>
      </c>
      <c r="S105" s="43"/>
      <c r="T105" s="54">
        <v>152484064.16432583</v>
      </c>
      <c r="U105" s="40"/>
      <c r="V105" s="54">
        <v>144991.866089986</v>
      </c>
      <c r="W105" s="43"/>
      <c r="X105" s="54">
        <v>364177.76530311618</v>
      </c>
      <c r="Y105" s="40"/>
      <c r="Z105" s="40">
        <f t="shared" si="31"/>
        <v>-4106181.8833405897</v>
      </c>
      <c r="AA105" s="40"/>
      <c r="AB105" s="40">
        <f t="shared" si="32"/>
        <v>-89459776.996496886</v>
      </c>
      <c r="AC105" s="17"/>
      <c r="AD105" s="40"/>
      <c r="AE105" s="40"/>
      <c r="AF105" s="40">
        <f>BA105/100*AF25</f>
        <v>9598910295.8846378</v>
      </c>
      <c r="AG105" s="44">
        <f t="shared" si="38"/>
        <v>5.1968933101375131E-3</v>
      </c>
      <c r="AH105" s="44">
        <f t="shared" si="33"/>
        <v>-9.31978466710447E-3</v>
      </c>
      <c r="AU105" s="39">
        <v>13659132</v>
      </c>
      <c r="AW105" s="39">
        <f t="shared" si="34"/>
        <v>4.0187070925016725E-4</v>
      </c>
      <c r="AX105" s="56">
        <v>9191.1345049608099</v>
      </c>
      <c r="AY105" s="44">
        <f t="shared" si="35"/>
        <v>4.7930963958393745E-3</v>
      </c>
      <c r="AZ105" s="39">
        <f t="shared" si="39"/>
        <v>136.72884912721233</v>
      </c>
      <c r="BA105" s="39">
        <f t="shared" si="40"/>
        <v>167.02400024796779</v>
      </c>
      <c r="BC105" s="44">
        <f t="shared" si="41"/>
        <v>1.3943135524044215E-2</v>
      </c>
    </row>
    <row r="106" spans="1:55" s="29" customFormat="1">
      <c r="A106" s="29">
        <f t="shared" si="36"/>
        <v>2038</v>
      </c>
      <c r="B106" s="29">
        <f t="shared" si="37"/>
        <v>1</v>
      </c>
      <c r="C106" s="30"/>
      <c r="D106" s="51">
        <v>220139264.10393411</v>
      </c>
      <c r="E106" s="30"/>
      <c r="F106" s="51">
        <v>40012917.088893399</v>
      </c>
      <c r="G106" s="59">
        <v>9816080</v>
      </c>
      <c r="H106" s="59">
        <v>54005175.948173001</v>
      </c>
      <c r="I106" s="59">
        <v>303590</v>
      </c>
      <c r="J106" s="59">
        <v>1670262.6064687599</v>
      </c>
      <c r="K106" s="30"/>
      <c r="L106" s="51">
        <v>3465008.9188409098</v>
      </c>
      <c r="M106" s="33"/>
      <c r="N106" s="51">
        <v>1749780.386041604</v>
      </c>
      <c r="O106" s="30"/>
      <c r="P106" s="51">
        <v>27606723.167147376</v>
      </c>
      <c r="Q106" s="33"/>
      <c r="R106" s="51">
        <v>35082631.135988884</v>
      </c>
      <c r="S106" s="33"/>
      <c r="T106" s="51">
        <v>134141480.81973453</v>
      </c>
      <c r="U106" s="30"/>
      <c r="V106" s="51">
        <v>152044.26757429901</v>
      </c>
      <c r="W106" s="33"/>
      <c r="X106" s="51">
        <v>381891.36456794332</v>
      </c>
      <c r="Y106" s="30"/>
      <c r="Z106" s="30">
        <f t="shared" si="31"/>
        <v>-9993030.9902127348</v>
      </c>
      <c r="AA106" s="30"/>
      <c r="AB106" s="30">
        <f t="shared" si="32"/>
        <v>-113604506.45134696</v>
      </c>
      <c r="AC106" s="17"/>
      <c r="AD106" s="30"/>
      <c r="AE106" s="30"/>
      <c r="AF106" s="30">
        <f>BA106/100*AF25</f>
        <v>9667342260.859951</v>
      </c>
      <c r="AG106" s="34">
        <f t="shared" si="38"/>
        <v>7.1291389195138298E-3</v>
      </c>
      <c r="AH106" s="34">
        <f t="shared" si="33"/>
        <v>-1.1751369030482775E-2</v>
      </c>
      <c r="AU106" s="29">
        <v>13713198</v>
      </c>
      <c r="AW106" s="29">
        <f t="shared" si="34"/>
        <v>3.9582310208291418E-3</v>
      </c>
      <c r="AX106" s="53">
        <v>9220.1638411414806</v>
      </c>
      <c r="AY106" s="34">
        <f t="shared" si="35"/>
        <v>3.1584061972983282E-3</v>
      </c>
      <c r="AZ106" s="29">
        <f t="shared" si="39"/>
        <v>137.16069437164518</v>
      </c>
      <c r="BA106" s="29">
        <f t="shared" si="40"/>
        <v>168.21473754862845</v>
      </c>
      <c r="BC106" s="34">
        <f t="shared" si="41"/>
        <v>1.5965698005185203E-2</v>
      </c>
    </row>
    <row r="107" spans="1:55" s="39" customFormat="1">
      <c r="A107" s="39">
        <f t="shared" si="36"/>
        <v>2038</v>
      </c>
      <c r="B107" s="39">
        <f t="shared" si="37"/>
        <v>2</v>
      </c>
      <c r="C107" s="40"/>
      <c r="D107" s="54">
        <v>221194575.23022592</v>
      </c>
      <c r="E107" s="40"/>
      <c r="F107" s="54">
        <v>40204732.378052197</v>
      </c>
      <c r="G107" s="57">
        <v>10077864</v>
      </c>
      <c r="H107" s="57">
        <v>55445434.277405903</v>
      </c>
      <c r="I107" s="57">
        <v>311687</v>
      </c>
      <c r="J107" s="57">
        <v>1714809.9114675301</v>
      </c>
      <c r="K107" s="40"/>
      <c r="L107" s="54">
        <v>2803684.7452835101</v>
      </c>
      <c r="M107" s="43"/>
      <c r="N107" s="54">
        <v>1756087.9814892039</v>
      </c>
      <c r="O107" s="40"/>
      <c r="P107" s="54">
        <v>24209811.415866338</v>
      </c>
      <c r="Q107" s="43"/>
      <c r="R107" s="54">
        <v>40410945.976051718</v>
      </c>
      <c r="S107" s="43"/>
      <c r="T107" s="54">
        <v>154514754.4248201</v>
      </c>
      <c r="U107" s="40"/>
      <c r="V107" s="54">
        <v>152059.77629340001</v>
      </c>
      <c r="W107" s="43"/>
      <c r="X107" s="54">
        <v>381930.31799903722</v>
      </c>
      <c r="Y107" s="40"/>
      <c r="Z107" s="40">
        <f t="shared" si="31"/>
        <v>-4201499.3524797931</v>
      </c>
      <c r="AA107" s="40"/>
      <c r="AB107" s="40">
        <f t="shared" si="32"/>
        <v>-90889632.221272171</v>
      </c>
      <c r="AC107" s="17"/>
      <c r="AD107" s="40"/>
      <c r="AE107" s="40"/>
      <c r="AF107" s="40">
        <f>BA107/100*AF25</f>
        <v>9726591256.7408276</v>
      </c>
      <c r="AG107" s="44">
        <f t="shared" si="38"/>
        <v>6.1287781359264807E-3</v>
      </c>
      <c r="AH107" s="44">
        <f t="shared" si="33"/>
        <v>-9.3444486174211194E-3</v>
      </c>
      <c r="AU107" s="39">
        <v>13745877</v>
      </c>
      <c r="AW107" s="39">
        <f t="shared" si="34"/>
        <v>2.3830327542853241E-3</v>
      </c>
      <c r="AX107" s="56">
        <v>9254.6181215885808</v>
      </c>
      <c r="AY107" s="44">
        <f t="shared" si="35"/>
        <v>3.7368403686451968E-3</v>
      </c>
      <c r="AZ107" s="39">
        <f t="shared" si="39"/>
        <v>137.67324199136456</v>
      </c>
      <c r="BA107" s="39">
        <f t="shared" si="40"/>
        <v>169.24568835425711</v>
      </c>
      <c r="BC107" s="44">
        <f t="shared" si="41"/>
        <v>1.3930288760660606E-2</v>
      </c>
    </row>
    <row r="108" spans="1:55" s="39" customFormat="1">
      <c r="A108" s="39">
        <f t="shared" si="36"/>
        <v>2038</v>
      </c>
      <c r="B108" s="39">
        <f t="shared" si="37"/>
        <v>3</v>
      </c>
      <c r="C108" s="40"/>
      <c r="D108" s="54">
        <v>222978261.16275945</v>
      </c>
      <c r="E108" s="40"/>
      <c r="F108" s="54">
        <v>40528938.410181902</v>
      </c>
      <c r="G108" s="57">
        <v>10290886</v>
      </c>
      <c r="H108" s="57">
        <v>56617418.469754703</v>
      </c>
      <c r="I108" s="57">
        <v>318275</v>
      </c>
      <c r="J108" s="57">
        <v>1751055.1436932799</v>
      </c>
      <c r="K108" s="40"/>
      <c r="L108" s="54">
        <v>2775892.6207542899</v>
      </c>
      <c r="M108" s="43"/>
      <c r="N108" s="54">
        <v>1769096.9632050991</v>
      </c>
      <c r="O108" s="40"/>
      <c r="P108" s="54">
        <v>24137169.528696738</v>
      </c>
      <c r="Q108" s="43"/>
      <c r="R108" s="54">
        <v>35609003.841933966</v>
      </c>
      <c r="S108" s="43"/>
      <c r="T108" s="54">
        <v>136154112.4825328</v>
      </c>
      <c r="U108" s="40"/>
      <c r="V108" s="54">
        <v>148815.451369191</v>
      </c>
      <c r="W108" s="43"/>
      <c r="X108" s="54">
        <v>373781.50915425445</v>
      </c>
      <c r="Y108" s="40"/>
      <c r="Z108" s="40">
        <f t="shared" si="31"/>
        <v>-9316108.7008381374</v>
      </c>
      <c r="AA108" s="40"/>
      <c r="AB108" s="40">
        <f t="shared" si="32"/>
        <v>-110961318.2089234</v>
      </c>
      <c r="AC108" s="17"/>
      <c r="AD108" s="40"/>
      <c r="AE108" s="40"/>
      <c r="AF108" s="40">
        <f>BA108/100*AF25</f>
        <v>9811906818.9360905</v>
      </c>
      <c r="AG108" s="44">
        <f t="shared" si="38"/>
        <v>8.771373232748585E-3</v>
      </c>
      <c r="AH108" s="44">
        <f t="shared" si="33"/>
        <v>-1.130884345484999E-2</v>
      </c>
      <c r="AU108" s="39">
        <v>13838994</v>
      </c>
      <c r="AW108" s="39">
        <f t="shared" si="34"/>
        <v>6.7741767222273264E-3</v>
      </c>
      <c r="AX108" s="56">
        <v>9272.9770460087693</v>
      </c>
      <c r="AY108" s="44">
        <f t="shared" si="35"/>
        <v>1.9837581820217913E-3</v>
      </c>
      <c r="AZ108" s="39">
        <f t="shared" si="39"/>
        <v>137.94635241161041</v>
      </c>
      <c r="BA108" s="39">
        <f t="shared" si="40"/>
        <v>170.73020545484573</v>
      </c>
      <c r="BC108" s="44">
        <f t="shared" si="41"/>
        <v>1.5930348889330551E-2</v>
      </c>
    </row>
    <row r="109" spans="1:55" s="39" customFormat="1">
      <c r="A109" s="39">
        <f t="shared" si="36"/>
        <v>2038</v>
      </c>
      <c r="B109" s="39">
        <f t="shared" si="37"/>
        <v>4</v>
      </c>
      <c r="C109" s="40"/>
      <c r="D109" s="54">
        <v>225372203.35690296</v>
      </c>
      <c r="E109" s="40"/>
      <c r="F109" s="54">
        <v>40964065.741599903</v>
      </c>
      <c r="G109" s="57">
        <v>10456364</v>
      </c>
      <c r="H109" s="57">
        <v>57527829.601851404</v>
      </c>
      <c r="I109" s="57">
        <v>323392</v>
      </c>
      <c r="J109" s="57">
        <v>1779207.3679342</v>
      </c>
      <c r="K109" s="40"/>
      <c r="L109" s="54">
        <v>2848698.2216647202</v>
      </c>
      <c r="M109" s="43"/>
      <c r="N109" s="54">
        <v>1789586.7157307938</v>
      </c>
      <c r="O109" s="40"/>
      <c r="P109" s="54">
        <v>24627686.710866239</v>
      </c>
      <c r="Q109" s="43"/>
      <c r="R109" s="54">
        <v>40967127.456152424</v>
      </c>
      <c r="S109" s="43"/>
      <c r="T109" s="54">
        <v>156641362.51917955</v>
      </c>
      <c r="U109" s="40"/>
      <c r="V109" s="54">
        <v>147746.82085339801</v>
      </c>
      <c r="W109" s="43"/>
      <c r="X109" s="54">
        <v>371097.41739330918</v>
      </c>
      <c r="Y109" s="40"/>
      <c r="Z109" s="40">
        <f t="shared" si="31"/>
        <v>-4487476.4019895941</v>
      </c>
      <c r="AA109" s="40"/>
      <c r="AB109" s="40">
        <f t="shared" si="32"/>
        <v>-93358527.548589647</v>
      </c>
      <c r="AC109" s="17"/>
      <c r="AD109" s="40"/>
      <c r="AE109" s="40"/>
      <c r="AF109" s="40">
        <f>BA109/100*AF25</f>
        <v>9831693348.3053207</v>
      </c>
      <c r="AG109" s="44">
        <f t="shared" si="38"/>
        <v>2.0165834974139852E-3</v>
      </c>
      <c r="AH109" s="44">
        <f t="shared" si="33"/>
        <v>-9.495671217683143E-3</v>
      </c>
      <c r="AU109" s="39">
        <v>13768789</v>
      </c>
      <c r="AW109" s="39">
        <f t="shared" si="34"/>
        <v>-5.0729843513191786E-3</v>
      </c>
      <c r="AX109" s="56">
        <v>9339.0536515219501</v>
      </c>
      <c r="AY109" s="44">
        <f t="shared" si="35"/>
        <v>7.1257164970144234E-3</v>
      </c>
      <c r="AZ109" s="39">
        <f t="shared" si="39"/>
        <v>138.92931901069278</v>
      </c>
      <c r="BA109" s="39">
        <f t="shared" si="40"/>
        <v>171.07449716967608</v>
      </c>
      <c r="BC109" s="44">
        <f t="shared" si="41"/>
        <v>1.3931787283102322E-2</v>
      </c>
    </row>
    <row r="110" spans="1:55" s="29" customFormat="1">
      <c r="A110" s="29">
        <f t="shared" si="36"/>
        <v>2039</v>
      </c>
      <c r="B110" s="29">
        <f t="shared" si="37"/>
        <v>1</v>
      </c>
      <c r="C110" s="30"/>
      <c r="D110" s="51">
        <v>227237232.82695633</v>
      </c>
      <c r="E110" s="30"/>
      <c r="F110" s="51">
        <v>41303056.9245556</v>
      </c>
      <c r="G110" s="59">
        <v>10724799</v>
      </c>
      <c r="H110" s="59">
        <v>59004679.770722099</v>
      </c>
      <c r="I110" s="59">
        <v>331695</v>
      </c>
      <c r="J110" s="59">
        <v>1824888.0241531499</v>
      </c>
      <c r="K110" s="30"/>
      <c r="L110" s="51">
        <v>3520958.6557770502</v>
      </c>
      <c r="M110" s="33"/>
      <c r="N110" s="51">
        <v>1803191.0194173008</v>
      </c>
      <c r="O110" s="30"/>
      <c r="P110" s="51">
        <v>28190896.16423142</v>
      </c>
      <c r="Q110" s="33"/>
      <c r="R110" s="51">
        <v>35905347.602573514</v>
      </c>
      <c r="S110" s="33"/>
      <c r="T110" s="51">
        <v>137287208.53595564</v>
      </c>
      <c r="U110" s="30"/>
      <c r="V110" s="51">
        <v>154342.55447712401</v>
      </c>
      <c r="W110" s="33"/>
      <c r="X110" s="51">
        <v>387663.99865333934</v>
      </c>
      <c r="Y110" s="30"/>
      <c r="Z110" s="30">
        <f t="shared" ref="Z110:Z117" si="42">R110+V110-N110-L110-F110</f>
        <v>-10567516.442699313</v>
      </c>
      <c r="AA110" s="30"/>
      <c r="AB110" s="30">
        <f t="shared" ref="AB110:AB117" si="43">T110-P110-D110</f>
        <v>-118140920.45523211</v>
      </c>
      <c r="AC110" s="17"/>
      <c r="AD110" s="30"/>
      <c r="AE110" s="30"/>
      <c r="AF110" s="30">
        <f>BA110/100*AF25</f>
        <v>9888592782.3495502</v>
      </c>
      <c r="AG110" s="34">
        <f t="shared" si="38"/>
        <v>5.7873483263223627E-3</v>
      </c>
      <c r="AH110" s="34">
        <f t="shared" ref="AH110:AH117" si="44">AB110/AF110</f>
        <v>-1.1947192391834097E-2</v>
      </c>
      <c r="AU110" s="29">
        <v>13827789</v>
      </c>
      <c r="AW110" s="29">
        <f t="shared" si="34"/>
        <v>4.2850536819178508E-3</v>
      </c>
      <c r="AX110" s="53">
        <v>9353.0237989746602</v>
      </c>
      <c r="AY110" s="34">
        <f t="shared" si="35"/>
        <v>1.4958846981710421E-3</v>
      </c>
      <c r="AZ110" s="29">
        <f t="shared" si="39"/>
        <v>139.13714125312819</v>
      </c>
      <c r="BA110" s="29">
        <f t="shared" si="40"/>
        <v>172.06456487454747</v>
      </c>
      <c r="BC110" s="34">
        <f t="shared" si="41"/>
        <v>1.5959448028771004E-2</v>
      </c>
    </row>
    <row r="111" spans="1:55" s="39" customFormat="1">
      <c r="A111" s="39">
        <f t="shared" si="36"/>
        <v>2039</v>
      </c>
      <c r="B111" s="39">
        <f t="shared" si="37"/>
        <v>2</v>
      </c>
      <c r="C111" s="40"/>
      <c r="D111" s="54">
        <v>229550358.09701684</v>
      </c>
      <c r="E111" s="40"/>
      <c r="F111" s="54">
        <v>41723494.8233734</v>
      </c>
      <c r="G111" s="57">
        <v>11030866</v>
      </c>
      <c r="H111" s="57">
        <v>60688570.100357696</v>
      </c>
      <c r="I111" s="57">
        <v>341160</v>
      </c>
      <c r="J111" s="57">
        <v>1876961.66152667</v>
      </c>
      <c r="K111" s="40"/>
      <c r="L111" s="54">
        <v>2885522.22565301</v>
      </c>
      <c r="M111" s="43"/>
      <c r="N111" s="54">
        <v>1821825.9056024998</v>
      </c>
      <c r="O111" s="40"/>
      <c r="P111" s="54">
        <v>24996137.153190732</v>
      </c>
      <c r="Q111" s="43"/>
      <c r="R111" s="54">
        <v>41330828.986851014</v>
      </c>
      <c r="S111" s="43"/>
      <c r="T111" s="54">
        <v>158032006.84443557</v>
      </c>
      <c r="U111" s="40"/>
      <c r="V111" s="54">
        <v>156942.976855833</v>
      </c>
      <c r="W111" s="43"/>
      <c r="X111" s="54">
        <v>394195.50994608115</v>
      </c>
      <c r="Y111" s="40"/>
      <c r="Z111" s="40">
        <f t="shared" si="42"/>
        <v>-4943070.9909220636</v>
      </c>
      <c r="AA111" s="40"/>
      <c r="AB111" s="40">
        <f t="shared" si="43"/>
        <v>-96514488.405772001</v>
      </c>
      <c r="AC111" s="17"/>
      <c r="AD111" s="40"/>
      <c r="AE111" s="40"/>
      <c r="AF111" s="40">
        <f>BA111/100*AF25</f>
        <v>9926028679.3485279</v>
      </c>
      <c r="AG111" s="44">
        <f t="shared" si="38"/>
        <v>3.7857658640568282E-3</v>
      </c>
      <c r="AH111" s="44">
        <f t="shared" si="44"/>
        <v>-9.7233739215940394E-3</v>
      </c>
      <c r="AU111" s="39">
        <v>13826590</v>
      </c>
      <c r="AW111" s="39">
        <f t="shared" ref="AW111:AW117" si="45">(AU111-AU110)/AU110</f>
        <v>-8.6709451525475252E-5</v>
      </c>
      <c r="AX111" s="56">
        <v>9389.2462935948806</v>
      </c>
      <c r="AY111" s="44">
        <f t="shared" ref="AY111:AY117" si="46">(AX111-AX110)/AX110</f>
        <v>3.872811124910364E-3</v>
      </c>
      <c r="AZ111" s="39">
        <f t="shared" si="39"/>
        <v>139.67599312166155</v>
      </c>
      <c r="BA111" s="39">
        <f t="shared" si="40"/>
        <v>172.71596103066329</v>
      </c>
      <c r="BC111" s="44" t="e">
        <f t="shared" si="41"/>
        <v>#DIV/0!</v>
      </c>
    </row>
    <row r="112" spans="1:55" s="39" customFormat="1">
      <c r="A112" s="39">
        <f t="shared" si="36"/>
        <v>2039</v>
      </c>
      <c r="B112" s="39">
        <f t="shared" si="37"/>
        <v>3</v>
      </c>
      <c r="C112" s="40"/>
      <c r="D112" s="54">
        <v>231799299.7557483</v>
      </c>
      <c r="E112" s="40"/>
      <c r="F112" s="54">
        <v>42132266.5910763</v>
      </c>
      <c r="G112" s="57">
        <v>11301743</v>
      </c>
      <c r="H112" s="57">
        <v>62178855.432721898</v>
      </c>
      <c r="I112" s="57">
        <v>349538</v>
      </c>
      <c r="J112" s="57">
        <v>1923054.9456170399</v>
      </c>
      <c r="K112" s="40"/>
      <c r="L112" s="54">
        <v>2819607.4236072302</v>
      </c>
      <c r="M112" s="43"/>
      <c r="N112" s="54">
        <v>1840580.1034580991</v>
      </c>
      <c r="O112" s="40"/>
      <c r="P112" s="54">
        <v>24757284.995247956</v>
      </c>
      <c r="Q112" s="43"/>
      <c r="R112" s="54">
        <v>36548703.849409565</v>
      </c>
      <c r="S112" s="43"/>
      <c r="T112" s="54">
        <v>139747136.90651292</v>
      </c>
      <c r="U112" s="40"/>
      <c r="V112" s="54">
        <v>158415.72315047501</v>
      </c>
      <c r="W112" s="43"/>
      <c r="X112" s="54">
        <v>397894.62403368315</v>
      </c>
      <c r="Y112" s="40"/>
      <c r="Z112" s="40">
        <f t="shared" si="42"/>
        <v>-10085334.545581587</v>
      </c>
      <c r="AA112" s="40"/>
      <c r="AB112" s="40">
        <f t="shared" si="43"/>
        <v>-116809447.84448335</v>
      </c>
      <c r="AC112" s="17"/>
      <c r="AD112" s="40"/>
      <c r="AE112" s="40"/>
      <c r="AF112" s="40">
        <f>BA112/100*AF25</f>
        <v>10022647823.047134</v>
      </c>
      <c r="AG112" s="44">
        <f t="shared" si="38"/>
        <v>9.7339174426955069E-3</v>
      </c>
      <c r="AH112" s="44">
        <f t="shared" si="44"/>
        <v>-1.1654549766368061E-2</v>
      </c>
      <c r="AU112" s="39">
        <v>13833798</v>
      </c>
      <c r="AW112" s="39">
        <f t="shared" si="45"/>
        <v>5.2131436601504785E-4</v>
      </c>
      <c r="AX112" s="56">
        <v>9475.7006230030402</v>
      </c>
      <c r="AY112" s="44">
        <f t="shared" si="46"/>
        <v>9.2078029167406775E-3</v>
      </c>
      <c r="AZ112" s="39">
        <f t="shared" si="39"/>
        <v>140.96210213852584</v>
      </c>
      <c r="BA112" s="39">
        <f t="shared" si="40"/>
        <v>174.39716393637158</v>
      </c>
      <c r="BC112" s="44" t="e">
        <f t="shared" si="41"/>
        <v>#DIV/0!</v>
      </c>
    </row>
    <row r="113" spans="1:55" s="39" customFormat="1">
      <c r="A113" s="39">
        <f t="shared" si="36"/>
        <v>2039</v>
      </c>
      <c r="B113" s="39">
        <f t="shared" si="37"/>
        <v>4</v>
      </c>
      <c r="C113" s="40"/>
      <c r="D113" s="54">
        <v>234274459.88964683</v>
      </c>
      <c r="E113" s="40"/>
      <c r="F113" s="54">
        <v>42582156.244439803</v>
      </c>
      <c r="G113" s="57">
        <v>11510513</v>
      </c>
      <c r="H113" s="57">
        <v>63327446.375613503</v>
      </c>
      <c r="I113" s="57">
        <v>355995</v>
      </c>
      <c r="J113" s="57">
        <v>1958579.45449404</v>
      </c>
      <c r="K113" s="40"/>
      <c r="L113" s="54">
        <v>2779984.11493822</v>
      </c>
      <c r="M113" s="43"/>
      <c r="N113" s="54">
        <v>1860911.3692165986</v>
      </c>
      <c r="O113" s="40"/>
      <c r="P113" s="54">
        <v>24663536.083713241</v>
      </c>
      <c r="Q113" s="43"/>
      <c r="R113" s="54">
        <v>41952229.918684915</v>
      </c>
      <c r="S113" s="43"/>
      <c r="T113" s="54">
        <v>160407987.16517761</v>
      </c>
      <c r="U113" s="40"/>
      <c r="V113" s="54">
        <v>159231.04409841</v>
      </c>
      <c r="W113" s="43"/>
      <c r="X113" s="54">
        <v>399942.47519134398</v>
      </c>
      <c r="Y113" s="40"/>
      <c r="Z113" s="40">
        <f t="shared" si="42"/>
        <v>-5111590.7658113018</v>
      </c>
      <c r="AA113" s="40"/>
      <c r="AB113" s="40">
        <f t="shared" si="43"/>
        <v>-98530008.808182448</v>
      </c>
      <c r="AC113" s="17"/>
      <c r="AD113" s="40"/>
      <c r="AE113" s="40"/>
      <c r="AF113" s="40">
        <f>BA113/100*AF25</f>
        <v>10047038789.853201</v>
      </c>
      <c r="AG113" s="44">
        <f t="shared" si="38"/>
        <v>2.433585140044465E-3</v>
      </c>
      <c r="AH113" s="44">
        <f t="shared" si="44"/>
        <v>-9.8068705485332454E-3</v>
      </c>
      <c r="AU113" s="39">
        <v>13811698</v>
      </c>
      <c r="AW113" s="39">
        <f t="shared" si="45"/>
        <v>-1.5975366996106204E-3</v>
      </c>
      <c r="AX113" s="56">
        <v>9513.9594466052495</v>
      </c>
      <c r="AY113" s="44">
        <f t="shared" si="46"/>
        <v>4.0375720091169699E-3</v>
      </c>
      <c r="AZ113" s="39">
        <f t="shared" si="39"/>
        <v>141.53124677646665</v>
      </c>
      <c r="BA113" s="39">
        <f t="shared" si="40"/>
        <v>174.82157428299305</v>
      </c>
      <c r="BC113" s="44" t="e">
        <f t="shared" si="41"/>
        <v>#DIV/0!</v>
      </c>
    </row>
    <row r="114" spans="1:55" s="29" customFormat="1">
      <c r="A114" s="29">
        <f t="shared" ref="A114:A117" si="47">A110+1</f>
        <v>2040</v>
      </c>
      <c r="B114" s="29">
        <f t="shared" ref="B114:B117" si="48">B110</f>
        <v>1</v>
      </c>
      <c r="C114" s="30"/>
      <c r="D114" s="51">
        <v>236017296.7928381</v>
      </c>
      <c r="E114" s="30"/>
      <c r="F114" s="51">
        <v>42898937.4819474</v>
      </c>
      <c r="G114" s="59">
        <v>11817000</v>
      </c>
      <c r="H114" s="59">
        <v>65013647.421329103</v>
      </c>
      <c r="I114" s="59">
        <v>365474</v>
      </c>
      <c r="J114" s="59">
        <v>2010730.1157368899</v>
      </c>
      <c r="K114" s="30"/>
      <c r="L114" s="51">
        <v>3527624.98867528</v>
      </c>
      <c r="M114" s="33"/>
      <c r="N114" s="51">
        <v>1874569.8032054976</v>
      </c>
      <c r="O114" s="30"/>
      <c r="P114" s="51">
        <v>28618192.805587418</v>
      </c>
      <c r="Q114" s="33"/>
      <c r="R114" s="51">
        <v>36822146.940429345</v>
      </c>
      <c r="S114" s="33"/>
      <c r="T114" s="51">
        <v>140792670.26480457</v>
      </c>
      <c r="U114" s="30"/>
      <c r="V114" s="51">
        <v>159609.09873521599</v>
      </c>
      <c r="W114" s="33"/>
      <c r="X114" s="51">
        <v>400892.03944282443</v>
      </c>
      <c r="Y114" s="30"/>
      <c r="Z114" s="30">
        <f t="shared" si="42"/>
        <v>-11319376.234663621</v>
      </c>
      <c r="AA114" s="30"/>
      <c r="AB114" s="30">
        <f t="shared" si="43"/>
        <v>-123842819.33362094</v>
      </c>
      <c r="AC114" s="17"/>
      <c r="AD114" s="30"/>
      <c r="AE114" s="30"/>
      <c r="AF114" s="30">
        <f>BA114/100*AF25</f>
        <v>10106945569.025509</v>
      </c>
      <c r="AG114" s="34">
        <f t="shared" si="38"/>
        <v>5.9626304252761103E-3</v>
      </c>
      <c r="AH114" s="34">
        <f t="shared" si="44"/>
        <v>-1.2253238971936168E-2</v>
      </c>
      <c r="AU114" s="29">
        <v>13869020</v>
      </c>
      <c r="AW114" s="29">
        <f t="shared" si="45"/>
        <v>4.1502500271870992E-3</v>
      </c>
      <c r="AX114" s="53">
        <v>9531.1310935861402</v>
      </c>
      <c r="AY114" s="34">
        <f t="shared" si="46"/>
        <v>1.8048896547501975E-3</v>
      </c>
      <c r="AZ114" s="29">
        <f t="shared" si="39"/>
        <v>141.78669505959738</v>
      </c>
      <c r="BA114" s="29">
        <f t="shared" si="40"/>
        <v>175.86397072080749</v>
      </c>
      <c r="BC114" s="34" t="e">
        <f t="shared" si="41"/>
        <v>#DIV/0!</v>
      </c>
    </row>
    <row r="115" spans="1:55" s="39" customFormat="1">
      <c r="A115" s="39">
        <f t="shared" si="47"/>
        <v>2040</v>
      </c>
      <c r="B115" s="39">
        <f t="shared" si="48"/>
        <v>2</v>
      </c>
      <c r="C115" s="40"/>
      <c r="D115" s="54">
        <v>238520803.39363009</v>
      </c>
      <c r="E115" s="40"/>
      <c r="F115" s="54">
        <v>43353979.441212296</v>
      </c>
      <c r="G115" s="57">
        <v>12129903</v>
      </c>
      <c r="H115" s="57">
        <v>66735147.4060186</v>
      </c>
      <c r="I115" s="57">
        <v>375152</v>
      </c>
      <c r="J115" s="57">
        <v>2063975.6162652499</v>
      </c>
      <c r="K115" s="40"/>
      <c r="L115" s="54">
        <v>2820371.1080786199</v>
      </c>
      <c r="M115" s="43"/>
      <c r="N115" s="54">
        <v>1894206.0104063004</v>
      </c>
      <c r="O115" s="40"/>
      <c r="P115" s="54">
        <v>25056281.675428901</v>
      </c>
      <c r="Q115" s="43"/>
      <c r="R115" s="54">
        <v>42300309.102298766</v>
      </c>
      <c r="S115" s="43"/>
      <c r="T115" s="54">
        <v>161738898.09233975</v>
      </c>
      <c r="U115" s="40"/>
      <c r="V115" s="54">
        <v>160576.73372733299</v>
      </c>
      <c r="W115" s="43"/>
      <c r="X115" s="54">
        <v>403322.45956611302</v>
      </c>
      <c r="Y115" s="40"/>
      <c r="Z115" s="40">
        <f t="shared" si="42"/>
        <v>-5607670.7236711159</v>
      </c>
      <c r="AA115" s="40"/>
      <c r="AB115" s="40">
        <f t="shared" si="43"/>
        <v>-101838186.97671923</v>
      </c>
      <c r="AC115" s="17"/>
      <c r="AD115" s="40"/>
      <c r="AE115" s="40"/>
      <c r="AF115" s="40">
        <f>BA115/100*AF25</f>
        <v>10152878585.142939</v>
      </c>
      <c r="AG115" s="44">
        <f t="shared" si="38"/>
        <v>4.5446980795265631E-3</v>
      </c>
      <c r="AH115" s="44">
        <f t="shared" si="44"/>
        <v>-1.003047422686041E-2</v>
      </c>
      <c r="AU115" s="39">
        <v>13884110</v>
      </c>
      <c r="AW115" s="39">
        <f t="shared" si="45"/>
        <v>1.0880365014975823E-3</v>
      </c>
      <c r="AX115" s="56">
        <v>9564.0411808562803</v>
      </c>
      <c r="AY115" s="44">
        <f t="shared" si="46"/>
        <v>3.4529046916883335E-3</v>
      </c>
      <c r="AZ115" s="39">
        <f t="shared" si="39"/>
        <v>142.27627100418763</v>
      </c>
      <c r="BA115" s="39">
        <f t="shared" si="40"/>
        <v>176.66321937080025</v>
      </c>
      <c r="BC115" s="44" t="e">
        <f t="shared" si="41"/>
        <v>#DIV/0!</v>
      </c>
    </row>
    <row r="116" spans="1:55" s="39" customFormat="1">
      <c r="A116" s="39">
        <f t="shared" si="47"/>
        <v>2040</v>
      </c>
      <c r="B116" s="39">
        <f t="shared" si="48"/>
        <v>3</v>
      </c>
      <c r="C116" s="40"/>
      <c r="D116" s="54">
        <v>240162015.2305654</v>
      </c>
      <c r="E116" s="40"/>
      <c r="F116" s="54">
        <v>43652289.1199691</v>
      </c>
      <c r="G116" s="57">
        <v>12292559</v>
      </c>
      <c r="H116" s="57">
        <v>67630032.726739898</v>
      </c>
      <c r="I116" s="57">
        <v>380182</v>
      </c>
      <c r="J116" s="57">
        <v>2091649.1921753199</v>
      </c>
      <c r="K116" s="40"/>
      <c r="L116" s="54">
        <v>2851594.2978320802</v>
      </c>
      <c r="M116" s="43"/>
      <c r="N116" s="54">
        <v>1907242.6177102998</v>
      </c>
      <c r="O116" s="40"/>
      <c r="P116" s="54">
        <v>25290022.522454008</v>
      </c>
      <c r="Q116" s="43"/>
      <c r="R116" s="54">
        <v>37146863.300782681</v>
      </c>
      <c r="S116" s="43"/>
      <c r="T116" s="54">
        <v>142034251.41233453</v>
      </c>
      <c r="U116" s="40"/>
      <c r="V116" s="54">
        <v>158042.83243373901</v>
      </c>
      <c r="W116" s="43"/>
      <c r="X116" s="54">
        <v>396958.03006061906</v>
      </c>
      <c r="Y116" s="40"/>
      <c r="Z116" s="40">
        <f t="shared" si="42"/>
        <v>-11106219.90229506</v>
      </c>
      <c r="AA116" s="40"/>
      <c r="AB116" s="40">
        <f t="shared" si="43"/>
        <v>-123417786.34068488</v>
      </c>
      <c r="AC116" s="17"/>
      <c r="AD116" s="40"/>
      <c r="AE116" s="40"/>
      <c r="AF116" s="40">
        <f>BA116/100*AF25</f>
        <v>10194977035.330275</v>
      </c>
      <c r="AG116" s="44">
        <f t="shared" si="38"/>
        <v>4.1464546073603304E-3</v>
      </c>
      <c r="AH116" s="44">
        <f t="shared" si="44"/>
        <v>-1.2105744418352842E-2</v>
      </c>
      <c r="AU116" s="39">
        <v>13885051</v>
      </c>
      <c r="AW116" s="39">
        <f t="shared" si="45"/>
        <v>6.7775320132151075E-5</v>
      </c>
      <c r="AX116" s="56">
        <v>9603.0471938778192</v>
      </c>
      <c r="AY116" s="44">
        <f t="shared" si="46"/>
        <v>4.0784028721681607E-3</v>
      </c>
      <c r="AZ116" s="39">
        <f t="shared" si="39"/>
        <v>142.85653095649249</v>
      </c>
      <c r="BA116" s="39">
        <f t="shared" si="40"/>
        <v>177.39574539071143</v>
      </c>
      <c r="BC116" s="44" t="e">
        <f t="shared" si="41"/>
        <v>#DIV/0!</v>
      </c>
    </row>
    <row r="117" spans="1:55" s="39" customFormat="1">
      <c r="A117" s="39">
        <f t="shared" si="47"/>
        <v>2040</v>
      </c>
      <c r="B117" s="39">
        <f t="shared" si="48"/>
        <v>4</v>
      </c>
      <c r="C117" s="40"/>
      <c r="D117" s="54">
        <v>242046996.89376378</v>
      </c>
      <c r="E117" s="40"/>
      <c r="F117" s="54">
        <v>43994906.8502075</v>
      </c>
      <c r="G117" s="57">
        <v>12553023</v>
      </c>
      <c r="H117" s="57">
        <v>69063028.805435807</v>
      </c>
      <c r="I117" s="57">
        <v>388238</v>
      </c>
      <c r="J117" s="57">
        <v>2135970.9272710499</v>
      </c>
      <c r="K117" s="40"/>
      <c r="L117" s="54">
        <v>2827144.6345487102</v>
      </c>
      <c r="M117" s="43"/>
      <c r="N117" s="54">
        <v>1922033.6410536021</v>
      </c>
      <c r="O117" s="40"/>
      <c r="P117" s="54">
        <v>25244528.949825224</v>
      </c>
      <c r="Q117" s="43"/>
      <c r="R117" s="54">
        <v>42886076.377343707</v>
      </c>
      <c r="S117" s="43"/>
      <c r="T117" s="54">
        <v>163978630.03791964</v>
      </c>
      <c r="U117" s="40"/>
      <c r="V117" s="54">
        <v>161312.072810563</v>
      </c>
      <c r="W117" s="43"/>
      <c r="X117" s="54">
        <v>405169.41933904641</v>
      </c>
      <c r="Y117" s="40"/>
      <c r="Z117" s="40">
        <f t="shared" si="42"/>
        <v>-5696696.6756555438</v>
      </c>
      <c r="AA117" s="40"/>
      <c r="AB117" s="40">
        <f t="shared" si="43"/>
        <v>-103312895.80566937</v>
      </c>
      <c r="AC117" s="17"/>
      <c r="AD117" s="40"/>
      <c r="AE117" s="40"/>
      <c r="AF117" s="40">
        <f>BA117/100*AF25</f>
        <v>10274705600.23793</v>
      </c>
      <c r="AG117" s="44">
        <f t="shared" si="38"/>
        <v>7.8203770966192125E-3</v>
      </c>
      <c r="AH117" s="44">
        <f t="shared" si="44"/>
        <v>-1.0055071145131104E-2</v>
      </c>
      <c r="AU117" s="39">
        <v>13903035</v>
      </c>
      <c r="AW117" s="39">
        <f t="shared" si="45"/>
        <v>1.295205901656393E-3</v>
      </c>
      <c r="AX117" s="56">
        <v>9665.6276662140808</v>
      </c>
      <c r="AY117" s="44">
        <f t="shared" si="46"/>
        <v>6.516730686917614E-3</v>
      </c>
      <c r="AZ117" s="39">
        <f t="shared" si="39"/>
        <v>143.78748849560327</v>
      </c>
      <c r="BA117" s="39">
        <f t="shared" si="40"/>
        <v>178.78304701500264</v>
      </c>
      <c r="BC117" s="44" t="e">
        <f t="shared" si="41"/>
        <v>#DIV/0!</v>
      </c>
    </row>
    <row r="119" spans="1:55">
      <c r="BA119" t="s">
        <v>52</v>
      </c>
    </row>
  </sheetData>
  <mergeCells count="3">
    <mergeCell ref="AK1:AL1"/>
    <mergeCell ref="AO1:AP1"/>
    <mergeCell ref="AQ1:AR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zoomScale="115" zoomScaleNormal="115" zoomScalePageLayoutView="115" workbookViewId="0">
      <selection activeCell="F8" sqref="F8:F31"/>
    </sheetView>
  </sheetViews>
  <sheetFormatPr baseColWidth="10" defaultColWidth="8.83203125" defaultRowHeight="12" x14ac:dyDescent="0"/>
  <sheetData>
    <row r="1" spans="1:7">
      <c r="B1" t="s">
        <v>53</v>
      </c>
      <c r="E1" t="s">
        <v>54</v>
      </c>
      <c r="G1" t="s">
        <v>55</v>
      </c>
    </row>
    <row r="3" spans="1:7" ht="58.75" customHeight="1">
      <c r="B3" s="8" t="s">
        <v>56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</row>
    <row r="4" spans="1:7">
      <c r="A4" s="14"/>
      <c r="B4" s="14"/>
      <c r="C4" s="14"/>
    </row>
    <row r="5" spans="1:7">
      <c r="A5" s="14">
        <v>2014</v>
      </c>
      <c r="B5" s="19">
        <f>'Central scenario'!AJ3</f>
        <v>-2.0764450566254731E-2</v>
      </c>
      <c r="C5" s="19">
        <f>'Central scenario'!BI3</f>
        <v>-2.0764450566254731E-2</v>
      </c>
      <c r="D5" s="20">
        <f>'Low scenario'!AJ3</f>
        <v>-2.0764450566254731E-2</v>
      </c>
      <c r="E5" s="20">
        <f>'Low scenario'!BH3</f>
        <v>-2.0764450566254731E-2</v>
      </c>
      <c r="F5" s="20">
        <f>'High scenario'!AJ3</f>
        <v>-2.0764450566254731E-2</v>
      </c>
      <c r="G5" s="20">
        <f>'High scenario'!BI3</f>
        <v>-2.0764450566254731E-2</v>
      </c>
    </row>
    <row r="6" spans="1:7">
      <c r="A6" s="14">
        <v>2015</v>
      </c>
      <c r="B6" s="19">
        <f>'Central scenario'!AJ4</f>
        <v>-3.2822266915484871E-2</v>
      </c>
      <c r="C6" s="19">
        <f>'Central scenario'!BI4</f>
        <v>-3.2822266915484871E-2</v>
      </c>
      <c r="D6" s="20">
        <f>'Low scenario'!AJ4</f>
        <v>-3.2822266915484892E-2</v>
      </c>
      <c r="E6" s="20">
        <f>'Low scenario'!BH4</f>
        <v>-3.2822266915484892E-2</v>
      </c>
      <c r="F6" s="20">
        <f>'High scenario'!AJ4</f>
        <v>-3.2822266915484608E-2</v>
      </c>
      <c r="G6" s="20">
        <f>'High scenario'!BI4</f>
        <v>-3.2822266915484608E-2</v>
      </c>
    </row>
    <row r="7" spans="1:7">
      <c r="A7" s="14">
        <v>2016</v>
      </c>
      <c r="B7" s="19">
        <f>'Central scenario'!AJ5</f>
        <v>-3.056823862431637E-2</v>
      </c>
      <c r="C7" s="19">
        <f>'Central scenario'!BI5</f>
        <v>-3.0591808665503442E-2</v>
      </c>
      <c r="D7" s="20">
        <f>'Low scenario'!AJ5</f>
        <v>-3.0568238624316419E-2</v>
      </c>
      <c r="E7" s="20">
        <f>'Low scenario'!BH5</f>
        <v>-3.0591808665503491E-2</v>
      </c>
      <c r="F7" s="20">
        <f>'High scenario'!AJ5</f>
        <v>-3.0568238624316336E-2</v>
      </c>
      <c r="G7" s="20">
        <f>'High scenario'!BI5</f>
        <v>-3.0591808665503407E-2</v>
      </c>
    </row>
    <row r="8" spans="1:7">
      <c r="A8" s="14">
        <v>2017</v>
      </c>
      <c r="B8" s="19">
        <f>'Central scenario'!AJ6</f>
        <v>-3.5813677564702204E-2</v>
      </c>
      <c r="C8" s="19">
        <f>'Central scenario'!BI6</f>
        <v>-3.6277622925214158E-2</v>
      </c>
      <c r="D8" s="20">
        <f>'Low scenario'!AJ6</f>
        <v>-3.5811975136766108E-2</v>
      </c>
      <c r="E8" s="20">
        <f>'Low scenario'!BH6</f>
        <v>-3.6275920497278062E-2</v>
      </c>
      <c r="F8" s="20">
        <f>'High scenario'!AJ6</f>
        <v>-3.5813677564702238E-2</v>
      </c>
      <c r="G8" s="20">
        <f>'High scenario'!BI6</f>
        <v>-3.6277622925214192E-2</v>
      </c>
    </row>
    <row r="9" spans="1:7">
      <c r="A9" s="14">
        <f t="shared" ref="A9:A31" si="0">A8+1</f>
        <v>2018</v>
      </c>
      <c r="B9" s="19">
        <f>'Central scenario'!AJ7</f>
        <v>-3.1864627295122377E-2</v>
      </c>
      <c r="C9" s="19">
        <f>'Central scenario'!BI7</f>
        <v>-3.2771411264339384E-2</v>
      </c>
      <c r="D9" s="20">
        <f>'Low scenario'!AJ7</f>
        <v>-3.16905533474875E-2</v>
      </c>
      <c r="E9" s="20">
        <f>'Low scenario'!BH7</f>
        <v>-3.259586955445843E-2</v>
      </c>
      <c r="F9" s="20">
        <f>'High scenario'!AJ7</f>
        <v>-3.1819403814859891E-2</v>
      </c>
      <c r="G9" s="20">
        <f>'High scenario'!BI7</f>
        <v>-3.2727645995844205E-2</v>
      </c>
    </row>
    <row r="10" spans="1:7">
      <c r="A10" s="14">
        <f t="shared" si="0"/>
        <v>2019</v>
      </c>
      <c r="B10" s="19">
        <f>'Central scenario'!AJ8</f>
        <v>-3.0966442168072466E-2</v>
      </c>
      <c r="C10" s="19">
        <f>'Central scenario'!BI8</f>
        <v>-3.2285847813558553E-2</v>
      </c>
      <c r="D10" s="20">
        <f>'Low scenario'!AJ8</f>
        <v>-3.0669838728880822E-2</v>
      </c>
      <c r="E10" s="20">
        <f>'Low scenario'!BH8</f>
        <v>-3.1995638177789075E-2</v>
      </c>
      <c r="F10" s="20">
        <f>'High scenario'!AJ8</f>
        <v>-3.0473877282075307E-2</v>
      </c>
      <c r="G10" s="20">
        <f>'High scenario'!BI8</f>
        <v>-3.1802274291255983E-2</v>
      </c>
    </row>
    <row r="11" spans="1:7">
      <c r="A11" s="14">
        <f t="shared" si="0"/>
        <v>2020</v>
      </c>
      <c r="B11" s="19">
        <f>'Central scenario'!AJ9</f>
        <v>-3.3617813491115318E-2</v>
      </c>
      <c r="C11" s="19">
        <f>'Central scenario'!BI9</f>
        <v>-3.5390890731104858E-2</v>
      </c>
      <c r="D11" s="20">
        <f>'Low scenario'!AJ9</f>
        <v>-3.4307336603773615E-2</v>
      </c>
      <c r="E11" s="20">
        <f>'Low scenario'!BH9</f>
        <v>-3.6090256074361601E-2</v>
      </c>
      <c r="F11" s="20">
        <f>'High scenario'!AJ9</f>
        <v>-3.2458953412062938E-2</v>
      </c>
      <c r="G11" s="20">
        <f>'High scenario'!BI9</f>
        <v>-3.4262630370837349E-2</v>
      </c>
    </row>
    <row r="12" spans="1:7">
      <c r="A12" s="14">
        <f t="shared" si="0"/>
        <v>2021</v>
      </c>
      <c r="B12" s="19">
        <f>'Central scenario'!AJ10</f>
        <v>-3.3450366276384737E-2</v>
      </c>
      <c r="C12" s="19">
        <f>'Central scenario'!BI10</f>
        <v>-3.5658027045474369E-2</v>
      </c>
      <c r="D12" s="20">
        <f>'Low scenario'!AJ10</f>
        <v>-3.5663222430784111E-2</v>
      </c>
      <c r="E12" s="20">
        <f>'Low scenario'!BH10</f>
        <v>-3.7878045069079887E-2</v>
      </c>
      <c r="F12" s="20">
        <f>'High scenario'!AJ10</f>
        <v>-3.1580597136184524E-2</v>
      </c>
      <c r="G12" s="20">
        <f>'High scenario'!BI10</f>
        <v>-3.3776507753484369E-2</v>
      </c>
    </row>
    <row r="13" spans="1:7">
      <c r="A13" s="14">
        <f t="shared" si="0"/>
        <v>2022</v>
      </c>
      <c r="B13" s="19">
        <f>'Central scenario'!AJ11</f>
        <v>-3.5159689701516589E-2</v>
      </c>
      <c r="C13" s="19">
        <f>'Central scenario'!BI11</f>
        <v>-3.7877874062223517E-2</v>
      </c>
      <c r="D13" s="20">
        <f>'Low scenario'!AJ11</f>
        <v>-3.7140187170987486E-2</v>
      </c>
      <c r="E13" s="20">
        <f>'Low scenario'!BH11</f>
        <v>-3.9914296281792591E-2</v>
      </c>
      <c r="F13" s="20">
        <f>'High scenario'!AJ11</f>
        <v>-3.2399596532792986E-2</v>
      </c>
      <c r="G13" s="20">
        <f>'High scenario'!BI11</f>
        <v>-3.5119192466523216E-2</v>
      </c>
    </row>
    <row r="14" spans="1:7">
      <c r="A14" s="14">
        <f t="shared" si="0"/>
        <v>2023</v>
      </c>
      <c r="B14" s="19">
        <f>'Central scenario'!AJ12</f>
        <v>-3.5369464272163226E-2</v>
      </c>
      <c r="C14" s="19">
        <f>'Central scenario'!BI12</f>
        <v>-3.8576446462461972E-2</v>
      </c>
      <c r="D14" s="20">
        <f>'Low scenario'!AJ12</f>
        <v>-3.8794589567431377E-2</v>
      </c>
      <c r="E14" s="20">
        <f>'Low scenario'!BH12</f>
        <v>-4.2008300831934513E-2</v>
      </c>
      <c r="F14" s="20">
        <f>'High scenario'!AJ12</f>
        <v>-3.2831521772021366E-2</v>
      </c>
      <c r="G14" s="20">
        <f>'High scenario'!BI12</f>
        <v>-3.5977145751471075E-2</v>
      </c>
    </row>
    <row r="15" spans="1:7">
      <c r="A15" s="26">
        <f t="shared" si="0"/>
        <v>2024</v>
      </c>
      <c r="B15" s="27">
        <f>'Central scenario'!AJ13</f>
        <v>-3.7547352162403333E-2</v>
      </c>
      <c r="C15" s="27">
        <f>'Central scenario'!BI13</f>
        <v>-4.1374240636563399E-2</v>
      </c>
      <c r="D15" s="20">
        <f>'Low scenario'!AJ13</f>
        <v>-4.0147901095670076E-2</v>
      </c>
      <c r="E15" s="20">
        <f>'Low scenario'!BH13</f>
        <v>-4.3907925907425704E-2</v>
      </c>
      <c r="F15" s="20">
        <f>'High scenario'!AJ13</f>
        <v>-3.3007850778131405E-2</v>
      </c>
      <c r="G15" s="20">
        <f>'High scenario'!BI13</f>
        <v>-3.6620346672472541E-2</v>
      </c>
    </row>
    <row r="16" spans="1:7">
      <c r="A16" s="35">
        <f t="shared" si="0"/>
        <v>2025</v>
      </c>
      <c r="B16" s="36">
        <f>'Central scenario'!AJ14</f>
        <v>-3.9206538223689913E-2</v>
      </c>
      <c r="C16" s="36">
        <f>'Central scenario'!BI14</f>
        <v>-4.4383104347553673E-2</v>
      </c>
      <c r="D16" s="20">
        <f>'Low scenario'!AJ14</f>
        <v>-4.2810633504478064E-2</v>
      </c>
      <c r="E16" s="20">
        <f>'Low scenario'!BH14</f>
        <v>-4.8015318142630374E-2</v>
      </c>
      <c r="F16" s="20">
        <f>'High scenario'!AJ14</f>
        <v>-3.4036640951336107E-2</v>
      </c>
      <c r="G16" s="20">
        <f>'High scenario'!BI14</f>
        <v>-3.9005217427302188E-2</v>
      </c>
    </row>
    <row r="17" spans="1:9">
      <c r="A17" s="45">
        <f t="shared" si="0"/>
        <v>2026</v>
      </c>
      <c r="B17" s="46">
        <f>'Central scenario'!AJ15</f>
        <v>-3.9550852489668928E-2</v>
      </c>
      <c r="C17" s="46">
        <f>'Central scenario'!BI15</f>
        <v>-4.6215965048375794E-2</v>
      </c>
      <c r="D17" s="20">
        <f>'Low scenario'!AJ15</f>
        <v>-4.4905147455591522E-2</v>
      </c>
      <c r="E17" s="20">
        <f>'Low scenario'!BH15</f>
        <v>-5.1666819634799299E-2</v>
      </c>
      <c r="F17" s="20">
        <f>'High scenario'!AJ15</f>
        <v>-3.3784225288832841E-2</v>
      </c>
      <c r="G17" s="20">
        <f>'High scenario'!BI15</f>
        <v>-4.017466451246049E-2</v>
      </c>
    </row>
    <row r="18" spans="1:9">
      <c r="A18" s="45">
        <f t="shared" si="0"/>
        <v>2027</v>
      </c>
      <c r="B18" s="46">
        <f>'Central scenario'!AJ16</f>
        <v>-3.9774079635918523E-2</v>
      </c>
      <c r="C18" s="46">
        <f>'Central scenario'!BI16</f>
        <v>-4.801538565416321E-2</v>
      </c>
      <c r="D18" s="20">
        <f>'Low scenario'!AJ16</f>
        <v>-4.5750882056283027E-2</v>
      </c>
      <c r="E18" s="20">
        <f>'Low scenario'!BH16</f>
        <v>-5.4026308611587463E-2</v>
      </c>
      <c r="F18" s="20">
        <f>'High scenario'!AJ16</f>
        <v>-3.3854047722324969E-2</v>
      </c>
      <c r="G18" s="20">
        <f>'High scenario'!BI16</f>
        <v>-4.1708852620282955E-2</v>
      </c>
    </row>
    <row r="19" spans="1:9">
      <c r="A19" s="45">
        <f t="shared" si="0"/>
        <v>2028</v>
      </c>
      <c r="B19" s="46">
        <f>'Central scenario'!AJ17</f>
        <v>-4.1433253430784731E-2</v>
      </c>
      <c r="C19" s="46">
        <f>'Central scenario'!BI17</f>
        <v>-5.1306670793161875E-2</v>
      </c>
      <c r="D19" s="20">
        <f>'Low scenario'!AJ17</f>
        <v>-4.6620442960865725E-2</v>
      </c>
      <c r="E19" s="20">
        <f>'Low scenario'!BH17</f>
        <v>-5.6521194640214538E-2</v>
      </c>
      <c r="F19" s="20">
        <f>'High scenario'!AJ17</f>
        <v>-3.3947715767231532E-2</v>
      </c>
      <c r="G19" s="20">
        <f>'High scenario'!BI17</f>
        <v>-4.3337952209856659E-2</v>
      </c>
    </row>
    <row r="20" spans="1:9">
      <c r="A20" s="35">
        <f t="shared" si="0"/>
        <v>2029</v>
      </c>
      <c r="B20" s="36">
        <f>'Central scenario'!AJ18</f>
        <v>-4.2787092723387966E-2</v>
      </c>
      <c r="C20" s="36">
        <f>'Central scenario'!BI18</f>
        <v>-5.4120723510897015E-2</v>
      </c>
      <c r="D20" s="20">
        <f>'Low scenario'!AJ18</f>
        <v>-4.8828764690742946E-2</v>
      </c>
      <c r="E20" s="20">
        <f>'Low scenario'!BH18</f>
        <v>-6.0216537810186654E-2</v>
      </c>
      <c r="F20" s="20">
        <f>'High scenario'!AJ18</f>
        <v>-3.3948011080015002E-2</v>
      </c>
      <c r="G20" s="20">
        <f>'High scenario'!BI18</f>
        <v>-4.4663296321194396E-2</v>
      </c>
    </row>
    <row r="21" spans="1:9">
      <c r="A21" s="45">
        <f t="shared" si="0"/>
        <v>2030</v>
      </c>
      <c r="B21" s="46">
        <f>'Central scenario'!AJ19</f>
        <v>-4.3022772984221302E-2</v>
      </c>
      <c r="C21" s="46">
        <f>'Central scenario'!BI19</f>
        <v>-5.5580210523340494E-2</v>
      </c>
      <c r="D21" s="20">
        <f>'Low scenario'!AJ19</f>
        <v>-5.1834933608312241E-2</v>
      </c>
      <c r="E21" s="20">
        <f>'Low scenario'!BH19</f>
        <v>-6.4761934500867979E-2</v>
      </c>
      <c r="F21" s="20">
        <f>'High scenario'!AJ19</f>
        <v>-3.4772249581960089E-2</v>
      </c>
      <c r="G21" s="20">
        <f>'High scenario'!BI19</f>
        <v>-4.6866062827352666E-2</v>
      </c>
    </row>
    <row r="22" spans="1:9">
      <c r="A22" s="45">
        <f t="shared" si="0"/>
        <v>2031</v>
      </c>
      <c r="B22" s="46">
        <f>'Central scenario'!AJ20</f>
        <v>-4.3628638962691139E-2</v>
      </c>
      <c r="C22" s="46">
        <f>'Central scenario'!BI20</f>
        <v>-5.7383389945637985E-2</v>
      </c>
      <c r="D22" s="20">
        <f>'Low scenario'!AJ20</f>
        <v>-5.4547659573701258E-2</v>
      </c>
      <c r="E22" s="20">
        <f>'Low scenario'!BH20</f>
        <v>-6.8954430494262281E-2</v>
      </c>
      <c r="F22" s="20">
        <f>'High scenario'!AJ20</f>
        <v>-3.5745452835450824E-2</v>
      </c>
      <c r="G22" s="20">
        <f>'High scenario'!BI20</f>
        <v>-4.9194387691821641E-2</v>
      </c>
    </row>
    <row r="23" spans="1:9">
      <c r="A23" s="45">
        <f t="shared" si="0"/>
        <v>2032</v>
      </c>
      <c r="B23" s="46">
        <f>'Central scenario'!AJ21</f>
        <v>-4.6338221262851122E-2</v>
      </c>
      <c r="C23" s="46">
        <f>'Central scenario'!BI21</f>
        <v>-6.1679406917768319E-2</v>
      </c>
      <c r="D23" s="20">
        <f>'Low scenario'!AJ21</f>
        <v>-5.76769942804293E-2</v>
      </c>
      <c r="E23" s="20">
        <f>'Low scenario'!BH21</f>
        <v>-7.3913687975359882E-2</v>
      </c>
      <c r="F23" s="20">
        <f>'High scenario'!AJ21</f>
        <v>-3.5866519001201552E-2</v>
      </c>
      <c r="G23" s="20">
        <f>'High scenario'!BI21</f>
        <v>-5.0564351932914295E-2</v>
      </c>
    </row>
    <row r="24" spans="1:9">
      <c r="A24" s="35">
        <f t="shared" si="0"/>
        <v>2033</v>
      </c>
      <c r="B24" s="36">
        <f>'Central scenario'!AJ22</f>
        <v>-4.6740057814150839E-2</v>
      </c>
      <c r="C24" s="36">
        <f>'Central scenario'!BI22</f>
        <v>-6.3419931282839959E-2</v>
      </c>
      <c r="D24" s="20">
        <f>'Low scenario'!AJ22</f>
        <v>-5.9760080841714837E-2</v>
      </c>
      <c r="E24" s="20">
        <f>'Low scenario'!BH22</f>
        <v>-7.75955257695322E-2</v>
      </c>
      <c r="F24" s="20">
        <f>'High scenario'!AJ22</f>
        <v>-3.7086675511279581E-2</v>
      </c>
      <c r="G24" s="20">
        <f>'High scenario'!BI22</f>
        <v>-5.3179514527275491E-2</v>
      </c>
    </row>
    <row r="25" spans="1:9">
      <c r="A25" s="45">
        <f t="shared" si="0"/>
        <v>2034</v>
      </c>
      <c r="B25" s="46">
        <f>'Central scenario'!AJ23</f>
        <v>-4.8367835663550414E-2</v>
      </c>
      <c r="C25" s="46">
        <f>'Central scenario'!BI23</f>
        <v>-6.6383138309160372E-2</v>
      </c>
      <c r="D25" s="20">
        <f>'Low scenario'!AJ23</f>
        <v>-6.3871791125756638E-2</v>
      </c>
      <c r="E25" s="20">
        <f>'Low scenario'!BH23</f>
        <v>-8.3284900651227803E-2</v>
      </c>
      <c r="F25" s="20">
        <f>'High scenario'!AJ23</f>
        <v>-3.8630399649679736E-2</v>
      </c>
      <c r="G25" s="20">
        <f>'High scenario'!BI23</f>
        <v>-5.621682364641703E-2</v>
      </c>
    </row>
    <row r="26" spans="1:9">
      <c r="A26" s="45">
        <f t="shared" si="0"/>
        <v>2035</v>
      </c>
      <c r="B26" s="46">
        <f>'Central scenario'!AJ24</f>
        <v>-5.0094705383225413E-2</v>
      </c>
      <c r="C26" s="46">
        <f>'Central scenario'!BI24</f>
        <v>-6.9408811497548212E-2</v>
      </c>
      <c r="D26" s="20">
        <f>'Low scenario'!AJ24</f>
        <v>-6.717902554949802E-2</v>
      </c>
      <c r="E26" s="20">
        <f>'Low scenario'!BH24</f>
        <v>-8.8196320296942479E-2</v>
      </c>
      <c r="F26" s="20">
        <f>'High scenario'!AJ24</f>
        <v>-3.9706341051136886E-2</v>
      </c>
      <c r="G26" s="20">
        <f>'High scenario'!BI24</f>
        <v>-5.8664445485752753E-2</v>
      </c>
    </row>
    <row r="27" spans="1:9">
      <c r="A27" s="45">
        <f t="shared" si="0"/>
        <v>2036</v>
      </c>
      <c r="B27" s="46">
        <f>'Central scenario'!AJ25</f>
        <v>-5.1226756448364191E-2</v>
      </c>
      <c r="C27" s="46">
        <f>'Central scenario'!BI25</f>
        <v>-7.2330486180988238E-2</v>
      </c>
      <c r="D27" s="20">
        <f>'Low scenario'!AJ25</f>
        <v>-6.8919543400057418E-2</v>
      </c>
      <c r="E27" s="20">
        <f>'Low scenario'!BH25</f>
        <v>-9.1692831194304658E-2</v>
      </c>
      <c r="F27" s="20">
        <f>'High scenario'!AJ25</f>
        <v>-3.9656197019596634E-2</v>
      </c>
      <c r="G27" s="20">
        <f>'High scenario'!BI25</f>
        <v>-5.9947134664099164E-2</v>
      </c>
    </row>
    <row r="28" spans="1:9">
      <c r="A28" s="35">
        <f t="shared" si="0"/>
        <v>2037</v>
      </c>
      <c r="B28" s="36">
        <f>'Central scenario'!AJ26</f>
        <v>-5.3018814396957076E-2</v>
      </c>
      <c r="C28" s="36">
        <f>'Central scenario'!BI26</f>
        <v>-7.6160221439171269E-2</v>
      </c>
      <c r="D28" s="20">
        <f>'Low scenario'!AJ26</f>
        <v>-7.1140581644413906E-2</v>
      </c>
      <c r="E28" s="20">
        <f>'Low scenario'!BH26</f>
        <v>-9.5715669518402519E-2</v>
      </c>
      <c r="F28" s="20">
        <f>'High scenario'!AJ26</f>
        <v>-4.1281620068818324E-2</v>
      </c>
      <c r="G28" s="20">
        <f>'High scenario'!BI26</f>
        <v>-6.3234799722787061E-2</v>
      </c>
    </row>
    <row r="29" spans="1:9">
      <c r="A29" s="45">
        <f t="shared" si="0"/>
        <v>2038</v>
      </c>
      <c r="B29" s="46">
        <f>'Central scenario'!AJ27</f>
        <v>-5.4536840419100577E-2</v>
      </c>
      <c r="C29" s="46">
        <f>'Central scenario'!BI27</f>
        <v>-7.9610615287700692E-2</v>
      </c>
      <c r="D29" s="20">
        <f>'Low scenario'!AJ27</f>
        <v>-7.5299013806241946E-2</v>
      </c>
      <c r="E29" s="20">
        <f>'Low scenario'!BH27</f>
        <v>-0.10221051925045344</v>
      </c>
      <c r="F29" s="20">
        <f>'High scenario'!AJ27</f>
        <v>-4.1889325051174514E-2</v>
      </c>
      <c r="G29" s="20">
        <f>'High scenario'!BI27</f>
        <v>-6.5508767323087663E-2</v>
      </c>
    </row>
    <row r="30" spans="1:9">
      <c r="A30" s="45">
        <f t="shared" si="0"/>
        <v>2039</v>
      </c>
      <c r="B30" s="46">
        <f>'Central scenario'!AJ28</f>
        <v>-5.6095858565840817E-2</v>
      </c>
      <c r="C30" s="46">
        <f>'Central scenario'!BI28</f>
        <v>-8.3024780386192487E-2</v>
      </c>
      <c r="D30" s="20">
        <f>'Low scenario'!AJ28</f>
        <v>-7.8537802635351817E-2</v>
      </c>
      <c r="E30" s="20">
        <f>'Low scenario'!BH28</f>
        <v>-0.10775485645656112</v>
      </c>
      <c r="F30" s="20">
        <f>'High scenario'!AJ28</f>
        <v>-4.3124214636936463E-2</v>
      </c>
      <c r="G30" s="20">
        <f>'High scenario'!BI28</f>
        <v>-6.8475842679966148E-2</v>
      </c>
    </row>
    <row r="31" spans="1:9">
      <c r="A31" s="45">
        <f t="shared" si="0"/>
        <v>2040</v>
      </c>
      <c r="B31" s="46">
        <f>'Central scenario'!AJ29</f>
        <v>-5.894670003982639E-2</v>
      </c>
      <c r="C31" s="46">
        <f>'Central scenario'!BI29</f>
        <v>-8.78506400689157E-2</v>
      </c>
      <c r="D31" s="20">
        <f>'Low scenario'!AJ29</f>
        <v>-8.0480919653436719E-2</v>
      </c>
      <c r="E31" s="20">
        <f>'Low scenario'!BH29</f>
        <v>-0.11143584680051977</v>
      </c>
      <c r="F31" s="20">
        <f>'High scenario'!AJ29</f>
        <v>-4.4430853611092259E-2</v>
      </c>
      <c r="G31" s="20">
        <f>'High scenario'!BI29</f>
        <v>-7.1609594924081407E-2</v>
      </c>
      <c r="H31" s="20">
        <f>F31-B31</f>
        <v>1.451584642873413E-2</v>
      </c>
      <c r="I31" s="20">
        <f>B31-D31</f>
        <v>2.1534219613610329E-2</v>
      </c>
    </row>
    <row r="32" spans="1:9">
      <c r="B32" s="20">
        <f>B31-B13</f>
        <v>-2.3787010338309801E-2</v>
      </c>
      <c r="D32" s="20">
        <f>D31-D13</f>
        <v>-4.3340732482449233E-2</v>
      </c>
      <c r="F32" s="20">
        <f>F31-F13</f>
        <v>-1.2031257078299273E-2</v>
      </c>
    </row>
    <row r="33" spans="1:8" ht="60">
      <c r="B33" s="61" t="s">
        <v>62</v>
      </c>
      <c r="C33" s="8" t="s">
        <v>63</v>
      </c>
      <c r="D33" s="8" t="s">
        <v>64</v>
      </c>
      <c r="E33" s="8" t="s">
        <v>65</v>
      </c>
      <c r="F33" s="8" t="s">
        <v>66</v>
      </c>
      <c r="G33" s="8" t="s">
        <v>67</v>
      </c>
      <c r="H33" s="8" t="s">
        <v>68</v>
      </c>
    </row>
    <row r="34" spans="1:8">
      <c r="B34" s="61"/>
    </row>
    <row r="35" spans="1:8">
      <c r="A35">
        <v>1993</v>
      </c>
      <c r="B35" s="62">
        <v>-1.77E-2</v>
      </c>
    </row>
    <row r="36" spans="1:8">
      <c r="A36">
        <f t="shared" ref="A36:A82" si="1">A35+1</f>
        <v>1994</v>
      </c>
      <c r="B36" s="63">
        <v>-2.6599999999999999E-2</v>
      </c>
    </row>
    <row r="37" spans="1:8">
      <c r="A37">
        <f t="shared" si="1"/>
        <v>1995</v>
      </c>
      <c r="B37" s="62">
        <v>-2.23E-2</v>
      </c>
    </row>
    <row r="38" spans="1:8">
      <c r="A38">
        <f t="shared" si="1"/>
        <v>1996</v>
      </c>
      <c r="B38" s="63">
        <v>-2.3300000000000001E-2</v>
      </c>
    </row>
    <row r="39" spans="1:8">
      <c r="A39">
        <f t="shared" si="1"/>
        <v>1997</v>
      </c>
      <c r="B39" s="62">
        <v>-2.0799999999999999E-2</v>
      </c>
    </row>
    <row r="40" spans="1:8">
      <c r="A40">
        <f t="shared" si="1"/>
        <v>1998</v>
      </c>
      <c r="B40" s="63">
        <v>-2.7099999999999999E-2</v>
      </c>
    </row>
    <row r="41" spans="1:8">
      <c r="A41">
        <f t="shared" si="1"/>
        <v>1999</v>
      </c>
      <c r="B41" s="62">
        <v>-3.2199999999999999E-2</v>
      </c>
    </row>
    <row r="42" spans="1:8">
      <c r="A42">
        <f t="shared" si="1"/>
        <v>2000</v>
      </c>
      <c r="B42" s="63">
        <v>-3.3799999999999997E-2</v>
      </c>
    </row>
    <row r="43" spans="1:8">
      <c r="A43">
        <f t="shared" si="1"/>
        <v>2001</v>
      </c>
      <c r="B43" s="62">
        <v>-3.4299999999999997E-2</v>
      </c>
    </row>
    <row r="44" spans="1:8">
      <c r="A44">
        <f t="shared" si="1"/>
        <v>2002</v>
      </c>
      <c r="B44" s="63">
        <v>-2.9700000000000001E-2</v>
      </c>
    </row>
    <row r="45" spans="1:8">
      <c r="A45">
        <f t="shared" si="1"/>
        <v>2003</v>
      </c>
      <c r="B45" s="62">
        <v>-2.7799999999999998E-2</v>
      </c>
    </row>
    <row r="46" spans="1:8">
      <c r="A46">
        <f t="shared" si="1"/>
        <v>2004</v>
      </c>
      <c r="B46" s="63">
        <v>-2.1899999999999999E-2</v>
      </c>
    </row>
    <row r="47" spans="1:8">
      <c r="A47">
        <f t="shared" si="1"/>
        <v>2005</v>
      </c>
      <c r="B47" s="62">
        <v>-1.7899999999999999E-2</v>
      </c>
    </row>
    <row r="48" spans="1:8">
      <c r="A48">
        <f t="shared" si="1"/>
        <v>2006</v>
      </c>
      <c r="B48" s="63">
        <v>-1.6500000000000001E-2</v>
      </c>
    </row>
    <row r="49" spans="1:8">
      <c r="A49">
        <f t="shared" si="1"/>
        <v>2007</v>
      </c>
      <c r="B49" s="62">
        <v>-1.5900000000000001E-2</v>
      </c>
    </row>
    <row r="50" spans="1:8">
      <c r="A50">
        <f t="shared" si="1"/>
        <v>2008</v>
      </c>
      <c r="B50" s="63">
        <v>-1.83E-2</v>
      </c>
    </row>
    <row r="51" spans="1:8">
      <c r="A51">
        <f t="shared" si="1"/>
        <v>2009</v>
      </c>
      <c r="B51" s="62">
        <v>-1.5699999999999999E-2</v>
      </c>
    </row>
    <row r="52" spans="1:8">
      <c r="A52">
        <f t="shared" si="1"/>
        <v>2010</v>
      </c>
      <c r="B52" s="63">
        <v>-1.5800000000000002E-2</v>
      </c>
    </row>
    <row r="53" spans="1:8">
      <c r="A53">
        <f t="shared" si="1"/>
        <v>2011</v>
      </c>
      <c r="B53" s="62">
        <v>-1.6199999999999999E-2</v>
      </c>
    </row>
    <row r="54" spans="1:8">
      <c r="A54">
        <f t="shared" si="1"/>
        <v>2012</v>
      </c>
      <c r="B54" s="63">
        <v>-1.95E-2</v>
      </c>
    </row>
    <row r="55" spans="1:8">
      <c r="A55">
        <f t="shared" si="1"/>
        <v>2013</v>
      </c>
      <c r="B55" s="62">
        <v>-2.1100000000000001E-2</v>
      </c>
    </row>
    <row r="56" spans="1:8">
      <c r="A56">
        <f t="shared" si="1"/>
        <v>2014</v>
      </c>
      <c r="B56" s="63">
        <v>-2.1700000000000001E-2</v>
      </c>
      <c r="C56" s="19">
        <v>-2.04610062724093E-2</v>
      </c>
      <c r="D56" s="19"/>
      <c r="E56" s="20"/>
      <c r="F56" s="20"/>
      <c r="G56" s="20"/>
      <c r="H56" s="20"/>
    </row>
    <row r="57" spans="1:8">
      <c r="A57">
        <f t="shared" si="1"/>
        <v>2015</v>
      </c>
      <c r="B57" s="62">
        <v>-2.8799999999999999E-2</v>
      </c>
      <c r="C57" s="19">
        <v>-3.3044638260362802E-2</v>
      </c>
      <c r="D57" s="19"/>
      <c r="E57" s="20"/>
      <c r="F57" s="20"/>
      <c r="G57" s="20"/>
      <c r="H57" s="20"/>
    </row>
    <row r="58" spans="1:8">
      <c r="A58">
        <f t="shared" si="1"/>
        <v>2016</v>
      </c>
      <c r="B58" s="63">
        <v>-3.3700000000000001E-2</v>
      </c>
      <c r="C58" s="19">
        <v>-3.2069998032844597E-2</v>
      </c>
      <c r="D58" s="19">
        <v>-3.2103225099647699E-2</v>
      </c>
      <c r="E58" s="20"/>
      <c r="F58" s="20"/>
      <c r="G58" s="20"/>
      <c r="H58" s="20"/>
    </row>
    <row r="59" spans="1:8">
      <c r="A59">
        <f t="shared" si="1"/>
        <v>2017</v>
      </c>
      <c r="B59" s="62">
        <v>-4.0599999999999997E-2</v>
      </c>
      <c r="C59" s="19">
        <v>-3.7403852785620403E-2</v>
      </c>
      <c r="D59" s="19">
        <v>-3.7996113251991898E-2</v>
      </c>
      <c r="E59" s="20">
        <v>-3.7607778293913603E-2</v>
      </c>
      <c r="F59" s="20">
        <v>-3.8200038760285097E-2</v>
      </c>
      <c r="G59" s="20">
        <v>-3.7341522210877699E-2</v>
      </c>
      <c r="H59" s="20">
        <v>-3.79337826772492E-2</v>
      </c>
    </row>
    <row r="60" spans="1:8">
      <c r="A60">
        <f t="shared" si="1"/>
        <v>2018</v>
      </c>
      <c r="C60" s="19">
        <v>-3.7392961324655402E-2</v>
      </c>
      <c r="D60" s="19">
        <v>-3.8452513671492702E-2</v>
      </c>
      <c r="E60" s="20">
        <v>-3.8640363964177603E-2</v>
      </c>
      <c r="F60" s="20">
        <v>-3.9705604129979297E-2</v>
      </c>
      <c r="G60" s="20">
        <v>-3.6307860308015701E-2</v>
      </c>
      <c r="H60" s="20">
        <v>-3.73615054714437E-2</v>
      </c>
    </row>
    <row r="61" spans="1:8">
      <c r="A61">
        <f t="shared" si="1"/>
        <v>2019</v>
      </c>
      <c r="C61" s="19">
        <v>-4.0938359440306903E-2</v>
      </c>
      <c r="D61" s="19">
        <v>-4.2453692801659997E-2</v>
      </c>
      <c r="E61" s="20">
        <v>-4.3475443742129E-2</v>
      </c>
      <c r="F61" s="20">
        <v>-4.5010849715017502E-2</v>
      </c>
      <c r="G61" s="20">
        <v>-3.8766618125938401E-2</v>
      </c>
      <c r="H61" s="20">
        <v>-4.0261811345533902E-2</v>
      </c>
    </row>
    <row r="62" spans="1:8">
      <c r="A62">
        <f t="shared" si="1"/>
        <v>2020</v>
      </c>
      <c r="C62" s="19">
        <v>-4.3828210534307202E-2</v>
      </c>
      <c r="D62" s="19">
        <v>-4.5850567138983098E-2</v>
      </c>
      <c r="E62" s="20">
        <v>-4.7445468422155503E-2</v>
      </c>
      <c r="F62" s="20">
        <v>-4.9510295071098102E-2</v>
      </c>
      <c r="G62" s="20">
        <v>-4.0698020630775399E-2</v>
      </c>
      <c r="H62" s="20">
        <v>-4.2682802503413102E-2</v>
      </c>
    </row>
    <row r="63" spans="1:8">
      <c r="A63">
        <f t="shared" si="1"/>
        <v>2021</v>
      </c>
      <c r="C63" s="19">
        <v>-4.4841165018680698E-2</v>
      </c>
      <c r="D63" s="19">
        <v>-4.7327378669444101E-2</v>
      </c>
      <c r="E63" s="20">
        <v>-4.9176042337864399E-2</v>
      </c>
      <c r="F63" s="20">
        <v>-5.17191664308293E-2</v>
      </c>
      <c r="G63" s="20">
        <v>-4.0279793091458398E-2</v>
      </c>
      <c r="H63" s="20">
        <v>-4.2713745366851803E-2</v>
      </c>
    </row>
    <row r="64" spans="1:8">
      <c r="A64">
        <f t="shared" si="1"/>
        <v>2022</v>
      </c>
      <c r="C64" s="19">
        <v>-4.4770865092027198E-2</v>
      </c>
      <c r="D64" s="19">
        <v>-4.7824349301039099E-2</v>
      </c>
      <c r="E64" s="20">
        <v>-5.0693558724237198E-2</v>
      </c>
      <c r="F64" s="20">
        <v>-5.3811352462557901E-2</v>
      </c>
      <c r="G64" s="20">
        <v>-3.9941396902823403E-2</v>
      </c>
      <c r="H64" s="20">
        <v>-4.2868603716032003E-2</v>
      </c>
    </row>
    <row r="65" spans="1:8">
      <c r="A65">
        <f t="shared" si="1"/>
        <v>2023</v>
      </c>
      <c r="C65" s="19">
        <v>-4.32474424424217E-2</v>
      </c>
      <c r="D65" s="19">
        <v>-4.6803161722397298E-2</v>
      </c>
      <c r="E65" s="20">
        <v>-5.02813077901995E-2</v>
      </c>
      <c r="F65" s="20">
        <v>-5.3844567538501802E-2</v>
      </c>
      <c r="G65" s="20">
        <v>-3.6982389192176099E-2</v>
      </c>
      <c r="H65" s="20">
        <v>-4.0291364995348598E-2</v>
      </c>
    </row>
    <row r="66" spans="1:8">
      <c r="A66">
        <f t="shared" si="1"/>
        <v>2024</v>
      </c>
      <c r="C66" s="27">
        <v>-4.07053581128047E-2</v>
      </c>
      <c r="D66" s="27">
        <v>-4.4873693049842699E-2</v>
      </c>
      <c r="E66" s="20">
        <v>-4.9197869066938398E-2</v>
      </c>
      <c r="F66" s="20">
        <v>-5.3350308368239702E-2</v>
      </c>
      <c r="G66" s="20">
        <v>-3.4357169997021E-2</v>
      </c>
      <c r="H66" s="20">
        <v>-3.8178193995478303E-2</v>
      </c>
    </row>
    <row r="67" spans="1:8">
      <c r="A67">
        <f t="shared" si="1"/>
        <v>2025</v>
      </c>
      <c r="C67" s="36">
        <v>-3.8437388835727102E-2</v>
      </c>
      <c r="D67" s="36">
        <v>-4.3839013356570297E-2</v>
      </c>
      <c r="E67" s="20">
        <v>-4.8317161973534098E-2</v>
      </c>
      <c r="F67" s="20">
        <v>-5.3795669799487501E-2</v>
      </c>
      <c r="G67" s="20">
        <v>-3.1446462323119297E-2</v>
      </c>
      <c r="H67" s="20">
        <v>-3.6447809185915198E-2</v>
      </c>
    </row>
    <row r="68" spans="1:8">
      <c r="A68">
        <f t="shared" si="1"/>
        <v>2026</v>
      </c>
      <c r="C68" s="46">
        <v>-3.5833361479703799E-2</v>
      </c>
      <c r="D68" s="46">
        <v>-4.2518915995942499E-2</v>
      </c>
      <c r="E68" s="20">
        <v>-4.71101721898914E-2</v>
      </c>
      <c r="F68" s="20">
        <v>-5.3922409349610102E-2</v>
      </c>
      <c r="G68" s="20">
        <v>-2.8543145589422999E-2</v>
      </c>
      <c r="H68" s="20">
        <v>-3.4705985466903698E-2</v>
      </c>
    </row>
    <row r="69" spans="1:8">
      <c r="A69">
        <f t="shared" si="1"/>
        <v>2027</v>
      </c>
      <c r="C69" s="46">
        <v>-3.3555998572039503E-2</v>
      </c>
      <c r="D69" s="46">
        <v>-4.1671132818721299E-2</v>
      </c>
      <c r="E69" s="20">
        <v>-4.4499902277535197E-2</v>
      </c>
      <c r="F69" s="20">
        <v>-5.2930840326063502E-2</v>
      </c>
      <c r="G69" s="20">
        <v>-2.4635025821339401E-2</v>
      </c>
      <c r="H69" s="20">
        <v>-3.2064608567462301E-2</v>
      </c>
    </row>
    <row r="70" spans="1:8">
      <c r="A70">
        <f t="shared" si="1"/>
        <v>2028</v>
      </c>
      <c r="B70" s="14"/>
      <c r="C70" s="46">
        <v>-3.1509858502588799E-2</v>
      </c>
      <c r="D70" s="46">
        <v>-4.10056250740558E-2</v>
      </c>
      <c r="E70" s="20">
        <v>-4.2756136471171102E-2</v>
      </c>
      <c r="F70" s="20">
        <v>-5.2662710349283097E-2</v>
      </c>
      <c r="G70" s="20">
        <v>-2.1507669501768901E-2</v>
      </c>
      <c r="H70" s="20">
        <v>-3.0161045341474998E-2</v>
      </c>
    </row>
    <row r="71" spans="1:8">
      <c r="A71">
        <f t="shared" si="1"/>
        <v>2029</v>
      </c>
      <c r="B71" s="19"/>
      <c r="C71" s="36">
        <v>-2.93502546836776E-2</v>
      </c>
      <c r="D71" s="36">
        <v>-4.0027841799250799E-2</v>
      </c>
      <c r="E71" s="20">
        <v>-4.1926221131431303E-2</v>
      </c>
      <c r="F71" s="20">
        <v>-5.3205007466344503E-2</v>
      </c>
      <c r="G71" s="20">
        <v>-1.77299347081778E-2</v>
      </c>
      <c r="H71" s="20">
        <v>-2.74936711441096E-2</v>
      </c>
    </row>
    <row r="72" spans="1:8">
      <c r="A72">
        <f t="shared" si="1"/>
        <v>2030</v>
      </c>
      <c r="B72" s="19"/>
      <c r="C72" s="46">
        <v>-2.7511044160048199E-2</v>
      </c>
      <c r="D72" s="46">
        <v>-3.9083075156626401E-2</v>
      </c>
      <c r="E72" s="20">
        <v>-4.1216007777218303E-2</v>
      </c>
      <c r="F72" s="20">
        <v>-5.3751999026860203E-2</v>
      </c>
      <c r="G72" s="20">
        <v>-1.5200961982201401E-2</v>
      </c>
      <c r="H72" s="20">
        <v>-2.5869920175587899E-2</v>
      </c>
    </row>
    <row r="73" spans="1:8">
      <c r="A73">
        <f t="shared" si="1"/>
        <v>2031</v>
      </c>
      <c r="B73" s="19"/>
      <c r="C73" s="46">
        <v>-2.5023701151487901E-2</v>
      </c>
      <c r="D73" s="46">
        <v>-3.7636433861558599E-2</v>
      </c>
      <c r="E73" s="20">
        <v>-3.9004403869669302E-2</v>
      </c>
      <c r="F73" s="20">
        <v>-5.2743941824754698E-2</v>
      </c>
      <c r="G73" s="20">
        <v>-1.27195302993086E-2</v>
      </c>
      <c r="H73" s="20">
        <v>-2.4151208902882099E-2</v>
      </c>
    </row>
    <row r="74" spans="1:8">
      <c r="A74">
        <f t="shared" si="1"/>
        <v>2032</v>
      </c>
      <c r="B74" s="19"/>
      <c r="C74" s="46">
        <v>-2.36624962419754E-2</v>
      </c>
      <c r="D74" s="46">
        <v>-3.7373955215556802E-2</v>
      </c>
      <c r="E74" s="20">
        <v>-3.7203827708453999E-2</v>
      </c>
      <c r="F74" s="20">
        <v>-5.2348145130919302E-2</v>
      </c>
      <c r="G74" s="20">
        <v>-9.9791289783957796E-3</v>
      </c>
      <c r="H74" s="20">
        <v>-2.24162026356837E-2</v>
      </c>
    </row>
    <row r="75" spans="1:8">
      <c r="A75">
        <f t="shared" si="1"/>
        <v>2033</v>
      </c>
      <c r="B75" s="19"/>
      <c r="C75" s="36">
        <v>-2.1189228838124401E-2</v>
      </c>
      <c r="D75" s="36">
        <v>-3.5836712928319997E-2</v>
      </c>
      <c r="E75" s="20">
        <v>-3.5248206984766099E-2</v>
      </c>
      <c r="F75" s="20">
        <v>-5.1656829856433301E-2</v>
      </c>
      <c r="G75" s="20">
        <v>-7.1663302058344097E-3</v>
      </c>
      <c r="H75" s="20">
        <v>-2.03870041464871E-2</v>
      </c>
    </row>
    <row r="76" spans="1:8">
      <c r="A76">
        <f t="shared" si="1"/>
        <v>2034</v>
      </c>
      <c r="B76" s="19"/>
      <c r="C76" s="46">
        <v>-1.97720290629055E-2</v>
      </c>
      <c r="D76" s="46">
        <v>-3.53918960189126E-2</v>
      </c>
      <c r="E76" s="20">
        <v>-3.4545826484088597E-2</v>
      </c>
      <c r="F76" s="20">
        <v>-5.2198398048414099E-2</v>
      </c>
      <c r="G76" s="20">
        <v>-5.2591328547971503E-3</v>
      </c>
      <c r="H76" s="20">
        <v>-1.92070127073764E-2</v>
      </c>
    </row>
    <row r="77" spans="1:8">
      <c r="A77">
        <f t="shared" si="1"/>
        <v>2035</v>
      </c>
      <c r="B77" s="19"/>
      <c r="C77" s="46">
        <v>-1.8115084551335099E-2</v>
      </c>
      <c r="D77" s="46">
        <v>-3.4678921474199403E-2</v>
      </c>
      <c r="E77" s="20">
        <v>-3.3425845490203498E-2</v>
      </c>
      <c r="F77" s="20">
        <v>-5.2361931828119698E-2</v>
      </c>
      <c r="G77" s="20">
        <v>-3.5417840712152998E-3</v>
      </c>
      <c r="H77" s="20">
        <v>-1.82066664363193E-2</v>
      </c>
    </row>
    <row r="78" spans="1:8">
      <c r="A78">
        <f t="shared" si="1"/>
        <v>2036</v>
      </c>
      <c r="B78" s="19"/>
      <c r="C78" s="46">
        <v>-1.6537977974959601E-2</v>
      </c>
      <c r="D78" s="46">
        <v>-3.4078461737139999E-2</v>
      </c>
      <c r="E78" s="20">
        <v>-3.2063325189905997E-2</v>
      </c>
      <c r="F78" s="20">
        <v>-5.2222104571685302E-2</v>
      </c>
      <c r="G78" s="20">
        <v>-1.8858359542348201E-3</v>
      </c>
      <c r="H78" s="20">
        <v>-1.7363874266380201E-2</v>
      </c>
    </row>
    <row r="79" spans="1:8">
      <c r="A79">
        <f t="shared" si="1"/>
        <v>2037</v>
      </c>
      <c r="B79" s="19"/>
      <c r="C79" s="36">
        <v>-1.5550975233555499E-2</v>
      </c>
      <c r="D79" s="36">
        <v>-3.4099803431488003E-2</v>
      </c>
      <c r="E79" s="20">
        <v>-3.0606441824341302E-2</v>
      </c>
      <c r="F79" s="20">
        <v>-5.2168915722056799E-2</v>
      </c>
      <c r="G79" s="20">
        <v>1.7017956259121999E-4</v>
      </c>
      <c r="H79" s="20">
        <v>-1.5904150737630001E-2</v>
      </c>
    </row>
    <row r="80" spans="1:8">
      <c r="A80">
        <f t="shared" si="1"/>
        <v>2038</v>
      </c>
      <c r="B80" s="19"/>
      <c r="C80" s="46">
        <v>-1.4501819211095701E-2</v>
      </c>
      <c r="D80" s="46">
        <v>-3.4087775701549999E-2</v>
      </c>
      <c r="E80" s="20">
        <v>-2.92541441802E-2</v>
      </c>
      <c r="F80" s="20">
        <v>-5.2167950957750502E-2</v>
      </c>
      <c r="G80" s="20">
        <v>1.42985621154989E-3</v>
      </c>
      <c r="H80" s="20">
        <v>-1.5320010741176299E-2</v>
      </c>
    </row>
    <row r="81" spans="1:8">
      <c r="A81">
        <f t="shared" si="1"/>
        <v>2039</v>
      </c>
      <c r="B81" s="27"/>
      <c r="C81" s="46">
        <v>-1.34972399103032E-2</v>
      </c>
      <c r="D81" s="46">
        <v>-3.3968233178717201E-2</v>
      </c>
      <c r="E81" s="20">
        <v>-2.77373383666853E-2</v>
      </c>
      <c r="F81" s="20">
        <v>-5.2166505347925801E-2</v>
      </c>
      <c r="G81" s="20">
        <v>2.27289823088215E-3</v>
      </c>
      <c r="H81" s="20">
        <v>-1.5282599976068401E-2</v>
      </c>
    </row>
    <row r="82" spans="1:8">
      <c r="A82">
        <f t="shared" si="1"/>
        <v>2040</v>
      </c>
      <c r="B82" s="36"/>
      <c r="C82" s="46">
        <v>-1.32561175472251E-2</v>
      </c>
      <c r="D82" s="46">
        <v>-3.4710996518229301E-2</v>
      </c>
      <c r="E82" s="20">
        <v>-2.7625773397559301E-2</v>
      </c>
      <c r="F82" s="20">
        <v>-5.3366897924475097E-2</v>
      </c>
      <c r="G82" s="20">
        <v>2.9590171445052801E-3</v>
      </c>
      <c r="H82" s="20">
        <v>-1.5430971079205401E-2</v>
      </c>
    </row>
    <row r="83" spans="1:8">
      <c r="A83" s="45"/>
      <c r="B83" s="46"/>
      <c r="C83" s="46"/>
      <c r="D83" s="20"/>
      <c r="E83" s="20"/>
      <c r="F83" s="20"/>
      <c r="G83" s="20"/>
    </row>
    <row r="84" spans="1:8">
      <c r="A84" s="45"/>
      <c r="B84" s="46"/>
      <c r="C84" s="46"/>
      <c r="D84" s="20"/>
      <c r="E84" s="20"/>
      <c r="F84" s="20"/>
      <c r="G84" s="20"/>
    </row>
    <row r="85" spans="1:8">
      <c r="A85" s="45"/>
      <c r="B85" s="46"/>
      <c r="C85" s="46"/>
      <c r="D85" s="20"/>
      <c r="E85" s="20"/>
      <c r="F85" s="20"/>
      <c r="G85" s="20"/>
    </row>
    <row r="86" spans="1:8">
      <c r="A86" s="35"/>
      <c r="B86" s="36"/>
      <c r="C86" s="36"/>
      <c r="D86" s="20"/>
      <c r="E86" s="20"/>
      <c r="F86" s="20"/>
      <c r="G86" s="20"/>
    </row>
    <row r="87" spans="1:8">
      <c r="A87" s="45"/>
      <c r="B87" s="46"/>
      <c r="C87" s="46"/>
      <c r="D87" s="20"/>
      <c r="E87" s="20"/>
      <c r="F87" s="20"/>
      <c r="G87" s="20"/>
    </row>
    <row r="88" spans="1:8">
      <c r="A88" s="45"/>
      <c r="B88" s="46"/>
      <c r="C88" s="46"/>
      <c r="D88" s="20"/>
      <c r="E88" s="20"/>
      <c r="F88" s="20"/>
      <c r="G88" s="20"/>
    </row>
    <row r="89" spans="1:8">
      <c r="A89" s="45"/>
      <c r="B89" s="46"/>
      <c r="C89" s="46"/>
      <c r="D89" s="20"/>
      <c r="E89" s="20"/>
      <c r="F89" s="20"/>
      <c r="G89" s="20"/>
    </row>
    <row r="90" spans="1:8">
      <c r="A90" s="35"/>
      <c r="B90" s="36"/>
      <c r="C90" s="36"/>
      <c r="D90" s="20"/>
      <c r="E90" s="20"/>
      <c r="F90" s="20"/>
      <c r="G90" s="20"/>
    </row>
    <row r="91" spans="1:8">
      <c r="A91" s="45"/>
      <c r="B91" s="46"/>
      <c r="C91" s="46"/>
      <c r="D91" s="20"/>
      <c r="E91" s="20"/>
      <c r="F91" s="20"/>
      <c r="G91" s="20"/>
    </row>
    <row r="92" spans="1:8">
      <c r="A92" s="45"/>
      <c r="B92" s="46"/>
      <c r="C92" s="46"/>
      <c r="D92" s="20"/>
      <c r="E92" s="20"/>
      <c r="F92" s="20"/>
      <c r="G92" s="20"/>
    </row>
    <row r="93" spans="1:8">
      <c r="A93" s="45"/>
      <c r="B93" s="46"/>
      <c r="C93" s="46"/>
      <c r="D93" s="20"/>
      <c r="E93" s="20"/>
      <c r="F93" s="20"/>
      <c r="G93" s="20"/>
    </row>
    <row r="94" spans="1:8">
      <c r="A94" s="35"/>
      <c r="B94" s="36"/>
      <c r="C94" s="36"/>
      <c r="D94" s="20"/>
      <c r="E94" s="20"/>
      <c r="F94" s="20"/>
      <c r="G94" s="20"/>
    </row>
    <row r="95" spans="1:8">
      <c r="A95" s="45"/>
      <c r="B95" s="46"/>
      <c r="C95" s="46"/>
      <c r="D95" s="20"/>
      <c r="E95" s="20"/>
      <c r="F95" s="20"/>
      <c r="G95" s="20"/>
    </row>
    <row r="96" spans="1:8">
      <c r="A96" s="45"/>
      <c r="B96" s="46"/>
      <c r="C96" s="46"/>
      <c r="D96" s="20"/>
      <c r="E96" s="20"/>
      <c r="F96" s="20"/>
      <c r="G96" s="20"/>
    </row>
    <row r="97" spans="1:7">
      <c r="A97" s="45"/>
      <c r="B97" s="46"/>
      <c r="C97" s="46"/>
      <c r="D97" s="20"/>
      <c r="E97" s="20"/>
      <c r="F97" s="20"/>
      <c r="G97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Central scenario</vt:lpstr>
      <vt:lpstr>Low scenario</vt:lpstr>
      <vt:lpstr>High scenario</vt:lpstr>
      <vt:lpstr>Graphiques déficit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cp:revision>240</cp:revision>
  <dcterms:created xsi:type="dcterms:W3CDTF">2018-03-19T16:55:05Z</dcterms:created>
  <dcterms:modified xsi:type="dcterms:W3CDTF">2018-09-25T12:20:33Z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